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"/>
    </mc:Choice>
  </mc:AlternateContent>
  <xr:revisionPtr revIDLastSave="0" documentId="13_ncr:1_{9F363A79-37D4-4FD5-9DCC-B4047093B61E}" xr6:coauthVersionLast="32" xr6:coauthVersionMax="32" xr10:uidLastSave="{00000000-0000-0000-0000-000000000000}"/>
  <bookViews>
    <workbookView xWindow="0" yWindow="0" windowWidth="9137" windowHeight="0" activeTab="3" xr2:uid="{AF75B441-9CA0-466C-9A03-A4D6E7E2FCD8}"/>
  </bookViews>
  <sheets>
    <sheet name="BOM" sheetId="1" r:id="rId1"/>
    <sheet name="Mount" sheetId="2" r:id="rId2"/>
    <sheet name="Sensor" sheetId="3" r:id="rId3"/>
    <sheet name="Data" sheetId="4" r:id="rId4"/>
  </sheets>
  <definedNames>
    <definedName name="_xlnm._FilterDatabase" localSheetId="0" hidden="1">BOM!$A$6:$L$18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7" i="1"/>
  <c r="A10" i="1" l="1"/>
  <c r="B10" i="1" s="1"/>
  <c r="A11" i="1"/>
  <c r="B11" i="1" s="1"/>
  <c r="M11" i="1" s="1"/>
  <c r="D11" i="1"/>
  <c r="A12" i="1"/>
  <c r="B12" i="1" s="1"/>
  <c r="M12" i="1" s="1"/>
  <c r="D12" i="1"/>
  <c r="A13" i="1"/>
  <c r="B13" i="1" s="1"/>
  <c r="M13" i="1" s="1"/>
  <c r="D13" i="1"/>
  <c r="A14" i="1"/>
  <c r="B14" i="1" s="1"/>
  <c r="M14" i="1" s="1"/>
  <c r="A15" i="1"/>
  <c r="B15" i="1" s="1"/>
  <c r="D15" i="1"/>
  <c r="A16" i="1"/>
  <c r="D16" i="1"/>
  <c r="A17" i="1"/>
  <c r="B17" i="1" s="1"/>
  <c r="M17" i="1" s="1"/>
  <c r="D17" i="1"/>
  <c r="A18" i="1"/>
  <c r="B18" i="1" s="1"/>
  <c r="M18" i="1" s="1"/>
  <c r="A8" i="1"/>
  <c r="B8" i="1" s="1"/>
  <c r="D8" i="1"/>
  <c r="A9" i="1"/>
  <c r="B9" i="1" s="1"/>
  <c r="M9" i="1" s="1"/>
  <c r="G6" i="1"/>
  <c r="G5" i="3"/>
  <c r="G4" i="3"/>
  <c r="G3" i="3"/>
  <c r="G2" i="3"/>
  <c r="G1" i="3"/>
  <c r="G3" i="2"/>
  <c r="G4" i="2"/>
  <c r="G5" i="2"/>
  <c r="G6" i="2"/>
  <c r="G7" i="2"/>
  <c r="G8" i="2"/>
  <c r="G9" i="2"/>
  <c r="G2" i="2"/>
  <c r="G1" i="2"/>
  <c r="F1" i="2"/>
  <c r="D1" i="2"/>
  <c r="C1" i="2"/>
  <c r="A1" i="2"/>
  <c r="C3" i="3"/>
  <c r="D3" i="3"/>
  <c r="F3" i="3"/>
  <c r="C4" i="3"/>
  <c r="D4" i="3"/>
  <c r="E4" i="3" s="1"/>
  <c r="F4" i="3"/>
  <c r="C5" i="3"/>
  <c r="D5" i="3"/>
  <c r="E5" i="3" s="1"/>
  <c r="F5" i="3"/>
  <c r="B3" i="3"/>
  <c r="C3" i="2"/>
  <c r="D3" i="2"/>
  <c r="E3" i="2" s="1"/>
  <c r="F3" i="2"/>
  <c r="C4" i="2"/>
  <c r="D4" i="2"/>
  <c r="E4" i="2" s="1"/>
  <c r="F4" i="2"/>
  <c r="C5" i="2"/>
  <c r="D5" i="2"/>
  <c r="E5" i="2" s="1"/>
  <c r="F5" i="2"/>
  <c r="C6" i="2"/>
  <c r="D6" i="2"/>
  <c r="E6" i="2" s="1"/>
  <c r="F6" i="2"/>
  <c r="C7" i="2"/>
  <c r="D7" i="2"/>
  <c r="E7" i="2" s="1"/>
  <c r="F7" i="2"/>
  <c r="C8" i="2"/>
  <c r="D8" i="2"/>
  <c r="E8" i="2" s="1"/>
  <c r="F8" i="2"/>
  <c r="C9" i="2"/>
  <c r="D9" i="2"/>
  <c r="E9" i="2" s="1"/>
  <c r="F9" i="2"/>
  <c r="B5" i="4"/>
  <c r="B4" i="4"/>
  <c r="B3" i="4"/>
  <c r="B7" i="4"/>
  <c r="B9" i="4"/>
  <c r="B6" i="4"/>
  <c r="B8" i="4"/>
  <c r="F2" i="3"/>
  <c r="D2" i="3"/>
  <c r="E2" i="3" s="1"/>
  <c r="C2" i="3"/>
  <c r="A7" i="1"/>
  <c r="F7" i="1" s="1"/>
  <c r="F2" i="2"/>
  <c r="D2" i="2"/>
  <c r="E2" i="2" s="1"/>
  <c r="C2" i="2"/>
  <c r="K8" i="1" l="1"/>
  <c r="M8" i="1"/>
  <c r="K15" i="1"/>
  <c r="L15" i="1" s="1"/>
  <c r="M15" i="1"/>
  <c r="K10" i="1"/>
  <c r="M10" i="1"/>
  <c r="E12" i="1"/>
  <c r="K9" i="1"/>
  <c r="K12" i="1"/>
  <c r="L12" i="1" s="1"/>
  <c r="G7" i="1"/>
  <c r="D7" i="1"/>
  <c r="D18" i="1"/>
  <c r="E18" i="1" s="1"/>
  <c r="D14" i="1"/>
  <c r="E14" i="1" s="1"/>
  <c r="K13" i="1"/>
  <c r="L13" i="1" s="1"/>
  <c r="D10" i="1"/>
  <c r="B16" i="1"/>
  <c r="E3" i="3"/>
  <c r="K17" i="1"/>
  <c r="L17" i="1" s="1"/>
  <c r="K14" i="1"/>
  <c r="K11" i="1"/>
  <c r="L11" i="1" s="1"/>
  <c r="K18" i="1"/>
  <c r="E17" i="1"/>
  <c r="E13" i="1"/>
  <c r="E15" i="1"/>
  <c r="E11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F18" i="1"/>
  <c r="F17" i="1"/>
  <c r="F16" i="1"/>
  <c r="F15" i="1"/>
  <c r="F14" i="1"/>
  <c r="F13" i="1"/>
  <c r="F12" i="1"/>
  <c r="F11" i="1"/>
  <c r="F10" i="1"/>
  <c r="E8" i="1"/>
  <c r="D9" i="1"/>
  <c r="G8" i="1"/>
  <c r="C8" i="1"/>
  <c r="G9" i="1"/>
  <c r="C9" i="1"/>
  <c r="L8" i="1"/>
  <c r="F8" i="1"/>
  <c r="F9" i="1"/>
  <c r="B7" i="1"/>
  <c r="M7" i="1" s="1"/>
  <c r="C7" i="1"/>
  <c r="L10" i="1" l="1"/>
  <c r="L14" i="1"/>
  <c r="K16" i="1"/>
  <c r="L16" i="1" s="1"/>
  <c r="M16" i="1"/>
  <c r="E10" i="1"/>
  <c r="L18" i="1"/>
  <c r="E16" i="1"/>
  <c r="K7" i="1"/>
  <c r="L9" i="1"/>
  <c r="E9" i="1"/>
  <c r="E7" i="1"/>
  <c r="L7" i="1" l="1"/>
  <c r="E1" i="1"/>
  <c r="L1" i="1" l="1"/>
</calcChain>
</file>

<file path=xl/sharedStrings.xml><?xml version="1.0" encoding="utf-8"?>
<sst xmlns="http://schemas.openxmlformats.org/spreadsheetml/2006/main" count="87" uniqueCount="59">
  <si>
    <t>QTY</t>
  </si>
  <si>
    <t>Part</t>
  </si>
  <si>
    <t>Part Number</t>
  </si>
  <si>
    <t>Cost</t>
  </si>
  <si>
    <t>Total</t>
  </si>
  <si>
    <t>TOTAL</t>
  </si>
  <si>
    <t>BOM</t>
  </si>
  <si>
    <t>Mount:</t>
  </si>
  <si>
    <t>Sensor:</t>
  </si>
  <si>
    <t>Osram Opto CHIPLED 0603 470 nm Blue LED, 1608 (0603) SMD package</t>
  </si>
  <si>
    <t>Parts</t>
  </si>
  <si>
    <t>Blue Led</t>
  </si>
  <si>
    <t>Note</t>
  </si>
  <si>
    <t>10 Pack</t>
  </si>
  <si>
    <t>Notes</t>
  </si>
  <si>
    <t>Res 10k</t>
  </si>
  <si>
    <t>Res 220</t>
  </si>
  <si>
    <t>Res 1k</t>
  </si>
  <si>
    <t>STM32 Nucleo-32 development board</t>
  </si>
  <si>
    <t>Nucleo</t>
  </si>
  <si>
    <t xml:space="preserve">Vishay TCRT5000L, Through Hole Reflective Sensor, Transistor Output 2, Leaded package </t>
  </si>
  <si>
    <t>Reflective IR Sensor</t>
  </si>
  <si>
    <t>RS USB2.0 Cable, A-MicroB, M/M, 1.8m</t>
  </si>
  <si>
    <t>USB to Micro USB Cable (1.8m)</t>
  </si>
  <si>
    <t>RJ45 YELLOW PATCH LEADS UTP</t>
  </si>
  <si>
    <t>Ethernet Cable 1.5m</t>
  </si>
  <si>
    <t>HARWIN M20, 2.54mm Pitch, 36 Way, 1 Row, Straight Pin Header, Through Hole</t>
  </si>
  <si>
    <t>PCB Header 36 Pin M</t>
  </si>
  <si>
    <t xml:space="preserve">HARWIN M20, 2.54mm Pitch, 36 Way, 1 Row, Right Angle Pin Header, Through Hole </t>
  </si>
  <si>
    <t>PCB Header 36 Pin M, Right Angle</t>
  </si>
  <si>
    <t>Ethernet Header</t>
  </si>
  <si>
    <t xml:space="preserve">RS Pro Cat5 8 Way Right Angle PCB Mount Unshielded RJ45 Connector Female </t>
  </si>
  <si>
    <t xml:space="preserve">331-6437 </t>
  </si>
  <si>
    <t>RS Stock No.</t>
  </si>
  <si>
    <t>Picked</t>
  </si>
  <si>
    <t>Remaining</t>
  </si>
  <si>
    <t>Outstanding</t>
  </si>
  <si>
    <t>Safety</t>
  </si>
  <si>
    <t xml:space="preserve">697-3617 </t>
  </si>
  <si>
    <t>547-3166</t>
  </si>
  <si>
    <t>Vishay CRCW Series Thick Film Surface Mount Fixed Resistor 0805 Case 220Ω ±1% 0.125W ±100ppm/°C</t>
  </si>
  <si>
    <t>679-1096</t>
  </si>
  <si>
    <t>Vishay CRCW Series Thick Film Surface Mount Fixed Resistor 0805 Case 10kΩ ±1% 0.125W ±100ppm/°C</t>
  </si>
  <si>
    <t>679-0816</t>
  </si>
  <si>
    <t xml:space="preserve">Vishay CRCW Series Thick Film Surface Mount Fixed Resistor 0805 Case 1kΩ ±1% 0.125W ±100ppm/°C </t>
  </si>
  <si>
    <t>679-0982</t>
  </si>
  <si>
    <t>50 Pack</t>
  </si>
  <si>
    <t>547-3217</t>
  </si>
  <si>
    <t>Inventory</t>
  </si>
  <si>
    <t xml:space="preserve">Stelvio Kontek MODUCOM Series 2.54mm Pitch 45 Way 1 Row Straight PCB Socket, Through Hole, Solder Termination </t>
  </si>
  <si>
    <t>230-4893</t>
  </si>
  <si>
    <t>PCB Header 45 Pin, Socket</t>
  </si>
  <si>
    <t>Remaining Inventory</t>
  </si>
  <si>
    <t>JCS Hi-Torque Steel Slotted Hex Hose Clip Bolt Drive, 9mm Band Width, 14mm - 16mm Inside Diameter</t>
  </si>
  <si>
    <t>Hose Clamp (16mm)</t>
  </si>
  <si>
    <t>727-5936</t>
  </si>
  <si>
    <t xml:space="preserve">RS Pro Nylon Snap Grip, 4.2mm Band Width, 5.6mm - 6.5mm Inside Diameter </t>
  </si>
  <si>
    <t>Nylon Snap Grip</t>
  </si>
  <si>
    <t>475-1415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</si>
</sst>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onsolas"/>
      <family val="2"/>
    </font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16" fontId="0" fillId="0" borderId="0" xfId="0" applyNumberFormat="1"/>
    <xf numFmtId="41" fontId="0" fillId="0" borderId="1" xfId="1" applyFont="1" applyBorder="1"/>
  </cellXfs>
  <cellStyles count="2">
    <cellStyle name="Comma [0]" xfId="1" builtinId="6"/>
    <cellStyle name="Normal" xfId="0" builtinId="0"/>
  </cellStyles>
  <dxfs count="1">
    <dxf>
      <font>
        <b/>
        <i val="0"/>
      </font>
      <fill>
        <patternFill>
          <bgColor rgb="FFFDEFE7"/>
        </patternFill>
      </fill>
    </dxf>
  </dxfs>
  <tableStyles count="0" defaultTableStyle="TableStyleMedium2" defaultPivotStyle="PivotStyleLight16"/>
  <colors>
    <mruColors>
      <color rgb="FFFDE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0E25-680F-45CE-A537-9ABE076D869C}">
  <dimension ref="A1:Q18"/>
  <sheetViews>
    <sheetView workbookViewId="0">
      <selection activeCell="C8" sqref="C8:C10"/>
    </sheetView>
  </sheetViews>
  <sheetFormatPr defaultRowHeight="14.6" x14ac:dyDescent="0.4"/>
  <cols>
    <col min="1" max="1" width="28.140625" customWidth="1"/>
    <col min="8" max="8" width="13.92578125" style="1" customWidth="1"/>
    <col min="13" max="13" width="5.7109375" customWidth="1"/>
  </cols>
  <sheetData>
    <row r="1" spans="1:17" x14ac:dyDescent="0.4">
      <c r="A1" t="s">
        <v>6</v>
      </c>
      <c r="D1" t="s">
        <v>5</v>
      </c>
      <c r="E1">
        <f>SUM(E7:E177)</f>
        <v>0</v>
      </c>
      <c r="K1" t="s">
        <v>36</v>
      </c>
      <c r="L1">
        <f>SUM(L7:L125)</f>
        <v>0</v>
      </c>
      <c r="Q1" s="2">
        <v>43210</v>
      </c>
    </row>
    <row r="2" spans="1:17" x14ac:dyDescent="0.4">
      <c r="A2" t="s">
        <v>7</v>
      </c>
      <c r="B2">
        <v>0</v>
      </c>
      <c r="Q2">
        <v>7</v>
      </c>
    </row>
    <row r="3" spans="1:17" x14ac:dyDescent="0.4">
      <c r="A3" t="s">
        <v>8</v>
      </c>
      <c r="B3">
        <v>0</v>
      </c>
      <c r="Q3">
        <v>26</v>
      </c>
    </row>
    <row r="6" spans="1:17" x14ac:dyDescent="0.4">
      <c r="A6" t="s">
        <v>1</v>
      </c>
      <c r="B6" t="s">
        <v>0</v>
      </c>
      <c r="C6" t="s">
        <v>2</v>
      </c>
      <c r="D6" t="s">
        <v>3</v>
      </c>
      <c r="E6" t="s">
        <v>4</v>
      </c>
      <c r="F6" t="s">
        <v>14</v>
      </c>
      <c r="G6" t="str">
        <f>Data!E1</f>
        <v>RS Stock No.</v>
      </c>
      <c r="H6" s="1" t="s">
        <v>48</v>
      </c>
      <c r="I6" t="s">
        <v>37</v>
      </c>
      <c r="J6" t="s">
        <v>34</v>
      </c>
      <c r="K6" t="s">
        <v>35</v>
      </c>
      <c r="L6" t="s">
        <v>4</v>
      </c>
      <c r="M6" t="s">
        <v>52</v>
      </c>
    </row>
    <row r="7" spans="1:17" x14ac:dyDescent="0.4">
      <c r="A7" t="str">
        <f>Data!A2</f>
        <v>Blue Led</v>
      </c>
      <c r="B7">
        <f>IF(ISERROR(VLOOKUP($A7,Mount!$A$2:$F$33,2,FALSE)*$B$2),0,VLOOKUP($A7,Mount!$A$2:$F$33,2,FALSE)*$B$2) +
IF(ISERROR(VLOOKUP($A7,Sensor!$A$2:$F$33,2,FALSE)*$B$3),0,VLOOKUP($A7,Sensor!$A$2:$F$33,2,FALSE)*$B$3)</f>
        <v>0</v>
      </c>
      <c r="C7" t="str">
        <f>VLOOKUP($A7,Data!$A$2:$D$66,3,FALSE)</f>
        <v>Osram Opto CHIPLED 0603 470 nm Blue LED, 1608 (0603) SMD package</v>
      </c>
      <c r="D7">
        <f>IF(ISERROR(VLOOKUP($A7,Data!$A$2:$D$66,2,FALSE)),0,VLOOKUP($A7,Data!$A$2:$D$66,2,FALSE))</f>
        <v>0.40400000000000003</v>
      </c>
      <c r="E7">
        <f>IF(ISERROR(D7*B7),0,D7*B7)</f>
        <v>0</v>
      </c>
      <c r="F7" t="str">
        <f>VLOOKUP($A7,Data!$A$2:$D$66,4,FALSE)</f>
        <v>10 Pack</v>
      </c>
      <c r="G7" t="str">
        <f>VLOOKUP($A7,Data!$A$2:$E$66,5,FALSE)</f>
        <v xml:space="preserve">697-3617 </v>
      </c>
      <c r="H7" s="3">
        <f>Data!F2</f>
        <v>3</v>
      </c>
      <c r="I7" s="3"/>
      <c r="J7" s="3"/>
      <c r="K7" s="3">
        <f>IF((B7-J7+I7-H7)&lt;0, 0, B7-J7+I7-H7)</f>
        <v>0</v>
      </c>
      <c r="L7" s="3">
        <f>D7*K7</f>
        <v>0</v>
      </c>
      <c r="M7" s="3">
        <f>IF((H7-B7)&lt;0,0,(H7-B7))</f>
        <v>3</v>
      </c>
    </row>
    <row r="8" spans="1:17" x14ac:dyDescent="0.4">
      <c r="A8" t="str">
        <f>Data!A3</f>
        <v>Res 10k</v>
      </c>
      <c r="B8">
        <f>IF(ISERROR(VLOOKUP($A8,Mount!$A$2:$F$33,2,FALSE)*$B$2),0,VLOOKUP($A8,Mount!$A$2:$F$33,2,FALSE)*$B$2) +
IF(ISERROR(VLOOKUP($A8,Sensor!$A$2:$F$33,2,FALSE)*$B$3),0,VLOOKUP($A8,Sensor!$A$2:$F$33,2,FALSE)*$B$3)</f>
        <v>0</v>
      </c>
      <c r="C8" t="str">
        <f>VLOOKUP($A8,Data!$A$2:$D$66,3,FALSE)</f>
        <v>Vishay CRCW Series Thick Film Surface Mount Fixed Resistor 0805 Case 10kΩ ±1% 0.125W ±100ppm/°C</v>
      </c>
      <c r="D8">
        <f>IF(ISERROR(VLOOKUP($A8,Data!$A$2:$D$66,2,FALSE)),0,VLOOKUP($A8,Data!$A$2:$D$66,2,FALSE))</f>
        <v>3.6000000000000004E-2</v>
      </c>
      <c r="E8">
        <f t="shared" ref="E8:E10" si="0">IF(ISERROR(D8*B8),0,D8*B8)</f>
        <v>0</v>
      </c>
      <c r="F8" t="str">
        <f>VLOOKUP($A8,Data!$A$2:$D$66,4,FALSE)</f>
        <v>50 Pack</v>
      </c>
      <c r="G8" t="str">
        <f>VLOOKUP($A8,Data!$A$2:$E$66,5,FALSE)</f>
        <v>679-0816</v>
      </c>
      <c r="H8" s="3">
        <f>Data!F3</f>
        <v>24</v>
      </c>
      <c r="I8" s="3"/>
      <c r="J8" s="3"/>
      <c r="K8" s="3">
        <f t="shared" ref="K8:K10" si="1">IF((B8-J8+I8-H8)&lt;0, 0, B8-J8+I8-H8)</f>
        <v>0</v>
      </c>
      <c r="L8" s="3">
        <f t="shared" ref="L8:L10" si="2">D8*K8</f>
        <v>0</v>
      </c>
      <c r="M8" s="3">
        <f t="shared" ref="M8:M18" si="3">IF((H8-B8)&lt;0,0,(H8-B8))</f>
        <v>24</v>
      </c>
    </row>
    <row r="9" spans="1:17" x14ac:dyDescent="0.4">
      <c r="A9" t="str">
        <f>Data!A4</f>
        <v>Res 220</v>
      </c>
      <c r="B9">
        <f>IF(ISERROR(VLOOKUP($A9,Mount!$A$2:$F$33,2,FALSE)*$B$2),0,VLOOKUP($A9,Mount!$A$2:$F$33,2,FALSE)*$B$2) +
IF(ISERROR(VLOOKUP($A9,Sensor!$A$2:$F$33,2,FALSE)*$B$3),0,VLOOKUP($A9,Sensor!$A$2:$F$33,2,FALSE)*$B$3)</f>
        <v>0</v>
      </c>
      <c r="C9" t="str">
        <f>VLOOKUP($A9,Data!$A$2:$D$66,3,FALSE)</f>
        <v>Vishay CRCW Series Thick Film Surface Mount Fixed Resistor 0805 Case 220Ω ±1% 0.125W ±100ppm/°C</v>
      </c>
      <c r="D9">
        <f>IF(ISERROR(VLOOKUP($A9,Data!$A$2:$D$66,2,FALSE)),0,VLOOKUP($A9,Data!$A$2:$D$66,2,FALSE))</f>
        <v>3.6000000000000004E-2</v>
      </c>
      <c r="E9">
        <f t="shared" si="0"/>
        <v>0</v>
      </c>
      <c r="F9" t="str">
        <f>VLOOKUP($A9,Data!$A$2:$D$66,4,FALSE)</f>
        <v>50 Pack</v>
      </c>
      <c r="G9" t="str">
        <f>VLOOKUP($A9,Data!$A$2:$E$66,5,FALSE)</f>
        <v>679-1096</v>
      </c>
      <c r="H9" s="3">
        <f>Data!F4</f>
        <v>24</v>
      </c>
      <c r="I9" s="3"/>
      <c r="J9" s="3"/>
      <c r="K9" s="3">
        <f t="shared" si="1"/>
        <v>0</v>
      </c>
      <c r="L9" s="3">
        <f t="shared" si="2"/>
        <v>0</v>
      </c>
      <c r="M9" s="3">
        <f t="shared" si="3"/>
        <v>24</v>
      </c>
    </row>
    <row r="10" spans="1:17" x14ac:dyDescent="0.4">
      <c r="A10" t="str">
        <f>Data!A5</f>
        <v>Res 1k</v>
      </c>
      <c r="B10">
        <f>IF(ISERROR(VLOOKUP($A10,Mount!$A$2:$F$33,2,FALSE)*$B$2),0,VLOOKUP($A10,Mount!$A$2:$F$33,2,FALSE)*$B$2) +
IF(ISERROR(VLOOKUP($A10,Sensor!$A$2:$F$33,2,FALSE)*$B$3),0,VLOOKUP($A10,Sensor!$A$2:$F$33,2,FALSE)*$B$3)</f>
        <v>0</v>
      </c>
      <c r="C10" t="str">
        <f>VLOOKUP($A10,Data!$A$2:$D$66,3,FALSE)</f>
        <v xml:space="preserve">Vishay CRCW Series Thick Film Surface Mount Fixed Resistor 0805 Case 1kΩ ±1% 0.125W ±100ppm/°C </v>
      </c>
      <c r="D10">
        <f>IF(ISERROR(VLOOKUP($A10,Data!$A$2:$D$66,2,FALSE)),0,VLOOKUP($A10,Data!$A$2:$D$66,2,FALSE))</f>
        <v>3.6000000000000004E-2</v>
      </c>
      <c r="E10">
        <f t="shared" si="0"/>
        <v>0</v>
      </c>
      <c r="F10" t="str">
        <f>VLOOKUP($A10,Data!$A$2:$D$66,4,FALSE)</f>
        <v>50 Pack</v>
      </c>
      <c r="G10" t="str">
        <f>VLOOKUP($A10,Data!$A$2:$E$66,5,FALSE)</f>
        <v>679-0982</v>
      </c>
      <c r="H10" s="3">
        <f>Data!F5</f>
        <v>43</v>
      </c>
      <c r="I10" s="3"/>
      <c r="J10" s="3"/>
      <c r="K10" s="3">
        <f t="shared" si="1"/>
        <v>0</v>
      </c>
      <c r="L10" s="3">
        <f t="shared" si="2"/>
        <v>0</v>
      </c>
      <c r="M10" s="3">
        <f t="shared" si="3"/>
        <v>43</v>
      </c>
    </row>
    <row r="11" spans="1:17" x14ac:dyDescent="0.4">
      <c r="A11" t="str">
        <f>Data!A6</f>
        <v>Nucleo</v>
      </c>
      <c r="B11">
        <f>IF(ISERROR(VLOOKUP($A11,Mount!$A$2:$F$33,2,FALSE)*$B$2),0,VLOOKUP($A11,Mount!$A$2:$F$33,2,FALSE)*$B$2) +
IF(ISERROR(VLOOKUP($A11,Sensor!$A$2:$F$33,2,FALSE)*$B$3),0,VLOOKUP($A11,Sensor!$A$2:$F$33,2,FALSE)*$B$3)</f>
        <v>0</v>
      </c>
      <c r="C11" t="str">
        <f>VLOOKUP($A11,Data!$A$2:$D$66,3,FALSE)</f>
        <v>STM32 Nucleo-32 development board</v>
      </c>
      <c r="D11">
        <f>IF(ISERROR(VLOOKUP($A11,Data!$A$2:$D$66,2,FALSE)),0,VLOOKUP($A11,Data!$A$2:$D$66,2,FALSE))</f>
        <v>16.73</v>
      </c>
      <c r="E11">
        <f t="shared" ref="E11:E18" si="4">IF(ISERROR(D11*B11),0,D11*B11)</f>
        <v>0</v>
      </c>
      <c r="F11">
        <f>VLOOKUP($A11,Data!$A$2:$D$66,4,FALSE)</f>
        <v>0</v>
      </c>
      <c r="G11">
        <f>VLOOKUP($A11,Data!$A$2:$E$66,5,FALSE)</f>
        <v>0</v>
      </c>
      <c r="H11" s="3">
        <f>Data!F6</f>
        <v>1</v>
      </c>
      <c r="I11" s="3"/>
      <c r="J11" s="3"/>
      <c r="K11" s="3">
        <f t="shared" ref="K11:K18" si="5">IF((B11-J11+I11-H11)&lt;0, 0, B11-J11+I11-H11)</f>
        <v>0</v>
      </c>
      <c r="L11" s="3">
        <f t="shared" ref="L11:L18" si="6">D11*K11</f>
        <v>0</v>
      </c>
      <c r="M11" s="3">
        <f t="shared" si="3"/>
        <v>1</v>
      </c>
    </row>
    <row r="12" spans="1:17" x14ac:dyDescent="0.4">
      <c r="A12" t="str">
        <f>Data!A7</f>
        <v>Reflective IR Sensor</v>
      </c>
      <c r="B12">
        <f>IF(ISERROR(VLOOKUP($A12,Mount!$A$2:$F$33,2,FALSE)*$B$2),0,VLOOKUP($A12,Mount!$A$2:$F$33,2,FALSE)*$B$2) +
IF(ISERROR(VLOOKUP($A12,Sensor!$A$2:$F$33,2,FALSE)*$B$3),0,VLOOKUP($A12,Sensor!$A$2:$F$33,2,FALSE)*$B$3)</f>
        <v>0</v>
      </c>
      <c r="C12" t="str">
        <f>VLOOKUP($A12,Data!$A$2:$D$66,3,FALSE)</f>
        <v xml:space="preserve">Vishay TCRT5000L, Through Hole Reflective Sensor, Transistor Output 2, Leaded package </v>
      </c>
      <c r="D12">
        <f>IF(ISERROR(VLOOKUP($A12,Data!$A$2:$D$66,2,FALSE)),0,VLOOKUP($A12,Data!$A$2:$D$66,2,FALSE))</f>
        <v>1.3169999999999999</v>
      </c>
      <c r="E12">
        <f t="shared" si="4"/>
        <v>0</v>
      </c>
      <c r="F12">
        <f>VLOOKUP($A12,Data!$A$2:$D$66,4,FALSE)</f>
        <v>0</v>
      </c>
      <c r="G12">
        <f>VLOOKUP($A12,Data!$A$2:$E$66,5,FALSE)</f>
        <v>0</v>
      </c>
      <c r="H12" s="3">
        <f>Data!F7</f>
        <v>3</v>
      </c>
      <c r="I12" s="3"/>
      <c r="J12" s="3"/>
      <c r="K12" s="3">
        <f t="shared" si="5"/>
        <v>0</v>
      </c>
      <c r="L12" s="3">
        <f t="shared" si="6"/>
        <v>0</v>
      </c>
      <c r="M12" s="3">
        <f t="shared" si="3"/>
        <v>3</v>
      </c>
    </row>
    <row r="13" spans="1:17" x14ac:dyDescent="0.4">
      <c r="A13" t="str">
        <f>Data!A8</f>
        <v>USB to Micro USB Cable (1.8m)</v>
      </c>
      <c r="B13">
        <f>IF(ISERROR(VLOOKUP($A13,Mount!$A$2:$F$33,2,FALSE)*$B$2),0,VLOOKUP($A13,Mount!$A$2:$F$33,2,FALSE)*$B$2) +
IF(ISERROR(VLOOKUP($A13,Sensor!$A$2:$F$33,2,FALSE)*$B$3),0,VLOOKUP($A13,Sensor!$A$2:$F$33,2,FALSE)*$B$3)</f>
        <v>0</v>
      </c>
      <c r="C13" t="str">
        <f>VLOOKUP($A13,Data!$A$2:$D$66,3,FALSE)</f>
        <v>RS USB2.0 Cable, A-MicroB, M/M, 1.8m</v>
      </c>
      <c r="D13">
        <f>IF(ISERROR(VLOOKUP($A13,Data!$A$2:$D$66,2,FALSE)),0,VLOOKUP($A13,Data!$A$2:$D$66,2,FALSE))</f>
        <v>2.5100000000000002</v>
      </c>
      <c r="E13">
        <f t="shared" si="4"/>
        <v>0</v>
      </c>
      <c r="F13">
        <f>VLOOKUP($A13,Data!$A$2:$D$66,4,FALSE)</f>
        <v>0</v>
      </c>
      <c r="G13">
        <f>VLOOKUP($A13,Data!$A$2:$E$66,5,FALSE)</f>
        <v>0</v>
      </c>
      <c r="H13" s="3">
        <f>Data!F8</f>
        <v>1</v>
      </c>
      <c r="I13" s="3"/>
      <c r="J13" s="3"/>
      <c r="K13" s="3">
        <f t="shared" si="5"/>
        <v>0</v>
      </c>
      <c r="L13" s="3">
        <f t="shared" si="6"/>
        <v>0</v>
      </c>
      <c r="M13" s="3">
        <f t="shared" si="3"/>
        <v>1</v>
      </c>
    </row>
    <row r="14" spans="1:17" x14ac:dyDescent="0.4">
      <c r="A14" t="str">
        <f>Data!A9</f>
        <v>Ethernet Cable 1.5m</v>
      </c>
      <c r="B14">
        <f>IF(ISERROR(VLOOKUP($A14,Mount!$A$2:$F$33,2,FALSE)*$B$2),0,VLOOKUP($A14,Mount!$A$2:$F$33,2,FALSE)*$B$2) +
IF(ISERROR(VLOOKUP($A14,Sensor!$A$2:$F$33,2,FALSE)*$B$3),0,VLOOKUP($A14,Sensor!$A$2:$F$33,2,FALSE)*$B$3)</f>
        <v>0</v>
      </c>
      <c r="C14" t="str">
        <f>VLOOKUP($A14,Data!$A$2:$D$66,3,FALSE)</f>
        <v>RJ45 YELLOW PATCH LEADS UTP</v>
      </c>
      <c r="D14">
        <f>IF(ISERROR(VLOOKUP($A14,Data!$A$2:$D$66,2,FALSE)),0,VLOOKUP($A14,Data!$A$2:$D$66,2,FALSE))</f>
        <v>2.8299999999999996</v>
      </c>
      <c r="E14">
        <f t="shared" si="4"/>
        <v>0</v>
      </c>
      <c r="F14">
        <f>VLOOKUP($A14,Data!$A$2:$D$66,4,FALSE)</f>
        <v>0</v>
      </c>
      <c r="G14">
        <f>VLOOKUP($A14,Data!$A$2:$E$66,5,FALSE)</f>
        <v>0</v>
      </c>
      <c r="H14" s="3">
        <f>Data!F9</f>
        <v>1</v>
      </c>
      <c r="I14" s="3"/>
      <c r="J14" s="3"/>
      <c r="K14" s="3">
        <f t="shared" si="5"/>
        <v>0</v>
      </c>
      <c r="L14" s="3">
        <f t="shared" si="6"/>
        <v>0</v>
      </c>
      <c r="M14" s="3">
        <f t="shared" si="3"/>
        <v>1</v>
      </c>
    </row>
    <row r="15" spans="1:17" x14ac:dyDescent="0.4">
      <c r="A15" t="str">
        <f>Data!A10</f>
        <v>PCB Header 36 Pin M</v>
      </c>
      <c r="B15">
        <f>IF(ISERROR(VLOOKUP($A15,Mount!$A$2:$F$33,2,FALSE)*$B$2),0,VLOOKUP($A15,Mount!$A$2:$F$33,2,FALSE)*$B$2) +
IF(ISERROR(VLOOKUP($A15,Sensor!$A$2:$F$33,2,FALSE)*$B$3),0,VLOOKUP($A15,Sensor!$A$2:$F$33,2,FALSE)*$B$3)</f>
        <v>0</v>
      </c>
      <c r="C15" t="str">
        <f>VLOOKUP($A15,Data!$A$2:$D$66,3,FALSE)</f>
        <v>HARWIN M20, 2.54mm Pitch, 36 Way, 1 Row, Straight Pin Header, Through Hole</v>
      </c>
      <c r="D15">
        <f>IF(ISERROR(VLOOKUP($A15,Data!$A$2:$D$66,2,FALSE)),0,VLOOKUP($A15,Data!$A$2:$D$66,2,FALSE))</f>
        <v>1.32</v>
      </c>
      <c r="E15">
        <f t="shared" si="4"/>
        <v>0</v>
      </c>
      <c r="F15">
        <f>VLOOKUP($A15,Data!$A$2:$D$66,4,FALSE)</f>
        <v>0</v>
      </c>
      <c r="G15" t="str">
        <f>VLOOKUP($A15,Data!$A$2:$E$66,5,FALSE)</f>
        <v>547-3166</v>
      </c>
      <c r="H15" s="3">
        <f>Data!F10</f>
        <v>0</v>
      </c>
      <c r="I15" s="3"/>
      <c r="J15" s="3"/>
      <c r="K15" s="3">
        <f t="shared" si="5"/>
        <v>0</v>
      </c>
      <c r="L15" s="3">
        <f t="shared" si="6"/>
        <v>0</v>
      </c>
      <c r="M15" s="3">
        <f t="shared" si="3"/>
        <v>0</v>
      </c>
    </row>
    <row r="16" spans="1:17" x14ac:dyDescent="0.4">
      <c r="A16" t="str">
        <f>Data!A11</f>
        <v>PCB Header 36 Pin M, Right Angle</v>
      </c>
      <c r="B16">
        <f>IF(ISERROR(VLOOKUP($A16,Mount!$A$2:$F$33,2,FALSE)*$B$2),0,VLOOKUP($A16,Mount!$A$2:$F$33,2,FALSE)*$B$2) +
IF(ISERROR(VLOOKUP($A16,Sensor!$A$2:$F$33,2,FALSE)*$B$3),0,VLOOKUP($A16,Sensor!$A$2:$F$33,2,FALSE)*$B$3)</f>
        <v>0</v>
      </c>
      <c r="C16" t="str">
        <f>VLOOKUP($A16,Data!$A$2:$D$66,3,FALSE)</f>
        <v xml:space="preserve">HARWIN M20, 2.54mm Pitch, 36 Way, 1 Row, Right Angle Pin Header, Through Hole </v>
      </c>
      <c r="D16">
        <f>IF(ISERROR(VLOOKUP($A16,Data!$A$2:$D$66,2,FALSE)),0,VLOOKUP($A16,Data!$A$2:$D$66,2,FALSE))</f>
        <v>1.78</v>
      </c>
      <c r="E16">
        <f t="shared" si="4"/>
        <v>0</v>
      </c>
      <c r="F16">
        <f>VLOOKUP($A16,Data!$A$2:$D$66,4,FALSE)</f>
        <v>0</v>
      </c>
      <c r="G16" t="str">
        <f>VLOOKUP($A16,Data!$A$2:$E$66,5,FALSE)</f>
        <v>547-3217</v>
      </c>
      <c r="H16" s="3">
        <f>Data!F11</f>
        <v>0</v>
      </c>
      <c r="I16" s="3"/>
      <c r="J16" s="3"/>
      <c r="K16" s="3">
        <f t="shared" si="5"/>
        <v>0</v>
      </c>
      <c r="L16" s="3">
        <f t="shared" si="6"/>
        <v>0</v>
      </c>
      <c r="M16" s="3">
        <f t="shared" si="3"/>
        <v>0</v>
      </c>
    </row>
    <row r="17" spans="1:13" x14ac:dyDescent="0.4">
      <c r="A17" t="str">
        <f>Data!A12</f>
        <v>PCB Header 45 Pin, Socket</v>
      </c>
      <c r="B17">
        <f>IF(ISERROR(VLOOKUP($A17,Mount!$A$2:$F$33,2,FALSE)*$B$2),0,VLOOKUP($A17,Mount!$A$2:$F$33,2,FALSE)*$B$2) +
IF(ISERROR(VLOOKUP($A17,Sensor!$A$2:$F$33,2,FALSE)*$B$3),0,VLOOKUP($A17,Sensor!$A$2:$F$33,2,FALSE)*$B$3)</f>
        <v>0</v>
      </c>
      <c r="C17" t="str">
        <f>VLOOKUP($A17,Data!$A$2:$D$66,3,FALSE)</f>
        <v xml:space="preserve">Stelvio Kontek MODUCOM Series 2.54mm Pitch 45 Way 1 Row Straight PCB Socket, Through Hole, Solder Termination </v>
      </c>
      <c r="D17">
        <f>IF(ISERROR(VLOOKUP($A17,Data!$A$2:$D$66,2,FALSE)),0,VLOOKUP($A17,Data!$A$2:$D$66,2,FALSE))</f>
        <v>3.02</v>
      </c>
      <c r="E17">
        <f t="shared" si="4"/>
        <v>0</v>
      </c>
      <c r="F17">
        <f>VLOOKUP($A17,Data!$A$2:$D$66,4,FALSE)</f>
        <v>0</v>
      </c>
      <c r="G17" t="str">
        <f>VLOOKUP($A17,Data!$A$2:$E$66,5,FALSE)</f>
        <v>230-4893</v>
      </c>
      <c r="H17" s="3">
        <f>Data!F12</f>
        <v>0</v>
      </c>
      <c r="I17" s="3"/>
      <c r="J17" s="3"/>
      <c r="K17" s="3">
        <f t="shared" si="5"/>
        <v>0</v>
      </c>
      <c r="L17" s="3">
        <f t="shared" si="6"/>
        <v>0</v>
      </c>
      <c r="M17" s="3">
        <f t="shared" si="3"/>
        <v>0</v>
      </c>
    </row>
    <row r="18" spans="1:13" x14ac:dyDescent="0.4">
      <c r="A18" t="str">
        <f>Data!A13</f>
        <v>Ethernet Header</v>
      </c>
      <c r="B18">
        <f>IF(ISERROR(VLOOKUP($A18,Mount!$A$2:$F$33,2,FALSE)*$B$2),0,VLOOKUP($A18,Mount!$A$2:$F$33,2,FALSE)*$B$2) +
IF(ISERROR(VLOOKUP($A18,Sensor!$A$2:$F$33,2,FALSE)*$B$3),0,VLOOKUP($A18,Sensor!$A$2:$F$33,2,FALSE)*$B$3)</f>
        <v>0</v>
      </c>
      <c r="C18" t="str">
        <f>VLOOKUP($A18,Data!$A$2:$D$66,3,FALSE)</f>
        <v xml:space="preserve">RS Pro Cat5 8 Way Right Angle PCB Mount Unshielded RJ45 Connector Female </v>
      </c>
      <c r="D18">
        <f>IF(ISERROR(VLOOKUP($A18,Data!$A$2:$D$66,2,FALSE)),0,VLOOKUP($A18,Data!$A$2:$D$66,2,FALSE))</f>
        <v>1.8</v>
      </c>
      <c r="E18">
        <f t="shared" si="4"/>
        <v>0</v>
      </c>
      <c r="F18">
        <f>VLOOKUP($A18,Data!$A$2:$D$66,4,FALSE)</f>
        <v>0</v>
      </c>
      <c r="G18" t="str">
        <f>VLOOKUP($A18,Data!$A$2:$E$66,5,FALSE)</f>
        <v xml:space="preserve">331-6437 </v>
      </c>
      <c r="H18" s="3">
        <f>Data!F13</f>
        <v>2</v>
      </c>
      <c r="I18" s="3"/>
      <c r="J18" s="3"/>
      <c r="K18" s="3">
        <f t="shared" si="5"/>
        <v>0</v>
      </c>
      <c r="L18" s="3">
        <f t="shared" si="6"/>
        <v>0</v>
      </c>
      <c r="M18" s="3">
        <f t="shared" si="3"/>
        <v>2</v>
      </c>
    </row>
  </sheetData>
  <autoFilter ref="A6:L18" xr:uid="{05399568-C6B0-4EC5-B86A-E9FC6597612F}"/>
  <conditionalFormatting sqref="K7:K18 O7:O24"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AA6E2-9AD0-48C6-8468-2239704E7287}">
  <dimension ref="A1:G9"/>
  <sheetViews>
    <sheetView workbookViewId="0">
      <selection activeCell="J1" sqref="J1:J1048576"/>
    </sheetView>
  </sheetViews>
  <sheetFormatPr defaultRowHeight="14.6" x14ac:dyDescent="0.4"/>
  <cols>
    <col min="1" max="1" width="27.85546875" customWidth="1"/>
    <col min="3" max="3" width="19.78515625" customWidth="1"/>
  </cols>
  <sheetData>
    <row r="1" spans="1:7" x14ac:dyDescent="0.4">
      <c r="A1" t="str">
        <f>Data!A1</f>
        <v>Parts</v>
      </c>
      <c r="B1" t="s">
        <v>0</v>
      </c>
      <c r="C1" t="str">
        <f>Data!C1</f>
        <v>Part Number</v>
      </c>
      <c r="D1" t="str">
        <f>Data!B1</f>
        <v>Cost</v>
      </c>
      <c r="E1" t="s">
        <v>4</v>
      </c>
      <c r="F1" t="str">
        <f>Data!D1</f>
        <v>Note</v>
      </c>
      <c r="G1" t="str">
        <f>Data!E1</f>
        <v>RS Stock No.</v>
      </c>
    </row>
    <row r="2" spans="1:7" x14ac:dyDescent="0.4">
      <c r="A2" t="s">
        <v>19</v>
      </c>
      <c r="B2">
        <v>1</v>
      </c>
      <c r="C2" t="str">
        <f>VLOOKUP($A2,Data!$A$2:$D$66,3,FALSE)</f>
        <v>STM32 Nucleo-32 development board</v>
      </c>
      <c r="D2">
        <f>VLOOKUP($A2,Data!$A$2:$D$66,2,FALSE)</f>
        <v>16.73</v>
      </c>
      <c r="E2">
        <f>B2*D2</f>
        <v>16.73</v>
      </c>
      <c r="F2">
        <f>VLOOKUP($A2,Data!$A$2:$D$66,4,FALSE)</f>
        <v>0</v>
      </c>
      <c r="G2">
        <f>VLOOKUP($A2,Data!$A$2:$E$66,5,FALSE)</f>
        <v>0</v>
      </c>
    </row>
    <row r="3" spans="1:7" x14ac:dyDescent="0.4">
      <c r="A3" t="s">
        <v>17</v>
      </c>
      <c r="B3">
        <v>1</v>
      </c>
      <c r="C3" t="str">
        <f>VLOOKUP($A3,Data!$A$2:$D$66,3,FALSE)</f>
        <v xml:space="preserve">Vishay CRCW Series Thick Film Surface Mount Fixed Resistor 0805 Case 1kΩ ±1% 0.125W ±100ppm/°C </v>
      </c>
      <c r="D3">
        <f>VLOOKUP($A3,Data!$A$2:$D$66,2,FALSE)</f>
        <v>3.6000000000000004E-2</v>
      </c>
      <c r="E3">
        <f t="shared" ref="E3:E9" si="0">B3*D3</f>
        <v>3.6000000000000004E-2</v>
      </c>
      <c r="F3" t="str">
        <f>VLOOKUP($A3,Data!$A$2:$D$66,4,FALSE)</f>
        <v>50 Pack</v>
      </c>
      <c r="G3" t="str">
        <f>VLOOKUP($A3,Data!$A$2:$E$66,5,FALSE)</f>
        <v>679-0982</v>
      </c>
    </row>
    <row r="4" spans="1:7" x14ac:dyDescent="0.4">
      <c r="A4" t="s">
        <v>27</v>
      </c>
      <c r="B4">
        <v>1.0833333333333333</v>
      </c>
      <c r="C4" t="str">
        <f>VLOOKUP($A4,Data!$A$2:$D$66,3,FALSE)</f>
        <v>HARWIN M20, 2.54mm Pitch, 36 Way, 1 Row, Straight Pin Header, Through Hole</v>
      </c>
      <c r="D4">
        <f>VLOOKUP($A4,Data!$A$2:$D$66,2,FALSE)</f>
        <v>1.32</v>
      </c>
      <c r="E4">
        <f t="shared" si="0"/>
        <v>1.43</v>
      </c>
      <c r="F4">
        <f>VLOOKUP($A4,Data!$A$2:$D$66,4,FALSE)</f>
        <v>0</v>
      </c>
      <c r="G4" t="str">
        <f>VLOOKUP($A4,Data!$A$2:$E$66,5,FALSE)</f>
        <v>547-3166</v>
      </c>
    </row>
    <row r="5" spans="1:7" x14ac:dyDescent="0.4">
      <c r="A5" t="s">
        <v>51</v>
      </c>
      <c r="B5">
        <v>1.1111111111111112</v>
      </c>
      <c r="C5" t="str">
        <f>VLOOKUP($A5,Data!$A$2:$D$66,3,FALSE)</f>
        <v xml:space="preserve">Stelvio Kontek MODUCOM Series 2.54mm Pitch 45 Way 1 Row Straight PCB Socket, Through Hole, Solder Termination </v>
      </c>
      <c r="D5">
        <f>VLOOKUP($A5,Data!$A$2:$D$66,2,FALSE)</f>
        <v>3.02</v>
      </c>
      <c r="E5">
        <f t="shared" si="0"/>
        <v>3.3555555555555556</v>
      </c>
      <c r="F5">
        <f>VLOOKUP($A5,Data!$A$2:$D$66,4,FALSE)</f>
        <v>0</v>
      </c>
      <c r="G5" t="str">
        <f>VLOOKUP($A5,Data!$A$2:$E$66,5,FALSE)</f>
        <v>230-4893</v>
      </c>
    </row>
    <row r="6" spans="1:7" x14ac:dyDescent="0.4">
      <c r="A6" t="s">
        <v>25</v>
      </c>
      <c r="B6">
        <v>1</v>
      </c>
      <c r="C6" t="str">
        <f>VLOOKUP($A6,Data!$A$2:$D$66,3,FALSE)</f>
        <v>RJ45 YELLOW PATCH LEADS UTP</v>
      </c>
      <c r="D6">
        <f>VLOOKUP($A6,Data!$A$2:$D$66,2,FALSE)</f>
        <v>2.8299999999999996</v>
      </c>
      <c r="E6">
        <f t="shared" si="0"/>
        <v>2.8299999999999996</v>
      </c>
      <c r="F6">
        <f>VLOOKUP($A6,Data!$A$2:$D$66,4,FALSE)</f>
        <v>0</v>
      </c>
      <c r="G6">
        <f>VLOOKUP($A6,Data!$A$2:$E$66,5,FALSE)</f>
        <v>0</v>
      </c>
    </row>
    <row r="7" spans="1:7" x14ac:dyDescent="0.4">
      <c r="A7" t="s">
        <v>30</v>
      </c>
      <c r="B7">
        <v>2</v>
      </c>
      <c r="C7" t="str">
        <f>VLOOKUP($A7,Data!$A$2:$D$66,3,FALSE)</f>
        <v xml:space="preserve">RS Pro Cat5 8 Way Right Angle PCB Mount Unshielded RJ45 Connector Female </v>
      </c>
      <c r="D7">
        <f>VLOOKUP($A7,Data!$A$2:$D$66,2,FALSE)</f>
        <v>1.8</v>
      </c>
      <c r="E7">
        <f t="shared" si="0"/>
        <v>3.6</v>
      </c>
      <c r="F7">
        <f>VLOOKUP($A7,Data!$A$2:$D$66,4,FALSE)</f>
        <v>0</v>
      </c>
      <c r="G7" t="str">
        <f>VLOOKUP($A7,Data!$A$2:$E$66,5,FALSE)</f>
        <v xml:space="preserve">331-6437 </v>
      </c>
    </row>
    <row r="8" spans="1:7" x14ac:dyDescent="0.4">
      <c r="A8" t="s">
        <v>23</v>
      </c>
      <c r="B8">
        <v>1</v>
      </c>
      <c r="C8" t="str">
        <f>VLOOKUP($A8,Data!$A$2:$D$66,3,FALSE)</f>
        <v>RS USB2.0 Cable, A-MicroB, M/M, 1.8m</v>
      </c>
      <c r="D8">
        <f>VLOOKUP($A8,Data!$A$2:$D$66,2,FALSE)</f>
        <v>2.5100000000000002</v>
      </c>
      <c r="E8">
        <f t="shared" si="0"/>
        <v>2.5100000000000002</v>
      </c>
      <c r="F8">
        <f>VLOOKUP($A8,Data!$A$2:$D$66,4,FALSE)</f>
        <v>0</v>
      </c>
      <c r="G8">
        <f>VLOOKUP($A8,Data!$A$2:$E$66,5,FALSE)</f>
        <v>0</v>
      </c>
    </row>
    <row r="9" spans="1:7" x14ac:dyDescent="0.4">
      <c r="A9" t="s">
        <v>11</v>
      </c>
      <c r="B9">
        <v>1</v>
      </c>
      <c r="C9" t="str">
        <f>VLOOKUP($A9,Data!$A$2:$D$66,3,FALSE)</f>
        <v>Osram Opto CHIPLED 0603 470 nm Blue LED, 1608 (0603) SMD package</v>
      </c>
      <c r="D9">
        <f>VLOOKUP($A9,Data!$A$2:$D$66,2,FALSE)</f>
        <v>0.40400000000000003</v>
      </c>
      <c r="E9">
        <f t="shared" si="0"/>
        <v>0.40400000000000003</v>
      </c>
      <c r="F9" t="str">
        <f>VLOOKUP($A9,Data!$A$2:$D$66,4,FALSE)</f>
        <v>10 Pack</v>
      </c>
      <c r="G9" t="str">
        <f>VLOOKUP($A9,Data!$A$2:$E$66,5,FALSE)</f>
        <v xml:space="preserve">697-3617 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E88D2B-362B-4496-BBED-9BEF280BB8E1}">
          <x14:formula1>
            <xm:f>Data!$A$2:$A$320</xm:f>
          </x14:formula1>
          <xm:sqref>A2:A32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523D4-41B9-483E-8DE7-0112CA939A14}">
  <dimension ref="A1:G5"/>
  <sheetViews>
    <sheetView workbookViewId="0">
      <selection activeCell="G12" sqref="G12"/>
    </sheetView>
  </sheetViews>
  <sheetFormatPr defaultRowHeight="14.6" x14ac:dyDescent="0.4"/>
  <cols>
    <col min="3" max="3" width="19.78515625" customWidth="1"/>
  </cols>
  <sheetData>
    <row r="1" spans="1:7" x14ac:dyDescent="0.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14</v>
      </c>
      <c r="G1" t="str">
        <f>Data!E1</f>
        <v>RS Stock No.</v>
      </c>
    </row>
    <row r="2" spans="1:7" x14ac:dyDescent="0.4">
      <c r="A2" t="s">
        <v>16</v>
      </c>
      <c r="B2">
        <v>1</v>
      </c>
      <c r="C2" t="str">
        <f>VLOOKUP($A2,Data!$A$2:$D$66,3,FALSE)</f>
        <v>Vishay CRCW Series Thick Film Surface Mount Fixed Resistor 0805 Case 220Ω ±1% 0.125W ±100ppm/°C</v>
      </c>
      <c r="D2">
        <f>VLOOKUP($A2,Data!$A$2:$D$66,2,FALSE)</f>
        <v>3.6000000000000004E-2</v>
      </c>
      <c r="E2">
        <f>B2*D2</f>
        <v>3.6000000000000004E-2</v>
      </c>
      <c r="F2" t="str">
        <f>VLOOKUP($A2,Data!$A$2:$D$66,4,FALSE)</f>
        <v>50 Pack</v>
      </c>
      <c r="G2" t="str">
        <f>VLOOKUP($A2,Data!$A$2:$E$66,5,FALSE)</f>
        <v>679-1096</v>
      </c>
    </row>
    <row r="3" spans="1:7" x14ac:dyDescent="0.4">
      <c r="A3" t="s">
        <v>29</v>
      </c>
      <c r="B3">
        <f>3/36</f>
        <v>8.3333333333333329E-2</v>
      </c>
      <c r="C3" t="str">
        <f>VLOOKUP($A3,Data!$A$2:$D$66,3,FALSE)</f>
        <v xml:space="preserve">HARWIN M20, 2.54mm Pitch, 36 Way, 1 Row, Right Angle Pin Header, Through Hole </v>
      </c>
      <c r="D3">
        <f>VLOOKUP($A3,Data!$A$2:$D$66,2,FALSE)</f>
        <v>1.78</v>
      </c>
      <c r="E3">
        <f t="shared" ref="E3:E5" si="0">B3*D3</f>
        <v>0.14833333333333332</v>
      </c>
      <c r="F3">
        <f>VLOOKUP($A3,Data!$A$2:$D$66,4,FALSE)</f>
        <v>0</v>
      </c>
      <c r="G3" t="str">
        <f>VLOOKUP($A3,Data!$A$2:$E$66,5,FALSE)</f>
        <v>547-3217</v>
      </c>
    </row>
    <row r="4" spans="1:7" x14ac:dyDescent="0.4">
      <c r="A4" t="s">
        <v>15</v>
      </c>
      <c r="B4">
        <v>1</v>
      </c>
      <c r="C4" t="str">
        <f>VLOOKUP($A4,Data!$A$2:$D$66,3,FALSE)</f>
        <v>Vishay CRCW Series Thick Film Surface Mount Fixed Resistor 0805 Case 10kΩ ±1% 0.125W ±100ppm/°C</v>
      </c>
      <c r="D4">
        <f>VLOOKUP($A4,Data!$A$2:$D$66,2,FALSE)</f>
        <v>3.6000000000000004E-2</v>
      </c>
      <c r="E4">
        <f t="shared" si="0"/>
        <v>3.6000000000000004E-2</v>
      </c>
      <c r="F4" t="str">
        <f>VLOOKUP($A4,Data!$A$2:$D$66,4,FALSE)</f>
        <v>50 Pack</v>
      </c>
      <c r="G4" t="str">
        <f>VLOOKUP($A4,Data!$A$2:$E$66,5,FALSE)</f>
        <v>679-0816</v>
      </c>
    </row>
    <row r="5" spans="1:7" x14ac:dyDescent="0.4">
      <c r="A5" t="s">
        <v>21</v>
      </c>
      <c r="B5">
        <v>1</v>
      </c>
      <c r="C5" t="str">
        <f>VLOOKUP($A5,Data!$A$2:$D$66,3,FALSE)</f>
        <v xml:space="preserve">Vishay TCRT5000L, Through Hole Reflective Sensor, Transistor Output 2, Leaded package </v>
      </c>
      <c r="D5">
        <f>VLOOKUP($A5,Data!$A$2:$D$66,2,FALSE)</f>
        <v>1.3169999999999999</v>
      </c>
      <c r="E5">
        <f t="shared" si="0"/>
        <v>1.3169999999999999</v>
      </c>
      <c r="F5">
        <f>VLOOKUP($A5,Data!$A$2:$D$66,4,FALSE)</f>
        <v>0</v>
      </c>
      <c r="G5">
        <f>VLOOKUP($A5,Data!$A$2:$E$66,5,FALSE)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FEA314-004E-463B-A62F-AEF1CBC3FFDA}">
          <x14:formula1>
            <xm:f>Data!$A$2:$A$320</xm:f>
          </x14:formula1>
          <xm:sqref>A2:A32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0FF8-64CD-4D48-92EC-4974A125A522}">
  <dimension ref="A1:F15"/>
  <sheetViews>
    <sheetView tabSelected="1" workbookViewId="0">
      <selection activeCell="E15" sqref="E15"/>
    </sheetView>
  </sheetViews>
  <sheetFormatPr defaultRowHeight="14.6" x14ac:dyDescent="0.4"/>
  <cols>
    <col min="3" max="3" width="92.5" customWidth="1"/>
  </cols>
  <sheetData>
    <row r="1" spans="1:6" x14ac:dyDescent="0.4">
      <c r="A1" t="s">
        <v>10</v>
      </c>
      <c r="B1" t="s">
        <v>3</v>
      </c>
      <c r="C1" t="s">
        <v>2</v>
      </c>
      <c r="D1" t="s">
        <v>12</v>
      </c>
      <c r="E1" t="s">
        <v>33</v>
      </c>
      <c r="F1" t="s">
        <v>48</v>
      </c>
    </row>
    <row r="2" spans="1:6" x14ac:dyDescent="0.4">
      <c r="A2" t="s">
        <v>11</v>
      </c>
      <c r="B2">
        <v>0.40400000000000003</v>
      </c>
      <c r="C2" t="s">
        <v>9</v>
      </c>
      <c r="D2" t="s">
        <v>13</v>
      </c>
      <c r="E2" t="s">
        <v>38</v>
      </c>
      <c r="F2">
        <v>3</v>
      </c>
    </row>
    <row r="3" spans="1:6" x14ac:dyDescent="0.4">
      <c r="A3" t="s">
        <v>15</v>
      </c>
      <c r="B3">
        <f>1.8/50</f>
        <v>3.6000000000000004E-2</v>
      </c>
      <c r="C3" t="s">
        <v>42</v>
      </c>
      <c r="D3" t="s">
        <v>46</v>
      </c>
      <c r="E3" t="s">
        <v>43</v>
      </c>
      <c r="F3">
        <v>24</v>
      </c>
    </row>
    <row r="4" spans="1:6" x14ac:dyDescent="0.4">
      <c r="A4" t="s">
        <v>16</v>
      </c>
      <c r="B4">
        <f t="shared" ref="B4:B5" si="0">1.8/50</f>
        <v>3.6000000000000004E-2</v>
      </c>
      <c r="C4" t="s">
        <v>40</v>
      </c>
      <c r="D4" t="s">
        <v>46</v>
      </c>
      <c r="E4" t="s">
        <v>41</v>
      </c>
      <c r="F4">
        <v>24</v>
      </c>
    </row>
    <row r="5" spans="1:6" x14ac:dyDescent="0.4">
      <c r="A5" t="s">
        <v>17</v>
      </c>
      <c r="B5">
        <f t="shared" si="0"/>
        <v>3.6000000000000004E-2</v>
      </c>
      <c r="C5" t="s">
        <v>44</v>
      </c>
      <c r="D5" t="s">
        <v>46</v>
      </c>
      <c r="E5" t="s">
        <v>45</v>
      </c>
      <c r="F5">
        <v>43</v>
      </c>
    </row>
    <row r="6" spans="1:6" x14ac:dyDescent="0.4">
      <c r="A6" t="s">
        <v>19</v>
      </c>
      <c r="B6">
        <f>33.46/2</f>
        <v>16.73</v>
      </c>
      <c r="C6" t="s">
        <v>18</v>
      </c>
      <c r="F6">
        <v>1</v>
      </c>
    </row>
    <row r="7" spans="1:6" x14ac:dyDescent="0.4">
      <c r="A7" t="s">
        <v>21</v>
      </c>
      <c r="B7">
        <f>26.34/20</f>
        <v>1.3169999999999999</v>
      </c>
      <c r="C7" t="s">
        <v>20</v>
      </c>
      <c r="F7">
        <v>3</v>
      </c>
    </row>
    <row r="8" spans="1:6" x14ac:dyDescent="0.4">
      <c r="A8" t="s">
        <v>23</v>
      </c>
      <c r="B8">
        <f>17.57/7</f>
        <v>2.5100000000000002</v>
      </c>
      <c r="C8" t="s">
        <v>22</v>
      </c>
      <c r="F8">
        <v>1</v>
      </c>
    </row>
    <row r="9" spans="1:6" x14ac:dyDescent="0.4">
      <c r="A9" t="s">
        <v>25</v>
      </c>
      <c r="B9">
        <f>19.81/7</f>
        <v>2.8299999999999996</v>
      </c>
      <c r="C9" t="s">
        <v>24</v>
      </c>
      <c r="F9">
        <v>1</v>
      </c>
    </row>
    <row r="10" spans="1:6" x14ac:dyDescent="0.4">
      <c r="A10" t="s">
        <v>27</v>
      </c>
      <c r="B10">
        <v>1.32</v>
      </c>
      <c r="C10" t="s">
        <v>26</v>
      </c>
      <c r="E10" t="s">
        <v>39</v>
      </c>
    </row>
    <row r="11" spans="1:6" x14ac:dyDescent="0.4">
      <c r="A11" t="s">
        <v>29</v>
      </c>
      <c r="B11">
        <v>1.78</v>
      </c>
      <c r="C11" t="s">
        <v>28</v>
      </c>
      <c r="E11" t="s">
        <v>47</v>
      </c>
    </row>
    <row r="12" spans="1:6" x14ac:dyDescent="0.4">
      <c r="A12" t="s">
        <v>51</v>
      </c>
      <c r="B12">
        <v>3.02</v>
      </c>
      <c r="C12" t="s">
        <v>49</v>
      </c>
      <c r="E12" t="s">
        <v>50</v>
      </c>
    </row>
    <row r="13" spans="1:6" x14ac:dyDescent="0.4">
      <c r="A13" t="s">
        <v>30</v>
      </c>
      <c r="B13">
        <v>1.8</v>
      </c>
      <c r="C13" t="s">
        <v>31</v>
      </c>
      <c r="E13" t="s">
        <v>32</v>
      </c>
      <c r="F13">
        <v>2</v>
      </c>
    </row>
    <row r="14" spans="1:6" x14ac:dyDescent="0.4">
      <c r="A14" t="s">
        <v>54</v>
      </c>
      <c r="B14">
        <v>0.54100000000000004</v>
      </c>
      <c r="C14" t="s">
        <v>53</v>
      </c>
      <c r="D14" t="s">
        <v>13</v>
      </c>
      <c r="E14" t="s">
        <v>55</v>
      </c>
    </row>
    <row r="15" spans="1:6" x14ac:dyDescent="0.4">
      <c r="A15" t="s">
        <v>57</v>
      </c>
      <c r="B15">
        <v>0.56200000000000006</v>
      </c>
      <c r="C15" t="s">
        <v>56</v>
      </c>
      <c r="D15" t="s">
        <v>13</v>
      </c>
      <c r="E15" t="s">
        <v>58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Mount</vt:lpstr>
      <vt:lpstr>Sensor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2018-04-20T02:46:46Z</dcterms:created>
  <dcterms:modified xsi:type="dcterms:W3CDTF">2018-05-04T02:32:19Z</dcterms:modified>
</cp:coreProperties>
</file>