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"/>
    </mc:Choice>
  </mc:AlternateContent>
  <xr:revisionPtr revIDLastSave="0" documentId="13_ncr:40009_{16CA4FB8-939D-F449-914B-51C87F4349C8}" xr6:coauthVersionLast="47" xr6:coauthVersionMax="47" xr10:uidLastSave="{00000000-0000-0000-0000-000000000000}"/>
  <bookViews>
    <workbookView xWindow="0" yWindow="740" windowWidth="29400" windowHeight="18380"/>
  </bookViews>
  <sheets>
    <sheet name="Assumptions+DCF" sheetId="4" r:id="rId1"/>
    <sheet name="IS" sheetId="1" r:id="rId2"/>
    <sheet name="BS" sheetId="2" r:id="rId3"/>
    <sheet name="WACC" sheetId="5" r:id="rId4"/>
    <sheet name="CF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4" i="4"/>
  <c r="M4" i="4" s="1"/>
  <c r="N4" i="4" s="1"/>
  <c r="N12" i="4" s="1"/>
  <c r="M14" i="4"/>
  <c r="N14" i="4"/>
  <c r="O14" i="4"/>
  <c r="P14" i="4"/>
  <c r="L11" i="4"/>
  <c r="M11" i="4" s="1"/>
  <c r="M18" i="2" s="1"/>
  <c r="L44" i="4"/>
  <c r="L42" i="4"/>
  <c r="D54" i="5"/>
  <c r="K46" i="5"/>
  <c r="G44" i="5"/>
  <c r="I32" i="5"/>
  <c r="J32" i="5" s="1"/>
  <c r="I31" i="5"/>
  <c r="J31" i="5" s="1"/>
  <c r="J24" i="5"/>
  <c r="K17" i="5"/>
  <c r="M17" i="5" s="1"/>
  <c r="L16" i="5"/>
  <c r="K16" i="5"/>
  <c r="M16" i="5" s="1"/>
  <c r="K8" i="5"/>
  <c r="C20" i="4"/>
  <c r="D20" i="4"/>
  <c r="E20" i="4"/>
  <c r="F20" i="4"/>
  <c r="G20" i="4"/>
  <c r="H20" i="4"/>
  <c r="I20" i="4"/>
  <c r="J20" i="4"/>
  <c r="K20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9" i="4"/>
  <c r="C30" i="4" s="1"/>
  <c r="D29" i="4"/>
  <c r="D30" i="4" s="1"/>
  <c r="E29" i="4"/>
  <c r="E30" i="4" s="1"/>
  <c r="F29" i="4"/>
  <c r="F30" i="4" s="1"/>
  <c r="G29" i="4"/>
  <c r="G30" i="4" s="1"/>
  <c r="H29" i="4"/>
  <c r="H30" i="4" s="1"/>
  <c r="I29" i="4"/>
  <c r="I30" i="4" s="1"/>
  <c r="J29" i="4"/>
  <c r="J30" i="4" s="1"/>
  <c r="K29" i="4"/>
  <c r="K30" i="4" s="1"/>
  <c r="B29" i="4"/>
  <c r="B30" i="4" s="1"/>
  <c r="B26" i="4"/>
  <c r="B25" i="4"/>
  <c r="B27" i="4" s="1"/>
  <c r="C18" i="2"/>
  <c r="D18" i="2"/>
  <c r="E18" i="2"/>
  <c r="F18" i="2"/>
  <c r="G18" i="2"/>
  <c r="H18" i="2"/>
  <c r="I18" i="2"/>
  <c r="J18" i="2"/>
  <c r="K18" i="2"/>
  <c r="B18" i="2"/>
  <c r="B21" i="4"/>
  <c r="B20" i="4"/>
  <c r="D32" i="2"/>
  <c r="D21" i="4" s="1"/>
  <c r="E32" i="2"/>
  <c r="E31" i="2" s="1"/>
  <c r="F32" i="2"/>
  <c r="F31" i="2" s="1"/>
  <c r="G32" i="2"/>
  <c r="G31" i="2" s="1"/>
  <c r="H32" i="2"/>
  <c r="H31" i="2" s="1"/>
  <c r="I32" i="2"/>
  <c r="I31" i="2" s="1"/>
  <c r="J32" i="2"/>
  <c r="J31" i="2" s="1"/>
  <c r="K32" i="2"/>
  <c r="K31" i="2" s="1"/>
  <c r="C32" i="2"/>
  <c r="C21" i="4" s="1"/>
  <c r="L10" i="4"/>
  <c r="M10" i="4" s="1"/>
  <c r="N10" i="4" s="1"/>
  <c r="N12" i="2" s="1"/>
  <c r="C12" i="2"/>
  <c r="D12" i="2"/>
  <c r="E12" i="2"/>
  <c r="F12" i="2"/>
  <c r="G12" i="2"/>
  <c r="H12" i="2"/>
  <c r="I12" i="2"/>
  <c r="J12" i="2"/>
  <c r="K12" i="2"/>
  <c r="B12" i="2"/>
  <c r="L9" i="4"/>
  <c r="M9" i="4" s="1"/>
  <c r="M93" i="2" s="1"/>
  <c r="L8" i="4"/>
  <c r="M8" i="4" s="1"/>
  <c r="L7" i="4"/>
  <c r="M7" i="4" s="1"/>
  <c r="M31" i="1" s="1"/>
  <c r="L6" i="4"/>
  <c r="L14" i="1" s="1"/>
  <c r="L5" i="4"/>
  <c r="M5" i="4" s="1"/>
  <c r="M13" i="1" s="1"/>
  <c r="C31" i="1"/>
  <c r="D31" i="1"/>
  <c r="E31" i="1"/>
  <c r="F31" i="1"/>
  <c r="G31" i="1"/>
  <c r="H31" i="1"/>
  <c r="I31" i="1"/>
  <c r="J31" i="1"/>
  <c r="K31" i="1"/>
  <c r="B31" i="1"/>
  <c r="F14" i="1"/>
  <c r="G14" i="1"/>
  <c r="H14" i="1"/>
  <c r="I14" i="1"/>
  <c r="J14" i="1"/>
  <c r="K14" i="1"/>
  <c r="E14" i="1"/>
  <c r="C14" i="1"/>
  <c r="D14" i="1"/>
  <c r="D4" i="1"/>
  <c r="E4" i="1"/>
  <c r="F4" i="1"/>
  <c r="G4" i="1"/>
  <c r="H4" i="1"/>
  <c r="I4" i="1"/>
  <c r="J4" i="1"/>
  <c r="K4" i="1"/>
  <c r="C4" i="1"/>
  <c r="C13" i="1"/>
  <c r="D13" i="1"/>
  <c r="E13" i="1"/>
  <c r="F13" i="1"/>
  <c r="G13" i="1"/>
  <c r="H13" i="1"/>
  <c r="I13" i="1"/>
  <c r="J13" i="1"/>
  <c r="K13" i="1"/>
  <c r="C93" i="2"/>
  <c r="D93" i="2"/>
  <c r="E93" i="2"/>
  <c r="F93" i="2"/>
  <c r="G93" i="2"/>
  <c r="H93" i="2"/>
  <c r="I93" i="2"/>
  <c r="J93" i="2"/>
  <c r="K93" i="2"/>
  <c r="B93" i="2"/>
  <c r="C30" i="2"/>
  <c r="D30" i="2"/>
  <c r="E30" i="2"/>
  <c r="F30" i="2"/>
  <c r="G30" i="2"/>
  <c r="H30" i="2"/>
  <c r="I30" i="2"/>
  <c r="J30" i="2"/>
  <c r="K30" i="2"/>
  <c r="B30" i="2"/>
  <c r="B14" i="1"/>
  <c r="B13" i="1"/>
  <c r="J33" i="5" l="1"/>
  <c r="M19" i="5"/>
  <c r="F27" i="4"/>
  <c r="L18" i="2"/>
  <c r="E27" i="4"/>
  <c r="D37" i="4"/>
  <c r="B37" i="4"/>
  <c r="L13" i="1"/>
  <c r="M12" i="4"/>
  <c r="L12" i="4"/>
  <c r="L33" i="2" s="1"/>
  <c r="L4" i="1"/>
  <c r="O4" i="4"/>
  <c r="O4" i="1" s="1"/>
  <c r="M12" i="2"/>
  <c r="L93" i="2"/>
  <c r="N11" i="4"/>
  <c r="N18" i="2" s="1"/>
  <c r="L31" i="1"/>
  <c r="L12" i="2"/>
  <c r="N4" i="1"/>
  <c r="M4" i="1"/>
  <c r="H27" i="4"/>
  <c r="H33" i="4" s="1"/>
  <c r="G27" i="4"/>
  <c r="G33" i="4" s="1"/>
  <c r="I27" i="4"/>
  <c r="I33" i="4" s="1"/>
  <c r="D31" i="2"/>
  <c r="J27" i="4"/>
  <c r="J33" i="4" s="1"/>
  <c r="C31" i="2"/>
  <c r="K21" i="4"/>
  <c r="K37" i="4" s="1"/>
  <c r="I21" i="4"/>
  <c r="I37" i="4" s="1"/>
  <c r="J21" i="4"/>
  <c r="J37" i="4" s="1"/>
  <c r="F21" i="4"/>
  <c r="F37" i="4" s="1"/>
  <c r="D27" i="4"/>
  <c r="D33" i="4" s="1"/>
  <c r="E21" i="4"/>
  <c r="E37" i="4" s="1"/>
  <c r="H21" i="4"/>
  <c r="H37" i="4" s="1"/>
  <c r="G21" i="4"/>
  <c r="G37" i="4" s="1"/>
  <c r="B33" i="4"/>
  <c r="K27" i="4"/>
  <c r="K33" i="4" s="1"/>
  <c r="C27" i="4"/>
  <c r="C33" i="4" s="1"/>
  <c r="F33" i="4"/>
  <c r="E33" i="4"/>
  <c r="J48" i="5"/>
  <c r="J25" i="5"/>
  <c r="J35" i="5" s="1"/>
  <c r="J38" i="5" s="1"/>
  <c r="J55" i="5" s="1"/>
  <c r="N5" i="4"/>
  <c r="N8" i="4"/>
  <c r="O8" i="4" s="1"/>
  <c r="P8" i="4" s="1"/>
  <c r="M6" i="4"/>
  <c r="N7" i="4"/>
  <c r="N31" i="1" s="1"/>
  <c r="N9" i="4"/>
  <c r="N93" i="2" s="1"/>
  <c r="O10" i="4"/>
  <c r="L32" i="2" l="1"/>
  <c r="L31" i="2" s="1"/>
  <c r="C34" i="4"/>
  <c r="C37" i="4" s="1"/>
  <c r="L5" i="1"/>
  <c r="L19" i="2" s="1"/>
  <c r="L25" i="4" s="1"/>
  <c r="M33" i="2"/>
  <c r="N33" i="2" s="1"/>
  <c r="O7" i="4"/>
  <c r="O31" i="1" s="1"/>
  <c r="L15" i="1"/>
  <c r="L94" i="2"/>
  <c r="L29" i="4" s="1"/>
  <c r="L30" i="4" s="1"/>
  <c r="L9" i="1"/>
  <c r="L13" i="2" s="1"/>
  <c r="L26" i="4" s="1"/>
  <c r="L27" i="4" s="1"/>
  <c r="P4" i="4"/>
  <c r="P12" i="4" s="1"/>
  <c r="O12" i="4"/>
  <c r="L21" i="4"/>
  <c r="P10" i="4"/>
  <c r="P12" i="2" s="1"/>
  <c r="O12" i="2"/>
  <c r="P7" i="4"/>
  <c r="P31" i="1" s="1"/>
  <c r="N6" i="4"/>
  <c r="M14" i="1"/>
  <c r="O11" i="4"/>
  <c r="O18" i="2" s="1"/>
  <c r="O5" i="4"/>
  <c r="N13" i="1"/>
  <c r="L30" i="1"/>
  <c r="O9" i="4"/>
  <c r="L33" i="4" l="1"/>
  <c r="O33" i="2"/>
  <c r="L30" i="2"/>
  <c r="M5" i="1"/>
  <c r="M9" i="1" s="1"/>
  <c r="M3" i="1" s="1"/>
  <c r="L3" i="1"/>
  <c r="L41" i="1" s="1"/>
  <c r="L68" i="1" s="1"/>
  <c r="L20" i="4" s="1"/>
  <c r="L37" i="4" s="1"/>
  <c r="L38" i="4" s="1"/>
  <c r="M94" i="2"/>
  <c r="M29" i="4" s="1"/>
  <c r="M30" i="4" s="1"/>
  <c r="N5" i="1"/>
  <c r="N19" i="2" s="1"/>
  <c r="N25" i="4" s="1"/>
  <c r="P33" i="2"/>
  <c r="P4" i="1"/>
  <c r="M32" i="2"/>
  <c r="M31" i="2" s="1"/>
  <c r="O6" i="4"/>
  <c r="N14" i="1"/>
  <c r="P9" i="4"/>
  <c r="P93" i="2" s="1"/>
  <c r="O93" i="2"/>
  <c r="P11" i="4"/>
  <c r="P18" i="2" s="1"/>
  <c r="P5" i="4"/>
  <c r="P13" i="1" s="1"/>
  <c r="O13" i="1"/>
  <c r="N32" i="2"/>
  <c r="M30" i="1"/>
  <c r="M15" i="1" l="1"/>
  <c r="M41" i="1" s="1"/>
  <c r="M68" i="1" s="1"/>
  <c r="M20" i="4" s="1"/>
  <c r="M13" i="2"/>
  <c r="M26" i="4" s="1"/>
  <c r="M30" i="2"/>
  <c r="M19" i="2"/>
  <c r="M25" i="4" s="1"/>
  <c r="N9" i="1"/>
  <c r="N3" i="1" s="1"/>
  <c r="N41" i="1" s="1"/>
  <c r="N68" i="1" s="1"/>
  <c r="N20" i="4" s="1"/>
  <c r="M27" i="4"/>
  <c r="M33" i="4" s="1"/>
  <c r="N30" i="2"/>
  <c r="N94" i="2"/>
  <c r="N29" i="4" s="1"/>
  <c r="N30" i="4" s="1"/>
  <c r="O5" i="1"/>
  <c r="O19" i="2" s="1"/>
  <c r="O25" i="4" s="1"/>
  <c r="N15" i="1"/>
  <c r="M21" i="4"/>
  <c r="P6" i="4"/>
  <c r="P14" i="1" s="1"/>
  <c r="O14" i="1"/>
  <c r="N31" i="2"/>
  <c r="N21" i="4"/>
  <c r="O32" i="2"/>
  <c r="N30" i="1"/>
  <c r="M37" i="4" l="1"/>
  <c r="M38" i="4" s="1"/>
  <c r="O30" i="2"/>
  <c r="N13" i="2"/>
  <c r="N26" i="4" s="1"/>
  <c r="N27" i="4" s="1"/>
  <c r="N33" i="4" s="1"/>
  <c r="O15" i="1"/>
  <c r="O94" i="2"/>
  <c r="O29" i="4" s="1"/>
  <c r="O30" i="4" s="1"/>
  <c r="N37" i="4"/>
  <c r="N38" i="4" s="1"/>
  <c r="P5" i="1"/>
  <c r="P30" i="2" s="1"/>
  <c r="O9" i="1"/>
  <c r="O31" i="2"/>
  <c r="O21" i="4"/>
  <c r="P32" i="2"/>
  <c r="O30" i="1"/>
  <c r="P30" i="1"/>
  <c r="P15" i="1" l="1"/>
  <c r="P9" i="1"/>
  <c r="P3" i="1" s="1"/>
  <c r="P19" i="2"/>
  <c r="P25" i="4" s="1"/>
  <c r="P94" i="2"/>
  <c r="P29" i="4" s="1"/>
  <c r="P30" i="4" s="1"/>
  <c r="P13" i="2"/>
  <c r="P26" i="4" s="1"/>
  <c r="P27" i="4" s="1"/>
  <c r="P33" i="4" s="1"/>
  <c r="O13" i="2"/>
  <c r="O26" i="4" s="1"/>
  <c r="O27" i="4" s="1"/>
  <c r="O33" i="4" s="1"/>
  <c r="O3" i="1"/>
  <c r="O41" i="1" s="1"/>
  <c r="O68" i="1" s="1"/>
  <c r="O20" i="4" s="1"/>
  <c r="O37" i="4" s="1"/>
  <c r="O38" i="4" s="1"/>
  <c r="P31" i="2"/>
  <c r="P21" i="4"/>
  <c r="P41" i="1" l="1"/>
  <c r="P68" i="1" s="1"/>
  <c r="P20" i="4" s="1"/>
  <c r="P37" i="4" s="1"/>
  <c r="P38" i="4" s="1"/>
  <c r="Q38" i="4" s="1"/>
  <c r="L40" i="4" s="1"/>
  <c r="L41" i="4" s="1"/>
  <c r="L43" i="4" s="1"/>
  <c r="L46" i="4" s="1"/>
  <c r="L48" i="4" s="1"/>
</calcChain>
</file>

<file path=xl/comments1.xml><?xml version="1.0" encoding="utf-8"?>
<comments xmlns="http://schemas.openxmlformats.org/spreadsheetml/2006/main">
  <authors>
    <author>sam</author>
  </authors>
  <commentList>
    <comment ref="S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14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Data from MorningStar Financials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Data</t>
        </r>
        <r>
          <rPr>
            <sz val="10"/>
            <color rgb="FF000000"/>
            <rFont val="Arial"/>
            <family val="2"/>
          </rPr>
          <t xml:space="preserve"> from MorningStar</t>
        </r>
      </text>
    </comment>
    <comment ref="A3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this grows at the same rate as revenue in projected years
</t>
        </r>
      </text>
    </comment>
  </commentList>
</comments>
</file>

<file path=xl/comments4.xml><?xml version="1.0" encoding="utf-8"?>
<comments xmlns="http://schemas.openxmlformats.org/spreadsheetml/2006/main">
  <authors>
    <author>tc={11BBF855-5FE0-4244-95A4-45FF527F285B}</author>
    <author>tc={E37CC24E-B296-C747-B626-0E7110D2CD39}</author>
    <author>tc={A523FAC1-5ECF-E942-A908-E69D3FA615DA}</author>
    <author>tc={FAC2CB4A-DDA4-C543-A88C-51D79391617B}</author>
    <author>tc={43A6835C-D55C-B642-B723-6E4DBCA239D6}</author>
    <author>tc={D38029D4-F54C-1A4E-AA32-4DB61AA0832F}</author>
    <author>tc={03B98151-51F1-CA44-92C9-96AF70AFD814}</author>
    <author>tc={8831010A-370E-8A4C-B2E8-0773870D69E0}</author>
    <author>tc={C4CE6263-63BE-814F-B86A-1F80DD91F0A6}</author>
    <author>tc={81F306B3-7520-3549-A257-9295E6087A25}</author>
  </authors>
  <commentList>
    <comment ref="A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There’s many ways to calculate this, if you get any pick the smallest one</t>
      </text>
    </comment>
    <comment ref="A11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FY 22 Annual Report</t>
      </text>
    </comment>
    <comment ref="E1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Average Unlevered Betas</t>
      </text>
    </comment>
    <comment ref="G16" authorId="3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Metals and mining industry, Damodaran India 
</t>
      </text>
    </comment>
    <comment ref="B17" authorId="4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Assuming all exports are to Europe
Reply:
    Recent Earnings Call transcripts suggests Europe is the biggest Export market
</t>
      </text>
    </comment>
    <comment ref="G17" authorId="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Metals and mining, Damodaran Europe
</t>
      </text>
    </comment>
    <comment ref="E32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Germany’s couldn’t find europe’s consolidated number. Germany is the primary export market in GPIL’s industry</t>
      </text>
    </comment>
    <comment ref="G44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Kinda absurd number, but company is debt free and generates high EBITDAs</t>
      </text>
    </comment>
    <comment ref="B46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Effective tax rate = ~25
I’ve done change in total tax amount this year / change in accounting profit before tax from continuing profit</t>
      </text>
    </comment>
    <comment ref="B53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Net Debt, excludes cash and cash equivalent</t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took the Cash and Cash equivalents item from this sheet
</t>
        </r>
        <r>
          <rPr>
            <sz val="10"/>
            <color rgb="FF000000"/>
            <rFont val="Tahoma"/>
            <family val="2"/>
          </rPr>
          <t>Data from MorningStar</t>
        </r>
      </text>
    </comment>
  </commentList>
</comments>
</file>

<file path=xl/sharedStrings.xml><?xml version="1.0" encoding="utf-8"?>
<sst xmlns="http://schemas.openxmlformats.org/spreadsheetml/2006/main" count="1638" uniqueCount="428">
  <si>
    <t>GPIL_income-statement_Annual_As_Originally_Reported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</si>
  <si>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</si>
  <si>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</si>
  <si>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</si>
  <si>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</si>
  <si>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</si>
  <si>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</si>
  <si>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</si>
  <si>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</si>
  <si>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</si>
  <si>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</si>
  <si>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TTM</t>
  </si>
  <si>
    <t>Gross Profit</t>
  </si>
  <si>
    <t xml:space="preserve">    Total Revenue</t>
  </si>
  <si>
    <t xml:space="preserve">        Business Revenue</t>
  </si>
  <si>
    <t xml:space="preserve">        Other Revenue</t>
  </si>
  <si>
    <t/>
  </si>
  <si>
    <t xml:space="preserve">        Excise Taxes</t>
  </si>
  <si>
    <t xml:space="preserve">    Cost of Revenue</t>
  </si>
  <si>
    <t xml:space="preserve">        Cost of Goods and Services</t>
  </si>
  <si>
    <t xml:space="preserve">        Changes in Inventories</t>
  </si>
  <si>
    <t xml:space="preserve">        Other Costof Revenue</t>
  </si>
  <si>
    <t>Operating Income/Expenses</t>
  </si>
  <si>
    <t xml:space="preserve">    Selling, General and Administrative Expenses</t>
  </si>
  <si>
    <t xml:space="preserve">        Staff Costs</t>
  </si>
  <si>
    <t xml:space="preserve">            Directors' Remuneration</t>
  </si>
  <si>
    <t xml:space="preserve">            Other Staff Costs</t>
  </si>
  <si>
    <t xml:space="preserve">        Legal, Accounting, Auditing and Consulting Fee</t>
  </si>
  <si>
    <t xml:space="preserve">            Legal Fees</t>
  </si>
  <si>
    <t xml:space="preserve">            Auditor Fees</t>
  </si>
  <si>
    <t xml:space="preserve">            Non-Audit Fees Paid to Auditor</t>
  </si>
  <si>
    <t xml:space="preserve">            Other Professional Accounting and Consulting Fees</t>
  </si>
  <si>
    <t xml:space="preserve">        Telecommunication Expense</t>
  </si>
  <si>
    <t xml:space="preserve">        Insurance and Claims</t>
  </si>
  <si>
    <t xml:space="preserve">        Rent Expense</t>
  </si>
  <si>
    <t xml:space="preserve">        Selling and Marketing Expenses</t>
  </si>
  <si>
    <t xml:space="preserve">    Operation and Maintenance Expenses</t>
  </si>
  <si>
    <t xml:space="preserve">    Depreciation, Amortization and Depletion</t>
  </si>
  <si>
    <t xml:space="preserve">        Depreciation and Amortization</t>
  </si>
  <si>
    <t xml:space="preserve">            Depreciation</t>
  </si>
  <si>
    <t xml:space="preserve">            Amortization</t>
  </si>
  <si>
    <t xml:space="preserve">    Provisions</t>
  </si>
  <si>
    <t xml:space="preserve">        Provision for Doubtful Accounts</t>
  </si>
  <si>
    <t xml:space="preserve">    Other Income/Expense, Operating</t>
  </si>
  <si>
    <t xml:space="preserve">        Other Income, Operating</t>
  </si>
  <si>
    <t xml:space="preserve">        Other Expenses, Operating</t>
  </si>
  <si>
    <t xml:space="preserve">    Taxes Other Than Income Taxes</t>
  </si>
  <si>
    <t>Total Operating Profit/Loss</t>
  </si>
  <si>
    <t>Non-Operating Income/Expense, Total</t>
  </si>
  <si>
    <t xml:space="preserve">    Total Net Finance Income/Expense</t>
  </si>
  <si>
    <t xml:space="preserve">        Net Interest Income/Expense</t>
  </si>
  <si>
    <t xml:space="preserve">            Interest Expense Net of Capitalized Interest</t>
  </si>
  <si>
    <t xml:space="preserve">            Interest Income</t>
  </si>
  <si>
    <t xml:space="preserve">        Other Finance Income/Expenses</t>
  </si>
  <si>
    <t xml:space="preserve">            Other Finance Expenses</t>
  </si>
  <si>
    <t xml:space="preserve">            Other Finance Income</t>
  </si>
  <si>
    <t xml:space="preserve">    Net Investment Income</t>
  </si>
  <si>
    <t xml:space="preserve">        Income from Associates, JointVentures and Other Participating Interests</t>
  </si>
  <si>
    <t xml:space="preserve">        Gain/Loss on Investments and Other Financial Instruments</t>
  </si>
  <si>
    <t xml:space="preserve">        Gain/Loss on Foreign Currency Exchange</t>
  </si>
  <si>
    <t xml:space="preserve">        Dividend and Investment Income</t>
  </si>
  <si>
    <t xml:space="preserve">        Gain/Loss on Derivatives</t>
  </si>
  <si>
    <t xml:space="preserve">        Fair Value or Unrealized Gain/Loss on Financial Assets</t>
  </si>
  <si>
    <t xml:space="preserve">    Irregular Income/Expense</t>
  </si>
  <si>
    <t xml:space="preserve">        Fixed Asset Disposals</t>
  </si>
  <si>
    <t xml:space="preserve">        Other Irregular Income/Expense</t>
  </si>
  <si>
    <t xml:space="preserve">        Write Off/Write Down of Other Assets</t>
  </si>
  <si>
    <t xml:space="preserve">    Other Income/Expense, Non-Operating</t>
  </si>
  <si>
    <t>Pretax Income</t>
  </si>
  <si>
    <t>Provision for Income Tax</t>
  </si>
  <si>
    <t xml:space="preserve">    Current Tax</t>
  </si>
  <si>
    <t xml:space="preserve">    Deferred Tax</t>
  </si>
  <si>
    <t>Net Income before Extraordinary Items and Discontinued Operations</t>
  </si>
  <si>
    <t>Discontinued Operations</t>
  </si>
  <si>
    <t>Net Income after Extraordinary Items and Discontinued Operations</t>
  </si>
  <si>
    <t>Non-Controlling/Minority Interests</t>
  </si>
  <si>
    <t>Net Income after Non-Controlling/Minority Interests</t>
  </si>
  <si>
    <t>Net Income Available to Common Stockholders</t>
  </si>
  <si>
    <t>Diluted Net Income Available to Common Stockholders</t>
  </si>
  <si>
    <t>Income Statement Supplemental Section</t>
  </si>
  <si>
    <t xml:space="preserve">    Reported Normalized and Operating Income/Expense Supplemental Section</t>
  </si>
  <si>
    <t xml:space="preserve">        Total Revenue as Reported, Supplemental</t>
  </si>
  <si>
    <t xml:space="preserve">        Reported Operating Expense</t>
  </si>
  <si>
    <t xml:space="preserve">        Reported Total Operating Profit/Loss</t>
  </si>
  <si>
    <t xml:space="preserve">    Operating Income/Expense, Supplemental Section</t>
  </si>
  <si>
    <t xml:space="preserve">        Depreciation, Amortization and Depletion, Supplemental</t>
  </si>
  <si>
    <t xml:space="preserve">            Depreciation and Amortization, Supplemental</t>
  </si>
  <si>
    <t xml:space="preserve">                Depreciation, Supplemental</t>
  </si>
  <si>
    <t xml:space="preserve">                Amortization, Supplemental</t>
  </si>
  <si>
    <t xml:space="preserve">    Non-Operating Income/Expense, Supplemental Section</t>
  </si>
  <si>
    <t xml:space="preserve">        Irregular Items, Supplemental</t>
  </si>
  <si>
    <t xml:space="preserve">            Other Irregular Income/Expense, Supplemental</t>
  </si>
  <si>
    <t>Preferred/Other Stock Distribution</t>
  </si>
  <si>
    <t>Earnings from Equity Interest</t>
  </si>
  <si>
    <t>Basic EPS</t>
  </si>
  <si>
    <t xml:space="preserve">    Basic EPS from Continuing Operations</t>
  </si>
  <si>
    <t xml:space="preserve">    Basic EPS from Discontinued Operations</t>
  </si>
  <si>
    <t>Diluted EPS</t>
  </si>
  <si>
    <t xml:space="preserve">    Diluted EPS from Continuing Operations</t>
  </si>
  <si>
    <t xml:space="preserve">    Diluted EPS from Discontinued Operations</t>
  </si>
  <si>
    <t>Basic Weighted Average Shares Outstanding</t>
  </si>
  <si>
    <t>Diluted Weighted Average Shares Outstanding</t>
  </si>
  <si>
    <t>Total Dividend Per Share</t>
  </si>
  <si>
    <t xml:space="preserve">    Regular Dividend Per Share Calc</t>
  </si>
  <si>
    <t>Basic WASO</t>
  </si>
  <si>
    <t>Diluted WASO</t>
  </si>
  <si>
    <t>Fiscal year ends in Mar 31 | INR</t>
  </si>
  <si>
    <t>GPIL_balance-sheet_Annual_As_Originally_Reported</t>
  </si>
  <si>
    <t>Total Assets</t>
  </si>
  <si>
    <t xml:space="preserve">    Total Current Assets</t>
  </si>
  <si>
    <t xml:space="preserve">        Cash, Cash Equivalents and Short Term Investments</t>
  </si>
  <si>
    <t xml:space="preserve">            Cash and Cash Equivalents</t>
  </si>
  <si>
    <t xml:space="preserve">                Cash</t>
  </si>
  <si>
    <t xml:space="preserve">                Cash Equivalents</t>
  </si>
  <si>
    <t xml:space="preserve">            Short Term Investments</t>
  </si>
  <si>
    <t xml:space="preserve">                Other Short Term Investments</t>
  </si>
  <si>
    <t xml:space="preserve">        Cash Restricted or Pledged, Current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</si>
  <si>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</si>
  <si>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</si>
  <si>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</si>
  <si>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</si>
  <si>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Other Inventories</t>
  </si>
  <si>
    <t xml:space="preserve">        Trade and Other Receivables, Current</t>
  </si>
  <si>
    <t xml:space="preserve">            Trade/Accounts Receivable, Current</t>
  </si>
  <si>
    <t xml:space="preserve">                Gross Trade/Accounts Receivable, Current</t>
  </si>
  <si>
    <t xml:space="preserve">                Allowance/Adjustments for Trade/Accounts Receivable, Current</t>
  </si>
  <si>
    <t xml:space="preserve">            Loans Receivable, Current</t>
  </si>
  <si>
    <t xml:space="preserve">            Taxes Receivable, Current</t>
  </si>
  <si>
    <t xml:space="preserve">            Accrued Interest Receivable, Current</t>
  </si>
  <si>
    <t xml:space="preserve">            Other Receivables, Current</t>
  </si>
  <si>
    <t xml:space="preserve">        Prepayments and Deposits, Current</t>
  </si>
  <si>
    <t xml:space="preserve">        Other Current Assets</t>
  </si>
  <si>
    <t xml:space="preserve">    Total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</si>
  <si>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</si>
  <si>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</si>
  <si>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</si>
  <si>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    Land and Improvements</t>
  </si>
  <si>
    <t xml:space="preserve">                    Buildings and Improvements</t>
  </si>
  <si>
    <t xml:space="preserve">                    Leasehold and Improvements</t>
  </si>
  <si>
    <t xml:space="preserve">                Machinery, Furniture and Equipment</t>
  </si>
  <si>
    <t xml:space="preserve">                    Plant and Machinery</t>
  </si>
  <si>
    <t xml:space="preserve">                    Furniture, Fixtures and Office Equipment</t>
  </si>
  <si>
    <t xml:space="preserve">                    Flight, Fleet, Vehicle and Related Equipment</t>
  </si>
  <si>
    <t xml:space="preserve">                Construction in Progress and Advance Payments</t>
  </si>
  <si>
    <t xml:space="preserve">                Other Property, Plant and Equipment</t>
  </si>
  <si>
    <t xml:space="preserve">                Leased Property, Plant and Equipment</t>
  </si>
  <si>
    <t xml:space="preserve">            Accumulated Depreciation and Impairment</t>
  </si>
  <si>
    <t xml:space="preserve">                Accumulated Depreciation</t>
  </si>
  <si>
    <t xml:space="preserve">                    Accumulated Depreciation of Properties</t>
  </si>
  <si>
    <t xml:space="preserve">                        Accumulated Depreciation of Land and Improvements</t>
  </si>
  <si>
    <t xml:space="preserve">                        Accumulated Depreciation of Buildings</t>
  </si>
  <si>
    <t xml:space="preserve">                        Accumulated Depreciation of Leasehold and Improvements</t>
  </si>
  <si>
    <t xml:space="preserve">                    Accumulated Depreciation of Machinery, Furniture and Equipment</t>
  </si>
  <si>
    <t xml:space="preserve">                        Accumulated Depreciation of Plant and Machinery</t>
  </si>
  <si>
    <t xml:space="preserve">                        Accumulated Depreciation of Furniture, Fixtures and Office Equipment</t>
  </si>
  <si>
    <t xml:space="preserve">                        Accumulated Depreciation of Flight, Fleet, Vehicle and Related Equipments</t>
  </si>
  <si>
    <t xml:space="preserve">                    Accumulated Depreciation of Other Property, Plant and Equipment</t>
  </si>
  <si>
    <t xml:space="preserve">                    Accumulated Depreciation of Leased Property, Plant and Equipment</t>
  </si>
  <si>
    <t xml:space="preserve">        Net Mineral Property Interests and Exploration Assets</t>
  </si>
  <si>
    <t xml:space="preserve">            Gross Mineral Property Interests and Exploration Assets</t>
  </si>
  <si>
    <t xml:space="preserve">            Accumulated Amortization of Mineral Property Interests and Exploration Assets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</si>
  <si>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</si>
  <si>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</si>
  <si>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</si>
  <si>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</si>
  <si>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Trademarks and Patents</t>
  </si>
  <si>
    <t xml:space="preserve">                    Software and Technology</t>
  </si>
  <si>
    <t xml:space="preserve">                    Research and Development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</si>
  <si>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</si>
  <si>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</si>
  <si>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Intangibles other than Goodwill</t>
  </si>
  <si>
    <t xml:space="preserve">                        Accumulated Amortization of Trademarks and Patents</t>
  </si>
  <si>
    <t xml:space="preserve">                        Accumulated Amortization of Software and Technology</t>
  </si>
  <si>
    <t xml:space="preserve">        Total Long Term Investments</t>
  </si>
  <si>
    <t xml:space="preserve">            Long Term Equity Investments</t>
  </si>
  <si>
    <t xml:space="preserve">                Investments in Associates</t>
  </si>
  <si>
    <t xml:space="preserve">                Investments in Joint Ventures</t>
  </si>
  <si>
    <t xml:space="preserve">            Investment in Financial Assets, Non-Current</t>
  </si>
  <si>
    <t xml:space="preserve">                Financial Investment Securities, Available-for-Sale &amp; Held-to-Maturity, Non-Current</t>
  </si>
  <si>
    <t xml:space="preserve">                    Available-for-Sale Securities, Non-Current</t>
  </si>
  <si>
    <t xml:space="preserve">                Other Financial Assets, Non-Current</t>
  </si>
  <si>
    <t xml:space="preserve">            Other Investments, Non-Current</t>
  </si>
  <si>
    <t xml:space="preserve">        Prepayments and Deposits, Non-Current</t>
  </si>
  <si>
    <t xml:space="preserve">            Prepayments, Non-Current</t>
  </si>
  <si>
    <t xml:space="preserve">            Deposits Paid for Business and Fixed Assets, Non-Current</t>
  </si>
  <si>
    <t xml:space="preserve">        Cash Restricted or Pledged, Non-Current</t>
  </si>
  <si>
    <t xml:space="preserve">        Deferred Tax Assets, Non-Current</t>
  </si>
  <si>
    <t xml:space="preserve">        Other Non-Current Assets</t>
  </si>
  <si>
    <t xml:space="preserve">        Deferred Costs/Assets, Non-Current</t>
  </si>
  <si>
    <t xml:space="preserve">        Trade and Other Receivables, Non-Current</t>
  </si>
  <si>
    <t xml:space="preserve">            Loans Receivable, Non-Current</t>
  </si>
  <si>
    <t>Total Liabilities</t>
  </si>
  <si>
    <t xml:space="preserve">    Total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</si>
  <si>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</si>
  <si>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</si>
  <si>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</si>
  <si>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Dividends Payable, Current</t>
  </si>
  <si>
    <t xml:space="preserve">                Interest Payable, Current</t>
  </si>
  <si>
    <t xml:space="preserve">                Taxes Payable, Current</t>
  </si>
  <si>
    <t xml:space="preserve">                Other Payable,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</si>
  <si>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</si>
  <si>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</si>
  <si>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</si>
  <si>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    Bank/Credit Facilities, Current Debt</t>
  </si>
  <si>
    <t xml:space="preserve">                    Other Loans,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</si>
  <si>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</si>
  <si>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</si>
  <si>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    Bank/Institutional Loans, Current Portion of LT Debt</t>
  </si>
  <si>
    <t xml:space="preserve">                        Other Current Portion of LT Debt</t>
  </si>
  <si>
    <t xml:space="preserve">            Other Financial Liabilities, Current</t>
  </si>
  <si>
    <t xml:space="preserve">        Provisions, Current</t>
  </si>
  <si>
    <t xml:space="preserve">            Provision for Employee Entitlements, Current</t>
  </si>
  <si>
    <t xml:space="preserve">        Deferred Liabilities, Current</t>
  </si>
  <si>
    <t xml:space="preserve">            Deferred Income/Customer Advances/Billings in Excess of Cost, Current</t>
  </si>
  <si>
    <t xml:space="preserve">        Other Current Liabilities</t>
  </si>
  <si>
    <t xml:space="preserve">    Total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</si>
  <si>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</si>
  <si>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</si>
  <si>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</si>
  <si>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Bank/Institutional Loans, Non-Current</t>
  </si>
  <si>
    <t xml:space="preserve">                    Other Loans, Non-Current</t>
  </si>
  <si>
    <t xml:space="preserve">                    Notes Payables, Non-Current</t>
  </si>
  <si>
    <t xml:space="preserve">        Provisions, Non-Current</t>
  </si>
  <si>
    <t xml:space="preserve">            Provision for Employee Entitlements, Non-Current</t>
  </si>
  <si>
    <t xml:space="preserve">        Tax Liabilities, Non-Current</t>
  </si>
  <si>
    <t xml:space="preserve">            Deferred Tax Liabilities, Non-Current</t>
  </si>
  <si>
    <t xml:space="preserve">        Payables and Accrued Expenses, Non-Current</t>
  </si>
  <si>
    <t xml:space="preserve">            Trade and Other Payables, Non-Current</t>
  </si>
  <si>
    <t xml:space="preserve">                Trade/Accounts Payable, Non-Current</t>
  </si>
  <si>
    <t xml:space="preserve">        Other Non-Current Liabilities</t>
  </si>
  <si>
    <t>Total Equity</t>
  </si>
  <si>
    <t xml:space="preserve">    Equity Attributable to Parent Stockholders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</si>
  <si>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</si>
  <si>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</si>
  <si>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</si>
  <si>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Additional Paid in Capital/Share Premium</t>
  </si>
  <si>
    <t xml:space="preserve">        Retained Earnings/Accumulated Deficit</t>
  </si>
  <si>
    <t xml:space="preserve">        Reserves/Accumulated Comprehensive Income/Losses</t>
  </si>
  <si>
    <t xml:space="preserve">            Surplus/Revenue Reserve</t>
  </si>
  <si>
    <t xml:space="preserve">            Capital/Share Premium Reserve</t>
  </si>
  <si>
    <t xml:space="preserve">            Other Reserves/Accum.Comp.Inc</t>
  </si>
  <si>
    <t xml:space="preserve">             Available for Sale Financial Investments Reserves/Accum.Comp.Inc</t>
  </si>
  <si>
    <t xml:space="preserve">            Pension and Other PostRetirement Benefit Plans Reserves/Accum.Comp.Inc</t>
  </si>
  <si>
    <t xml:space="preserve">        Other Equity Interest</t>
  </si>
  <si>
    <t xml:space="preserve">        Stock Options/Warrants/DeferredShares/ConvertibleDebentures</t>
  </si>
  <si>
    <t xml:space="preserve">    Non-Controlling/Minority Interests in Equity</t>
  </si>
  <si>
    <t>Debt Maturity Schedule Total</t>
  </si>
  <si>
    <t xml:space="preserve">    Debt due in Year 1</t>
  </si>
  <si>
    <t xml:space="preserve">    Debt due in Year 5</t>
  </si>
  <si>
    <t xml:space="preserve">    Debt due Beyond</t>
  </si>
  <si>
    <t>Other Contractual Obligations Maturity Schedule Total</t>
  </si>
  <si>
    <t xml:space="preserve">    Other Contractual Obligations due in Year 1</t>
  </si>
  <si>
    <t xml:space="preserve">    Other Contractual Obligations due in Year 5</t>
  </si>
  <si>
    <t>Total Contractual Obligations</t>
  </si>
  <si>
    <t xml:space="preserve">    Total Contractual Obligations due in year 1</t>
  </si>
  <si>
    <t xml:space="preserve">    Total Contractual Obligations due in year 5</t>
  </si>
  <si>
    <t xml:space="preserve">    Total Contractual Obligations due Beyond</t>
  </si>
  <si>
    <t>GPIL_cash-flow_Annual_As_Originally_Reported</t>
  </si>
  <si>
    <t>Cash Flow from Operating Activities, Indirect</t>
  </si>
  <si>
    <t xml:space="preserve">    Net Cash Flow from Continuing Operating Activities, Indirect</t>
  </si>
  <si>
    <t xml:space="preserve">        Cash Generated from Operating Activities</t>
  </si>
  <si>
    <t xml:space="preserve">            Income/Loss before Non-Cash Adjustment</t>
  </si>
  <si>
    <t xml:space="preserve">            Total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</si>
  <si>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</si>
  <si>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</si>
  <si>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</si>
  <si>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</si>
  <si>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Pension and Employee Benefit Expense, Non-Cash Adjustment</t>
  </si>
  <si>
    <t xml:space="preserve">                Interest and Finance Income/Expenses, Non-Cash Adjustment</t>
  </si>
  <si>
    <t xml:space="preserve">                Other Provisions, Non-Cash Adjustment</t>
  </si>
  <si>
    <t xml:space="preserve">                Net Investment Income/Loss, Non-Cash Adjustment</t>
  </si>
  <si>
    <t xml:space="preserve">                    Realized Gain/Loss on Disposal/Sale of Financial Instruments, Non-Cash Adjustment</t>
  </si>
  <si>
    <t xml:space="preserve">                    Gain/Loss on Derivatives, Non-Cash Adjustment</t>
  </si>
  <si>
    <t xml:space="preserve">                    Dividend and Interest Income, Non-Cash Adjustment</t>
  </si>
  <si>
    <t xml:space="preserve">                    Share of Profit/Loss from Associates, Joint Ventures and other Equity Investments, Non-Cash Adjustment</t>
  </si>
  <si>
    <t xml:space="preserve">                Irregular Income/Loss, Non-Cash Adjustment</t>
  </si>
  <si>
    <t xml:space="preserve">                    Gain/Loss on Disposals, Non-Cash Adjustment</t>
  </si>
  <si>
    <t xml:space="preserve">                        Gain/Loss on Disposal/Sale of Fixed Assets, Non-Cash Adjustment</t>
  </si>
  <si>
    <t xml:space="preserve">                        Gain/Loss on Disposal/Sale of Other Assets, Non-Cash Adjustment</t>
  </si>
  <si>
    <t xml:space="preserve">                    Write Down and Write off of Other Assets, Non-Cash Adjustment</t>
  </si>
  <si>
    <t xml:space="preserve">                    Other Irregular Income/Loss, Non-Cash Adjustment</t>
  </si>
  <si>
    <t xml:space="preserve">                Other Non-Cash Items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</si>
  <si>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</si>
  <si>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</si>
  <si>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</si>
  <si>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Trade/Accounts Receivable</t>
  </si>
  <si>
    <t xml:space="preserve">                    Change in Other Receivables</t>
  </si>
  <si>
    <t xml:space="preserve">                Change in Other Current Assets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</si>
  <si>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</si>
  <si>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</si>
  <si>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</si>
  <si>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Change in Other Current Liabilities</t>
  </si>
  <si>
    <t xml:space="preserve">                Change in Other Operating Capital</t>
  </si>
  <si>
    <t xml:space="preserve">        Taxes Refund/Paid, Indirect</t>
  </si>
  <si>
    <t xml:space="preserve">        Other Operating Cash Flow</t>
  </si>
  <si>
    <t>Cash Flow from Investing Activities</t>
  </si>
  <si>
    <t xml:space="preserve">    Cash Flow from Continuing Investing Activities</t>
  </si>
  <si>
    <t xml:space="preserve">        Payment for Loan Granted and Repayments Received, Net</t>
  </si>
  <si>
    <t xml:space="preserve">        Purchase/Sale and Disposal of Property, Plant and Equipment, Net</t>
  </si>
  <si>
    <t xml:space="preserve">            Purchase of Property, Plant and Equipment</t>
  </si>
  <si>
    <t xml:space="preserve">            Sale and Disposal of Property, Plant and Equipment</t>
  </si>
  <si>
    <t xml:space="preserve">        Purchase/Sale of Investments, Net</t>
  </si>
  <si>
    <t xml:space="preserve">            Purchase of Investments</t>
  </si>
  <si>
    <t xml:space="preserve">            Sale of Investments</t>
  </si>
  <si>
    <t xml:space="preserve">        Purchase/Sale of Other Non-Current Assets, Net</t>
  </si>
  <si>
    <t xml:space="preserve">            Purchase of Other Non-Current Assets</t>
  </si>
  <si>
    <t xml:space="preserve">            Sales of Other Non-Current Assets</t>
  </si>
  <si>
    <t xml:space="preserve">        Interest Received/Paid, CFI</t>
  </si>
  <si>
    <t xml:space="preserve">        Dividends Received/Paid, CFI</t>
  </si>
  <si>
    <t xml:space="preserve">        Other Investing Cash Flow</t>
  </si>
  <si>
    <t>Cash Flow from Financing Activities</t>
  </si>
  <si>
    <t xml:space="preserve">    Cash Flow from Continuing Financing Activities</t>
  </si>
  <si>
    <t xml:space="preserve">        Issuance of/Repayments for Debt, Net</t>
  </si>
  <si>
    <t xml:space="preserve">            Issuance of/Repayments for Short Term Debt, Net</t>
  </si>
  <si>
    <t xml:space="preserve">                Repayments for Short Term Debt</t>
  </si>
  <si>
    <t xml:space="preserve">                Proceeds from Issuance of Short Term Debt</t>
  </si>
  <si>
    <t xml:space="preserve">            Issuance of/Repayments for Long Term Debt, Net</t>
  </si>
  <si>
    <t xml:space="preserve">                Repayments for Long Term Debt</t>
  </si>
  <si>
    <t xml:space="preserve">                Proceeds from Issuance of Long Term Debt</t>
  </si>
  <si>
    <t xml:space="preserve">        Issue and Financing Costs</t>
  </si>
  <si>
    <t xml:space="preserve">            Share Issuance Costs</t>
  </si>
  <si>
    <t xml:space="preserve">        Cash Dividends and Interest Paid</t>
  </si>
  <si>
    <t xml:space="preserve">            Cash Dividends Paid</t>
  </si>
  <si>
    <t xml:space="preserve">                Common Stock Dividends Paid</t>
  </si>
  <si>
    <t xml:space="preserve">            Interest Paid, CFF</t>
  </si>
  <si>
    <t xml:space="preserve">        Issuance of/Payments for Common Stock, Net</t>
  </si>
  <si>
    <t xml:space="preserve">            Proceeds from Issuance of Common Stock</t>
  </si>
  <si>
    <t xml:space="preserve">        Net Movement in Non-Controlling/Minority Interest</t>
  </si>
  <si>
    <t xml:space="preserve">        Other Financing Cash Flow</t>
  </si>
  <si>
    <t xml:space="preserve">        Proceeds from Issuance/Exercising of Stock Options/Warrants</t>
  </si>
  <si>
    <t>Cash and Cash Equivalents, End of Period</t>
  </si>
  <si>
    <t xml:space="preserve">    Change in Cash</t>
  </si>
  <si>
    <t xml:space="preserve">    Other Changes</t>
  </si>
  <si>
    <t xml:space="preserve">    Cash and Cash Equivalents, Beginning of Period</t>
  </si>
  <si>
    <t>Cash Flow Supplemental Section</t>
  </si>
  <si>
    <t xml:space="preserve">    Change in Cash as Reported, Supplemental</t>
  </si>
  <si>
    <t xml:space="preserve">    Total Net Change in Cash</t>
  </si>
  <si>
    <t>ASSUMPTIONS</t>
  </si>
  <si>
    <t>Revenue Growth</t>
  </si>
  <si>
    <t>Gross Margins</t>
  </si>
  <si>
    <t>Operating Expenses / Revenue</t>
  </si>
  <si>
    <t>Revenue / PPE</t>
  </si>
  <si>
    <t>Operating Current Liabilities / Revenue</t>
  </si>
  <si>
    <t>Depreciation / PPE</t>
  </si>
  <si>
    <t>Inventories/Cost of Revenue (COGS)</t>
  </si>
  <si>
    <t>Tax Rate</t>
  </si>
  <si>
    <t>FREE CASH FLOW CALCULATIONS</t>
  </si>
  <si>
    <t>Change in net PPE</t>
  </si>
  <si>
    <t>%change in net PPE</t>
  </si>
  <si>
    <t>PROJECTED = Average of last 7 years</t>
  </si>
  <si>
    <t>Net Operating Profit</t>
  </si>
  <si>
    <t>Change in Net PPE</t>
  </si>
  <si>
    <t>Change in Non-Cash WC</t>
  </si>
  <si>
    <t>Accounts Receivable</t>
  </si>
  <si>
    <t>Inventories (+)</t>
  </si>
  <si>
    <t>Operating Current Assets</t>
  </si>
  <si>
    <t>Trade Receivables / Revenue</t>
  </si>
  <si>
    <t>Payables and Accrued Expenses (Current)</t>
  </si>
  <si>
    <t>Operating Current Liabilities</t>
  </si>
  <si>
    <t>Net OWC</t>
  </si>
  <si>
    <t>Change in NOWC</t>
  </si>
  <si>
    <t>FCF Calculation</t>
  </si>
  <si>
    <t>FCF</t>
  </si>
  <si>
    <t>WACC</t>
  </si>
  <si>
    <t>WACC Calculation - Template - GPIL - 13/1/2023</t>
  </si>
  <si>
    <t>Cost of Equity</t>
  </si>
  <si>
    <t>Riskfree rate = 10 year Government Bond Yield - Currency Default Spread</t>
  </si>
  <si>
    <t>10 Year Government Bond Yield (Domestic)</t>
  </si>
  <si>
    <t>Currency Default Spread</t>
  </si>
  <si>
    <t>Beta =</t>
  </si>
  <si>
    <t>Country</t>
  </si>
  <si>
    <t>Betas:</t>
  </si>
  <si>
    <t>Business Segments</t>
  </si>
  <si>
    <t>Country wise betas</t>
  </si>
  <si>
    <t>Revenue Seg</t>
  </si>
  <si>
    <t>Adjusted Betas</t>
  </si>
  <si>
    <t>% of total revenues</t>
  </si>
  <si>
    <t>Iron and Steel</t>
  </si>
  <si>
    <t>India</t>
  </si>
  <si>
    <t>Europe</t>
  </si>
  <si>
    <t>Final Beta =</t>
  </si>
  <si>
    <t>ERP = Riskfree rate + Beta(Mature market ERP) + Country Risk Premium</t>
  </si>
  <si>
    <t>Riskfree Rate</t>
  </si>
  <si>
    <t>Beta</t>
  </si>
  <si>
    <t>Mature ERP</t>
  </si>
  <si>
    <t>Country Risk Premium</t>
  </si>
  <si>
    <t>Geography</t>
  </si>
  <si>
    <t>Moody's Rating</t>
  </si>
  <si>
    <t>CRP</t>
  </si>
  <si>
    <t>Revenue Exposure</t>
  </si>
  <si>
    <t>Adjusted CRP</t>
  </si>
  <si>
    <t>Baa3</t>
  </si>
  <si>
    <t>Aaa</t>
  </si>
  <si>
    <t>Total CRP =</t>
  </si>
  <si>
    <t>ERP =</t>
  </si>
  <si>
    <t>Cost of Equity = Riskfree rate + beta*ERP</t>
  </si>
  <si>
    <t>CoE =</t>
  </si>
  <si>
    <t>Cost of Debt = (Riskfree Rate + Company Default Spread + Country Risk Premium)(1-Marginal Tax Rate)</t>
  </si>
  <si>
    <t>Company Default Spread</t>
  </si>
  <si>
    <t>Moody's</t>
  </si>
  <si>
    <t>Crisil</t>
  </si>
  <si>
    <t>Interest Coverage Ratio = EBITDA / Interest Expense</t>
  </si>
  <si>
    <t>&gt; 8 -&gt; AAA</t>
  </si>
  <si>
    <t>A+</t>
  </si>
  <si>
    <t>Marginal Tax Rate</t>
  </si>
  <si>
    <t>CoD =</t>
  </si>
  <si>
    <t>Cost of Capital = CoE * (Value of Equity / (Value of Equity + Value of Debt)) + CoD (1- Marginal tax rate)(Value of Debt / (Value of Equity + Value of Debt))</t>
  </si>
  <si>
    <t>Value of Equity</t>
  </si>
  <si>
    <t>Value of Debt</t>
  </si>
  <si>
    <t xml:space="preserve">Sum = </t>
  </si>
  <si>
    <t xml:space="preserve">WACC = </t>
  </si>
  <si>
    <t>Terminal Growth Rate</t>
  </si>
  <si>
    <t>PARAMETERS</t>
  </si>
  <si>
    <t>Discounted CF</t>
  </si>
  <si>
    <t>Terminal Value</t>
  </si>
  <si>
    <t>PV of Terminal Value</t>
  </si>
  <si>
    <t>Net PV</t>
  </si>
  <si>
    <t>Add Cash and Current Investments</t>
  </si>
  <si>
    <t>FCF to Firm</t>
  </si>
  <si>
    <t>DCF Value per Share</t>
  </si>
  <si>
    <t>CMP (16/1/2023)</t>
  </si>
  <si>
    <t>Projected = Average of Previous 7 years</t>
  </si>
  <si>
    <t>2023 expected tax rate, assumed to stay constant</t>
  </si>
  <si>
    <t>Historic</t>
  </si>
  <si>
    <t>From WACC Sheet</t>
  </si>
  <si>
    <t>Recommendation:</t>
  </si>
  <si>
    <t xml:space="preserve"> </t>
  </si>
  <si>
    <t>Riskfree rate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</si>
</sst>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.##"/>
    <numFmt numFmtId="165" formatCode="0.00_);\(0.00\)"/>
    <numFmt numFmtId="169" formatCode="0.0000_);\(0.0000\)"/>
    <numFmt numFmtId="170" formatCode="0.00000_);\(0.00000\)"/>
    <numFmt numFmtId="173" formatCode="0.0000%"/>
    <numFmt numFmtId="175" formatCode="0.000%"/>
    <numFmt numFmtId="176" formatCode="0.0000000000000000%"/>
    <numFmt numFmtId="178" formatCode="0.00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24"/>
      <name val="Arial"/>
      <family val="2"/>
    </font>
    <font>
      <sz val="10"/>
      <color theme="4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26"/>
      <name val="Arial"/>
      <family val="2"/>
    </font>
    <font>
      <sz val="36"/>
      <color theme="1"/>
      <name val="Calibri (Body)"/>
    </font>
    <font>
      <sz val="12"/>
      <color theme="4"/>
      <name val="Calibri"/>
      <family val="2"/>
      <scheme val="minor"/>
    </font>
    <font>
      <sz val="10"/>
      <color theme="4"/>
      <name val="Verdana"/>
      <family val="2"/>
    </font>
    <font>
      <sz val="12"/>
      <color theme="4"/>
      <name val="Times"/>
      <family val="1"/>
    </font>
    <font>
      <sz val="20"/>
      <name val="Arial"/>
      <family val="2"/>
    </font>
    <font>
      <sz val="18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169" fontId="0" fillId="4" borderId="0" xfId="0" applyNumberFormat="1" applyFont="1" applyFill="1" applyBorder="1" applyAlignment="1">
      <alignment horizontal="right"/>
    </xf>
    <xf numFmtId="170" fontId="0" fillId="4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/>
    <xf numFmtId="165" fontId="0" fillId="4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2" fontId="0" fillId="4" borderId="0" xfId="0" applyNumberFormat="1" applyFont="1" applyFill="1" applyBorder="1" applyAlignment="1"/>
    <xf numFmtId="169" fontId="0" fillId="4" borderId="0" xfId="0" applyNumberFormat="1" applyFont="1" applyFill="1" applyBorder="1" applyAlignment="1"/>
    <xf numFmtId="170" fontId="0" fillId="4" borderId="0" xfId="0" applyNumberFormat="1" applyFont="1" applyFill="1" applyBorder="1" applyAlignment="1"/>
    <xf numFmtId="10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/>
    <xf numFmtId="37" fontId="0" fillId="4" borderId="0" xfId="0" applyNumberFormat="1" applyFont="1" applyFill="1" applyBorder="1" applyAlignment="1"/>
    <xf numFmtId="37" fontId="0" fillId="4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 applyAlignment="1"/>
    <xf numFmtId="173" fontId="0" fillId="4" borderId="0" xfId="0" applyNumberFormat="1" applyFont="1" applyFill="1" applyBorder="1" applyAlignment="1">
      <alignment horizontal="right"/>
    </xf>
    <xf numFmtId="0" fontId="9" fillId="5" borderId="0" xfId="0" applyFont="1" applyFill="1"/>
    <xf numFmtId="0" fontId="0" fillId="5" borderId="0" xfId="0" applyFill="1"/>
    <xf numFmtId="0" fontId="0" fillId="0" borderId="0" xfId="0"/>
    <xf numFmtId="0" fontId="13" fillId="0" borderId="0" xfId="0" applyNumberFormat="1" applyFont="1" applyFill="1" applyBorder="1" applyAlignment="1"/>
    <xf numFmtId="9" fontId="5" fillId="0" borderId="0" xfId="0" applyNumberFormat="1" applyFont="1" applyFill="1" applyBorder="1" applyAlignment="1"/>
    <xf numFmtId="1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10" fontId="2" fillId="2" borderId="0" xfId="0" applyNumberFormat="1" applyFont="1" applyFill="1" applyBorder="1" applyAlignment="1"/>
    <xf numFmtId="37" fontId="0" fillId="2" borderId="0" xfId="0" applyNumberFormat="1" applyFont="1" applyFill="1" applyBorder="1" applyAlignment="1"/>
    <xf numFmtId="0" fontId="4" fillId="3" borderId="0" xfId="0" applyNumberFormat="1" applyFont="1" applyFill="1" applyBorder="1" applyAlignment="1"/>
    <xf numFmtId="0" fontId="8" fillId="3" borderId="0" xfId="0" applyNumberFormat="1" applyFont="1" applyFill="1" applyBorder="1" applyAlignment="1"/>
    <xf numFmtId="37" fontId="0" fillId="3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2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2" fillId="3" borderId="5" xfId="0" applyNumberFormat="1" applyFont="1" applyFill="1" applyBorder="1" applyAlignment="1"/>
    <xf numFmtId="0" fontId="0" fillId="3" borderId="5" xfId="0" applyNumberFormat="1" applyFont="1" applyFill="1" applyBorder="1" applyAlignment="1"/>
    <xf numFmtId="0" fontId="2" fillId="3" borderId="7" xfId="0" applyNumberFormat="1" applyFont="1" applyFill="1" applyBorder="1" applyAlignment="1"/>
    <xf numFmtId="0" fontId="0" fillId="3" borderId="8" xfId="0" applyNumberFormat="1" applyFont="1" applyFill="1" applyBorder="1" applyAlignment="1"/>
    <xf numFmtId="0" fontId="0" fillId="2" borderId="6" xfId="0" applyNumberFormat="1" applyFont="1" applyFill="1" applyBorder="1" applyAlignment="1"/>
    <xf numFmtId="0" fontId="1" fillId="3" borderId="5" xfId="0" applyNumberFormat="1" applyFont="1" applyFill="1" applyBorder="1" applyAlignment="1"/>
    <xf numFmtId="0" fontId="0" fillId="4" borderId="8" xfId="0" applyNumberFormat="1" applyFont="1" applyFill="1" applyBorder="1" applyAlignment="1"/>
    <xf numFmtId="37" fontId="0" fillId="2" borderId="8" xfId="0" applyNumberFormat="1" applyFont="1" applyFill="1" applyBorder="1" applyAlignment="1"/>
    <xf numFmtId="37" fontId="0" fillId="2" borderId="9" xfId="0" applyNumberFormat="1" applyFont="1" applyFill="1" applyBorder="1" applyAlignment="1"/>
    <xf numFmtId="0" fontId="0" fillId="0" borderId="2" xfId="0" applyNumberFormat="1" applyFont="1" applyFill="1" applyBorder="1" applyAlignment="1"/>
    <xf numFmtId="0" fontId="2" fillId="4" borderId="3" xfId="0" applyNumberFormat="1" applyFont="1" applyFill="1" applyBorder="1" applyAlignment="1"/>
    <xf numFmtId="0" fontId="0" fillId="4" borderId="3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3" fillId="3" borderId="5" xfId="0" applyFont="1" applyFill="1" applyBorder="1" applyAlignment="1"/>
    <xf numFmtId="10" fontId="0" fillId="2" borderId="6" xfId="0" applyNumberFormat="1" applyFont="1" applyFill="1" applyBorder="1" applyAlignment="1"/>
    <xf numFmtId="0" fontId="0" fillId="3" borderId="5" xfId="0" applyFont="1" applyFill="1" applyBorder="1" applyAlignment="1"/>
    <xf numFmtId="10" fontId="0" fillId="3" borderId="5" xfId="0" applyNumberFormat="1" applyFont="1" applyFill="1" applyBorder="1" applyAlignment="1"/>
    <xf numFmtId="2" fontId="0" fillId="2" borderId="6" xfId="0" applyNumberFormat="1" applyFont="1" applyFill="1" applyBorder="1" applyAlignment="1"/>
    <xf numFmtId="2" fontId="0" fillId="3" borderId="5" xfId="0" applyNumberFormat="1" applyFont="1" applyFill="1" applyBorder="1" applyAlignment="1"/>
    <xf numFmtId="0" fontId="2" fillId="3" borderId="5" xfId="0" applyFont="1" applyFill="1" applyBorder="1" applyAlignment="1"/>
    <xf numFmtId="10" fontId="2" fillId="2" borderId="6" xfId="0" applyNumberFormat="1" applyFont="1" applyFill="1" applyBorder="1" applyAlignment="1"/>
    <xf numFmtId="10" fontId="2" fillId="2" borderId="8" xfId="0" applyNumberFormat="1" applyFont="1" applyFill="1" applyBorder="1" applyAlignment="1"/>
    <xf numFmtId="10" fontId="2" fillId="2" borderId="9" xfId="0" applyNumberFormat="1" applyFont="1" applyFill="1" applyBorder="1" applyAlignment="1"/>
    <xf numFmtId="0" fontId="2" fillId="2" borderId="5" xfId="0" applyNumberFormat="1" applyFont="1" applyFill="1" applyBorder="1" applyAlignment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2" borderId="13" xfId="0" applyFill="1" applyBorder="1"/>
    <xf numFmtId="0" fontId="0" fillId="2" borderId="0" xfId="0" applyFill="1" applyBorder="1"/>
    <xf numFmtId="10" fontId="10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14" fillId="5" borderId="0" xfId="0" applyFont="1" applyFill="1"/>
    <xf numFmtId="10" fontId="10" fillId="0" borderId="0" xfId="0" applyNumberFormat="1" applyFont="1" applyBorder="1"/>
    <xf numFmtId="2" fontId="0" fillId="0" borderId="0" xfId="0" applyNumberFormat="1" applyBorder="1"/>
    <xf numFmtId="2" fontId="11" fillId="0" borderId="0" xfId="0" applyNumberFormat="1" applyFont="1" applyBorder="1" applyAlignment="1">
      <alignment horizontal="center"/>
    </xf>
    <xf numFmtId="0" fontId="1" fillId="2" borderId="16" xfId="0" applyFont="1" applyFill="1" applyBorder="1"/>
    <xf numFmtId="10" fontId="0" fillId="0" borderId="14" xfId="0" applyNumberFormat="1" applyBorder="1"/>
    <xf numFmtId="10" fontId="12" fillId="0" borderId="14" xfId="0" applyNumberFormat="1" applyFont="1" applyBorder="1"/>
    <xf numFmtId="10" fontId="0" fillId="0" borderId="0" xfId="0" applyNumberFormat="1" applyBorder="1"/>
    <xf numFmtId="176" fontId="0" fillId="0" borderId="14" xfId="0" applyNumberFormat="1" applyBorder="1"/>
    <xf numFmtId="0" fontId="0" fillId="6" borderId="0" xfId="0" applyFill="1" applyBorder="1"/>
    <xf numFmtId="0" fontId="0" fillId="0" borderId="17" xfId="0" applyBorder="1"/>
    <xf numFmtId="0" fontId="0" fillId="0" borderId="18" xfId="0" applyBorder="1"/>
    <xf numFmtId="0" fontId="0" fillId="7" borderId="0" xfId="0" applyFill="1" applyBorder="1"/>
    <xf numFmtId="0" fontId="0" fillId="0" borderId="1" xfId="0" applyBorder="1"/>
    <xf numFmtId="175" fontId="0" fillId="2" borderId="16" xfId="0" applyNumberFormat="1" applyFill="1" applyBorder="1"/>
    <xf numFmtId="175" fontId="0" fillId="2" borderId="19" xfId="0" applyNumberFormat="1" applyFill="1" applyBorder="1"/>
    <xf numFmtId="0" fontId="1" fillId="2" borderId="18" xfId="0" applyFont="1" applyFill="1" applyBorder="1"/>
    <xf numFmtId="4" fontId="10" fillId="0" borderId="0" xfId="0" applyNumberFormat="1" applyFont="1" applyBorder="1"/>
    <xf numFmtId="4" fontId="0" fillId="0" borderId="0" xfId="0" applyNumberFormat="1" applyBorder="1"/>
    <xf numFmtId="10" fontId="0" fillId="2" borderId="16" xfId="0" applyNumberFormat="1" applyFill="1" applyBorder="1"/>
    <xf numFmtId="175" fontId="0" fillId="2" borderId="1" xfId="0" applyNumberFormat="1" applyFill="1" applyBorder="1"/>
    <xf numFmtId="178" fontId="0" fillId="2" borderId="1" xfId="0" applyNumberFormat="1" applyFill="1" applyBorder="1"/>
    <xf numFmtId="169" fontId="0" fillId="2" borderId="0" xfId="0" applyNumberFormat="1" applyFont="1" applyFill="1" applyBorder="1" applyAlignment="1">
      <alignment horizontal="right"/>
    </xf>
    <xf numFmtId="173" fontId="0" fillId="2" borderId="0" xfId="0" applyNumberFormat="1" applyFont="1" applyFill="1" applyBorder="1" applyAlignment="1">
      <alignment horizontal="right"/>
    </xf>
    <xf numFmtId="37" fontId="0" fillId="2" borderId="0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/>
    <xf numFmtId="0" fontId="0" fillId="0" borderId="5" xfId="0" applyNumberFormat="1" applyFont="1" applyFill="1" applyBorder="1" applyAlignment="1"/>
    <xf numFmtId="2" fontId="2" fillId="3" borderId="5" xfId="0" applyNumberFormat="1" applyFont="1" applyFill="1" applyBorder="1" applyAlignment="1"/>
    <xf numFmtId="37" fontId="0" fillId="2" borderId="6" xfId="0" applyNumberFormat="1" applyFont="1" applyFill="1" applyBorder="1" applyAlignment="1"/>
    <xf numFmtId="169" fontId="0" fillId="2" borderId="6" xfId="0" applyNumberFormat="1" applyFont="1" applyFill="1" applyBorder="1" applyAlignment="1">
      <alignment horizontal="right"/>
    </xf>
    <xf numFmtId="173" fontId="0" fillId="2" borderId="6" xfId="0" applyNumberFormat="1" applyFont="1" applyFill="1" applyBorder="1" applyAlignment="1">
      <alignment horizontal="right"/>
    </xf>
    <xf numFmtId="37" fontId="2" fillId="3" borderId="5" xfId="0" applyNumberFormat="1" applyFont="1" applyFill="1" applyBorder="1" applyAlignment="1"/>
    <xf numFmtId="37" fontId="0" fillId="2" borderId="6" xfId="0" applyNumberFormat="1" applyFont="1" applyFill="1" applyBorder="1" applyAlignment="1">
      <alignment horizontal="right"/>
    </xf>
    <xf numFmtId="37" fontId="0" fillId="4" borderId="8" xfId="0" applyNumberFormat="1" applyFont="1" applyFill="1" applyBorder="1" applyAlignment="1">
      <alignment horizontal="right"/>
    </xf>
    <xf numFmtId="0" fontId="0" fillId="0" borderId="20" xfId="0" applyNumberFormat="1" applyFont="1" applyFill="1" applyBorder="1" applyAlignment="1"/>
    <xf numFmtId="37" fontId="0" fillId="4" borderId="14" xfId="0" applyNumberFormat="1" applyFont="1" applyFill="1" applyBorder="1" applyAlignment="1">
      <alignment horizontal="right"/>
    </xf>
    <xf numFmtId="2" fontId="0" fillId="4" borderId="14" xfId="0" applyNumberFormat="1" applyFont="1" applyFill="1" applyBorder="1" applyAlignment="1"/>
    <xf numFmtId="37" fontId="0" fillId="4" borderId="14" xfId="0" applyNumberFormat="1" applyFont="1" applyFill="1" applyBorder="1" applyAlignment="1"/>
    <xf numFmtId="10" fontId="0" fillId="4" borderId="14" xfId="0" applyNumberFormat="1" applyFont="1" applyFill="1" applyBorder="1" applyAlignment="1">
      <alignment horizontal="right"/>
    </xf>
    <xf numFmtId="169" fontId="0" fillId="4" borderId="14" xfId="0" applyNumberFormat="1" applyFont="1" applyFill="1" applyBorder="1" applyAlignment="1">
      <alignment horizontal="right"/>
    </xf>
    <xf numFmtId="173" fontId="0" fillId="4" borderId="14" xfId="0" applyNumberFormat="1" applyFont="1" applyFill="1" applyBorder="1" applyAlignment="1">
      <alignment horizontal="right"/>
    </xf>
    <xf numFmtId="170" fontId="0" fillId="4" borderId="14" xfId="0" applyNumberFormat="1" applyFont="1" applyFill="1" applyBorder="1" applyAlignment="1">
      <alignment horizontal="right"/>
    </xf>
    <xf numFmtId="37" fontId="0" fillId="4" borderId="21" xfId="0" applyNumberFormat="1" applyFont="1" applyFill="1" applyBorder="1" applyAlignment="1">
      <alignment horizontal="right"/>
    </xf>
    <xf numFmtId="0" fontId="0" fillId="4" borderId="20" xfId="0" applyNumberFormat="1" applyFont="1" applyFill="1" applyBorder="1" applyAlignment="1"/>
    <xf numFmtId="10" fontId="0" fillId="4" borderId="14" xfId="0" applyNumberFormat="1" applyFont="1" applyFill="1" applyBorder="1" applyAlignment="1"/>
    <xf numFmtId="169" fontId="0" fillId="4" borderId="14" xfId="0" applyNumberFormat="1" applyFont="1" applyFill="1" applyBorder="1" applyAlignment="1"/>
    <xf numFmtId="170" fontId="0" fillId="4" borderId="14" xfId="0" applyNumberFormat="1" applyFont="1" applyFill="1" applyBorder="1" applyAlignment="1"/>
    <xf numFmtId="0" fontId="0" fillId="4" borderId="14" xfId="0" applyNumberFormat="1" applyFont="1" applyFill="1" applyBorder="1" applyAlignment="1"/>
    <xf numFmtId="0" fontId="0" fillId="4" borderId="21" xfId="0" applyNumberFormat="1" applyFont="1" applyFill="1" applyBorder="1" applyAlignment="1"/>
    <xf numFmtId="0" fontId="1" fillId="0" borderId="13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2" fillId="0" borderId="14" xfId="0" applyNumberFormat="1" applyFont="1" applyFill="1" applyBorder="1" applyAlignment="1">
      <alignment wrapText="1"/>
    </xf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6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" fillId="2" borderId="3" xfId="0" applyNumberFormat="1" applyFont="1" applyFill="1" applyBorder="1" applyAlignment="1">
      <alignment horizontal="left" vertical="center"/>
    </xf>
    <xf numFmtId="0" fontId="2" fillId="4" borderId="20" xfId="0" applyNumberFormat="1" applyFont="1" applyFill="1" applyBorder="1" applyAlignment="1">
      <alignment horizontal="center" vertical="center"/>
    </xf>
    <xf numFmtId="37" fontId="0" fillId="3" borderId="22" xfId="0" applyNumberFormat="1" applyFont="1" applyFill="1" applyBorder="1" applyAlignment="1"/>
    <xf numFmtId="37" fontId="0" fillId="3" borderId="23" xfId="0" applyNumberFormat="1" applyFont="1" applyFill="1" applyBorder="1" applyAlignment="1"/>
    <xf numFmtId="0" fontId="0" fillId="3" borderId="23" xfId="0" applyNumberFormat="1" applyFont="1" applyFill="1" applyBorder="1" applyAlignment="1"/>
    <xf numFmtId="37" fontId="0" fillId="3" borderId="23" xfId="0" applyNumberFormat="1" applyFont="1" applyFill="1" applyBorder="1" applyAlignment="1">
      <alignment horizontal="right"/>
    </xf>
    <xf numFmtId="2" fontId="0" fillId="2" borderId="23" xfId="0" applyNumberFormat="1" applyFont="1" applyFill="1" applyBorder="1" applyAlignment="1"/>
    <xf numFmtId="0" fontId="5" fillId="3" borderId="24" xfId="0" applyNumberFormat="1" applyFont="1" applyFill="1" applyBorder="1" applyAlignment="1"/>
    <xf numFmtId="165" fontId="0" fillId="4" borderId="0" xfId="0" applyNumberFormat="1" applyFont="1" applyFill="1" applyBorder="1" applyAlignment="1"/>
    <xf numFmtId="0" fontId="3" fillId="3" borderId="5" xfId="0" applyNumberFormat="1" applyFont="1" applyFill="1" applyBorder="1" applyAlignment="1"/>
    <xf numFmtId="0" fontId="0" fillId="0" borderId="7" xfId="0" applyNumberFormat="1" applyFont="1" applyFill="1" applyBorder="1" applyAlignment="1"/>
    <xf numFmtId="164" fontId="0" fillId="4" borderId="8" xfId="0" applyNumberFormat="1" applyFont="1" applyFill="1" applyBorder="1" applyAlignment="1">
      <alignment horizontal="right"/>
    </xf>
    <xf numFmtId="37" fontId="0" fillId="4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1" fillId="0" borderId="25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/>
    <xf numFmtId="0" fontId="1" fillId="9" borderId="1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1" fontId="1" fillId="4" borderId="14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1" fillId="2" borderId="6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12" xfId="0" applyNumberFormat="1" applyFont="1" applyFill="1" applyBorder="1" applyAlignment="1">
      <alignment horizontal="right"/>
    </xf>
    <xf numFmtId="0" fontId="0" fillId="3" borderId="2" xfId="0" applyNumberFormat="1" applyFont="1" applyFill="1" applyBorder="1" applyAlignment="1">
      <alignment horizontal="right"/>
    </xf>
    <xf numFmtId="1" fontId="1" fillId="4" borderId="3" xfId="0" applyNumberFormat="1" applyFont="1" applyFill="1" applyBorder="1" applyAlignment="1">
      <alignment horizontal="right"/>
    </xf>
    <xf numFmtId="1" fontId="1" fillId="4" borderId="20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1" fillId="0" borderId="10" xfId="0" applyNumberFormat="1" applyFont="1" applyFill="1" applyBorder="1" applyAlignment="1">
      <alignment horizontal="left"/>
    </xf>
    <xf numFmtId="10" fontId="2" fillId="8" borderId="11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1" fontId="1" fillId="0" borderId="5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0" fillId="0" borderId="5" xfId="0" applyNumberFormat="1" applyFont="1" applyFill="1" applyBorder="1" applyAlignment="1">
      <alignment horizontal="right"/>
    </xf>
    <xf numFmtId="2" fontId="1" fillId="4" borderId="0" xfId="0" applyNumberFormat="1" applyFont="1" applyFill="1" applyBorder="1" applyAlignment="1">
      <alignment horizontal="right"/>
    </xf>
    <xf numFmtId="2" fontId="1" fillId="4" borderId="1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yukt Sriram" id="{53D860E7-33AF-5A44-A82F-200ECD78CC55}" userId="f8644aa7b51c5e22" providerId="Windows Liv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1-14T05:44:15.42" personId="{53D860E7-33AF-5A44-A82F-200ECD78CC55}" id="{11BBF855-5FE0-4244-95A4-45FF527F285B}">
    <text>There’s many ways to calculate this, if you get any pick the smallest one</text>
  </threadedComment>
  <threadedComment ref="A11" dT="2023-01-14T04:55:39.12" personId="{53D860E7-33AF-5A44-A82F-200ECD78CC55}" id="{E37CC24E-B296-C747-B626-0E7110D2CD39}">
    <text>FY 22 Annual Report</text>
  </threadedComment>
  <threadedComment ref="E12" dT="2023-01-14T05:36:53.66" personId="{53D860E7-33AF-5A44-A82F-200ECD78CC55}" id="{A523FAC1-5ECF-E942-A908-E69D3FA615DA}">
    <text>Used Average Unlevered Betas</text>
  </threadedComment>
  <threadedComment ref="G16" dT="2023-01-14T05:35:07.92" personId="{53D860E7-33AF-5A44-A82F-200ECD78CC55}" id="{FAC2CB4A-DDA4-C543-A88C-51D79391617B}">
    <text xml:space="preserve">Metals and mining industry, Damodaran India 
</text>
  </threadedComment>
  <threadedComment ref="B17" dT="2023-01-14T05:31:15.17" personId="{53D860E7-33AF-5A44-A82F-200ECD78CC55}" id="{43A6835C-D55C-B642-B723-6E4DBCA239D6}">
    <text xml:space="preserve">Assuming all exports are to Europe
</text>
  </threadedComment>
  <threadedComment ref="B17" dT="2023-01-18T06:10:57.30" personId="{53D860E7-33AF-5A44-A82F-200ECD78CC55}" id="{8439D412-0E8C-4D4F-9738-DA6022CE68B1}" parentId="{43A6835C-D55C-B642-B723-6E4DBCA239D6}">
    <text xml:space="preserve">Recent Earnings Call transcripts suggests Europe is the biggest Export market
</text>
  </threadedComment>
  <threadedComment ref="G17" dT="2023-01-14T05:36:33.89" personId="{53D860E7-33AF-5A44-A82F-200ECD78CC55}" id="{D38029D4-F54C-1A4E-AA32-4DB61AA0832F}">
    <text xml:space="preserve">Metals and mining, Damodaran Europe
</text>
  </threadedComment>
  <threadedComment ref="E32" dT="2023-01-14T05:49:29.43" personId="{53D860E7-33AF-5A44-A82F-200ECD78CC55}" id="{03B98151-51F1-CA44-92C9-96AF70AFD814}">
    <text>Taken Germany’s couldn’t find europe’s consolidated number. Germany is the primary export market in GPIL’s industry</text>
  </threadedComment>
  <threadedComment ref="G44" dT="2023-01-14T06:06:36.32" personId="{53D860E7-33AF-5A44-A82F-200ECD78CC55}" id="{8831010A-370E-8A4C-B2E8-0773870D69E0}">
    <text>Kinda absurd number, but company is debt free and generates high EBITDAs</text>
  </threadedComment>
  <threadedComment ref="B46" dT="2023-01-14T06:29:29.28" personId="{53D860E7-33AF-5A44-A82F-200ECD78CC55}" id="{C4CE6263-63BE-814F-B86A-1F80DD91F0A6}">
    <text>Effective tax rate = ~25
I’ve done change in total tax amount this year / change in accounting profit before tax from continuing profit</text>
  </threadedComment>
  <threadedComment ref="B53" dT="2023-01-14T06:43:18.12" personId="{53D860E7-33AF-5A44-A82F-200ECD78CC55}" id="{81F306B3-7520-3549-A257-9295E6087A25}">
    <text>Net Debt, excludes cash and cash equivalent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showGridLines="0" tabSelected="1" zoomScale="111" workbookViewId="0"/>
  </sheetViews>
  <sheetFormatPr baseColWidth="10" defaultRowHeight="13" x14ac:dyDescent="0.15"/>
  <cols>
    <col min="1" max="1" width="30.6640625" customWidth="1"/>
    <col min="2" max="2" width="13.6640625" hidden="1" customWidth="1"/>
    <col min="3" max="3" width="15.5" hidden="1" customWidth="1"/>
    <col min="4" max="4" width="14.83203125" hidden="1" customWidth="1"/>
    <col min="5" max="5" width="13.83203125" hidden="1" customWidth="1"/>
    <col min="6" max="6" width="13.1640625" hidden="1" customWidth="1"/>
    <col min="7" max="7" width="13" hidden="1" customWidth="1"/>
    <col min="8" max="8" width="15" hidden="1" customWidth="1"/>
    <col min="9" max="9" width="14" customWidth="1"/>
    <col min="10" max="10" width="13.83203125" customWidth="1"/>
    <col min="11" max="11" width="14.33203125" customWidth="1"/>
    <col min="12" max="12" width="17.1640625" customWidth="1"/>
    <col min="13" max="13" width="14.6640625" customWidth="1"/>
    <col min="14" max="14" width="14.1640625" customWidth="1"/>
    <col min="15" max="15" width="15.6640625" customWidth="1"/>
    <col min="16" max="16" width="14.6640625" customWidth="1"/>
    <col min="17" max="17" width="14.6640625" bestFit="1" customWidth="1"/>
    <col min="18" max="18" width="14.33203125" customWidth="1"/>
    <col min="19" max="19" width="11.6640625" customWidth="1"/>
  </cols>
  <sheetData>
    <row r="1" spans="1:21" ht="49" customHeight="1" thickBot="1" x14ac:dyDescent="0.35">
      <c r="A1" s="33" t="s">
        <v>337</v>
      </c>
      <c r="R1" s="27" t="s">
        <v>412</v>
      </c>
    </row>
    <row r="2" spans="1:21" ht="15" customHeight="1" x14ac:dyDescent="0.15">
      <c r="A2" s="48"/>
      <c r="B2" s="49"/>
      <c r="C2" s="49" t="s">
        <v>423</v>
      </c>
      <c r="D2" s="50"/>
      <c r="E2" s="50"/>
      <c r="F2" s="50"/>
      <c r="G2" s="50"/>
      <c r="H2" s="50"/>
      <c r="I2" s="50"/>
      <c r="J2" s="50"/>
      <c r="K2" s="134" t="s">
        <v>423</v>
      </c>
      <c r="L2" s="133" t="s">
        <v>421</v>
      </c>
      <c r="M2" s="52"/>
      <c r="N2" s="52"/>
      <c r="O2" s="52"/>
      <c r="P2" s="53"/>
    </row>
    <row r="3" spans="1:21" s="157" customFormat="1" x14ac:dyDescent="0.15">
      <c r="A3" s="152"/>
      <c r="B3" s="153" t="s">
        <v>1</v>
      </c>
      <c r="C3" s="153" t="s">
        <v>2</v>
      </c>
      <c r="D3" s="153" t="s">
        <v>3</v>
      </c>
      <c r="E3" s="153" t="s">
        <v>4</v>
      </c>
      <c r="F3" s="153" t="s">
        <v>5</v>
      </c>
      <c r="G3" s="153" t="s">
        <v>6</v>
      </c>
      <c r="H3" s="153" t="s">
        <v>7</v>
      </c>
      <c r="I3" s="153" t="s">
        <v>8</v>
      </c>
      <c r="J3" s="153" t="s">
        <v>9</v>
      </c>
      <c r="K3" s="154" t="s">
        <v>10</v>
      </c>
      <c r="L3" s="155">
        <v>2023</v>
      </c>
      <c r="M3" s="155">
        <v>2024</v>
      </c>
      <c r="N3" s="155">
        <v>2025</v>
      </c>
      <c r="O3" s="155">
        <v>2026</v>
      </c>
      <c r="P3" s="156">
        <v>2027</v>
      </c>
      <c r="R3" s="164" t="s">
        <v>363</v>
      </c>
      <c r="S3" s="165">
        <v>0.1812</v>
      </c>
      <c r="T3" s="166" t="s">
        <v>424</v>
      </c>
      <c r="U3" s="158"/>
    </row>
    <row r="4" spans="1:21" x14ac:dyDescent="0.15">
      <c r="A4" s="54" t="s">
        <v>338</v>
      </c>
      <c r="B4" s="12"/>
      <c r="C4" s="13">
        <v>-0.11267839904153516</v>
      </c>
      <c r="D4" s="13">
        <v>0.11562773932373041</v>
      </c>
      <c r="E4" s="13">
        <v>-0.32797772128079788</v>
      </c>
      <c r="F4" s="13">
        <v>5.1712136696053894E-4</v>
      </c>
      <c r="G4" s="13">
        <v>0.28560769996071345</v>
      </c>
      <c r="H4" s="13">
        <v>0.23286234051589205</v>
      </c>
      <c r="I4" s="13">
        <v>-8.8770176206520029E-3</v>
      </c>
      <c r="J4" s="13">
        <v>0.19790480851315043</v>
      </c>
      <c r="K4" s="115">
        <v>0.24567925099978555</v>
      </c>
      <c r="L4" s="29">
        <f>AVERAGE(E4:K4)</f>
        <v>8.9388068922150302E-2</v>
      </c>
      <c r="M4" s="29">
        <f t="shared" ref="M4:P4" si="0">AVERAGE(F4:L4)</f>
        <v>0.14901175323685717</v>
      </c>
      <c r="N4" s="29">
        <f t="shared" si="0"/>
        <v>0.17022527207541382</v>
      </c>
      <c r="O4" s="29">
        <f t="shared" si="0"/>
        <v>0.15374206809179963</v>
      </c>
      <c r="P4" s="55">
        <f t="shared" si="0"/>
        <v>0.14243917203121498</v>
      </c>
      <c r="R4" s="126" t="s">
        <v>411</v>
      </c>
      <c r="S4" s="28">
        <v>0.04</v>
      </c>
      <c r="U4" s="127"/>
    </row>
    <row r="5" spans="1:21" ht="13" customHeight="1" x14ac:dyDescent="0.15">
      <c r="A5" s="56" t="s">
        <v>339</v>
      </c>
      <c r="B5" s="11">
        <v>0.35532627100988046</v>
      </c>
      <c r="C5" s="11">
        <v>0.41921047610832529</v>
      </c>
      <c r="D5" s="11">
        <v>0.38694242849146371</v>
      </c>
      <c r="E5" s="11">
        <v>0.30668947665536866</v>
      </c>
      <c r="F5" s="11">
        <v>0.30841005269306565</v>
      </c>
      <c r="G5" s="11">
        <v>0.38724849106217796</v>
      </c>
      <c r="H5" s="11">
        <v>0.38269261077050021</v>
      </c>
      <c r="I5" s="11">
        <v>0.37565904511022347</v>
      </c>
      <c r="J5" s="11">
        <v>0.48537643435168099</v>
      </c>
      <c r="K5" s="121">
        <v>0.50263254167641758</v>
      </c>
      <c r="L5" s="29">
        <f>AVERAGE(E5:K5)</f>
        <v>0.39267266461706207</v>
      </c>
      <c r="M5" s="29">
        <f t="shared" ref="M5:P5" si="1">AVERAGE(F5:L5)</f>
        <v>0.40495597718301829</v>
      </c>
      <c r="N5" s="29">
        <f t="shared" si="1"/>
        <v>0.41874825211015437</v>
      </c>
      <c r="O5" s="29">
        <f t="shared" si="1"/>
        <v>0.42324821797415096</v>
      </c>
      <c r="P5" s="55">
        <f t="shared" si="1"/>
        <v>0.42904187614610106</v>
      </c>
      <c r="R5" s="126" t="s">
        <v>345</v>
      </c>
      <c r="S5" s="22">
        <v>0.25169999999999998</v>
      </c>
      <c r="T5" s="36" t="s">
        <v>422</v>
      </c>
      <c r="U5" s="128"/>
    </row>
    <row r="6" spans="1:21" x14ac:dyDescent="0.15">
      <c r="A6" s="56" t="s">
        <v>340</v>
      </c>
      <c r="B6" s="11">
        <v>-0.24500187252361616</v>
      </c>
      <c r="C6" s="11">
        <v>-0.30506884693244557</v>
      </c>
      <c r="D6" s="11">
        <v>-0.28671928673469399</v>
      </c>
      <c r="E6" s="11">
        <v>0.25852506508393308</v>
      </c>
      <c r="F6" s="11">
        <v>0.21484372748574052</v>
      </c>
      <c r="G6" s="11">
        <v>0.20317523965378256</v>
      </c>
      <c r="H6" s="11">
        <v>0.18323556615311246</v>
      </c>
      <c r="I6" s="11">
        <v>0.22086814930526882</v>
      </c>
      <c r="J6" s="11">
        <v>0.21737196929989339</v>
      </c>
      <c r="K6" s="121">
        <v>0.17581318280318603</v>
      </c>
      <c r="L6" s="29">
        <f>AVERAGE(E6:K6)</f>
        <v>0.210547557112131</v>
      </c>
      <c r="M6" s="29">
        <f t="shared" ref="M6:P6" si="2">AVERAGE(F6:L6)</f>
        <v>0.20369362740187355</v>
      </c>
      <c r="N6" s="29">
        <f t="shared" si="2"/>
        <v>0.2021007559613211</v>
      </c>
      <c r="O6" s="29">
        <f t="shared" si="2"/>
        <v>0.20194725829096946</v>
      </c>
      <c r="P6" s="55">
        <f t="shared" si="2"/>
        <v>0.20462035716780619</v>
      </c>
      <c r="R6" s="129"/>
      <c r="T6" s="36"/>
      <c r="U6" s="128"/>
    </row>
    <row r="7" spans="1:21" x14ac:dyDescent="0.15">
      <c r="A7" s="57" t="s">
        <v>343</v>
      </c>
      <c r="B7" s="11">
        <v>3.1683131072683515E-2</v>
      </c>
      <c r="C7" s="11">
        <v>4.3321761764211861E-2</v>
      </c>
      <c r="D7" s="11">
        <v>4.6590971006661389E-2</v>
      </c>
      <c r="E7" s="11">
        <v>4.7964398967756394E-2</v>
      </c>
      <c r="F7" s="11">
        <v>5.0936275193044486E-2</v>
      </c>
      <c r="G7" s="11">
        <v>5.7086374240063881E-2</v>
      </c>
      <c r="H7" s="11">
        <v>5.8710678916234285E-2</v>
      </c>
      <c r="I7" s="11">
        <v>5.9467224481897105E-2</v>
      </c>
      <c r="J7" s="11">
        <v>6.7078360985556709E-2</v>
      </c>
      <c r="K7" s="121">
        <v>5.0932055016031666E-2</v>
      </c>
      <c r="L7" s="29">
        <f>AVERAGE(E7:K7)</f>
        <v>5.6025052542940643E-2</v>
      </c>
      <c r="M7" s="29">
        <f t="shared" ref="M7:P7" si="3">AVERAGE(F7:L7)</f>
        <v>5.7176574482252676E-2</v>
      </c>
      <c r="N7" s="29">
        <f t="shared" si="3"/>
        <v>5.8068045809282424E-2</v>
      </c>
      <c r="O7" s="29">
        <f t="shared" si="3"/>
        <v>5.8208284604885072E-2</v>
      </c>
      <c r="P7" s="55">
        <f t="shared" si="3"/>
        <v>5.8136513988978046E-2</v>
      </c>
      <c r="R7" s="130"/>
      <c r="S7" s="131"/>
      <c r="T7" s="131"/>
      <c r="U7" s="132"/>
    </row>
    <row r="8" spans="1:21" x14ac:dyDescent="0.15">
      <c r="A8" s="56" t="s">
        <v>341</v>
      </c>
      <c r="B8" s="16">
        <v>1.0528680616881692</v>
      </c>
      <c r="C8" s="16">
        <v>0.86984046347604571</v>
      </c>
      <c r="D8" s="16">
        <v>0.94422965940658987</v>
      </c>
      <c r="E8" s="16">
        <v>0.74742627062294842</v>
      </c>
      <c r="F8" s="16">
        <v>0.76537092035707688</v>
      </c>
      <c r="G8" s="16">
        <v>1.0940290217003077</v>
      </c>
      <c r="H8" s="16">
        <v>1.455051081701024</v>
      </c>
      <c r="I8" s="16">
        <v>1.417645547400358</v>
      </c>
      <c r="J8" s="16">
        <v>1.9712735800996044</v>
      </c>
      <c r="K8" s="122">
        <v>2.6239938918642025</v>
      </c>
      <c r="L8" s="30">
        <f>AVERAGE(E8:K8)</f>
        <v>1.4392557591065032</v>
      </c>
      <c r="M8" s="30">
        <f t="shared" ref="M8:P8" si="4">AVERAGE(F8:L8)</f>
        <v>1.5380885431755824</v>
      </c>
      <c r="N8" s="30">
        <f t="shared" si="4"/>
        <v>1.6484767750067975</v>
      </c>
      <c r="O8" s="30">
        <f t="shared" si="4"/>
        <v>1.7276835969077244</v>
      </c>
      <c r="P8" s="58">
        <f t="shared" si="4"/>
        <v>1.7666310990801102</v>
      </c>
    </row>
    <row r="9" spans="1:21" x14ac:dyDescent="0.15">
      <c r="A9" s="56" t="s">
        <v>342</v>
      </c>
      <c r="B9" s="17">
        <v>0.14621014883189407</v>
      </c>
      <c r="C9" s="17">
        <v>0.12265392515779935</v>
      </c>
      <c r="D9" s="17">
        <v>0.20160266069885016</v>
      </c>
      <c r="E9" s="17">
        <v>0.2447902772802055</v>
      </c>
      <c r="F9" s="17">
        <v>6.9898836851007423E-2</v>
      </c>
      <c r="G9" s="17">
        <v>8.9327820465904678E-2</v>
      </c>
      <c r="H9" s="17">
        <v>8.1444552646623508E-2</v>
      </c>
      <c r="I9" s="17">
        <v>6.6538257594502395E-2</v>
      </c>
      <c r="J9" s="17">
        <v>5.6346676695615903E-2</v>
      </c>
      <c r="K9" s="123">
        <v>0.13745155505027992</v>
      </c>
      <c r="L9" s="29">
        <f>AVERAGE(E9:K9)</f>
        <v>0.10654256808344849</v>
      </c>
      <c r="M9" s="29">
        <f t="shared" ref="M9:P9" si="5">AVERAGE(F9:L9)</f>
        <v>8.6792895341054624E-2</v>
      </c>
      <c r="N9" s="29">
        <f t="shared" si="5"/>
        <v>8.9206332268204208E-2</v>
      </c>
      <c r="O9" s="29">
        <f t="shared" si="5"/>
        <v>8.9188976811389861E-2</v>
      </c>
      <c r="P9" s="55">
        <f t="shared" si="5"/>
        <v>9.0295323120642187E-2</v>
      </c>
    </row>
    <row r="10" spans="1:21" s="5" customFormat="1" x14ac:dyDescent="0.15">
      <c r="A10" s="59" t="s">
        <v>344</v>
      </c>
      <c r="B10" s="15">
        <v>0.22874537775584677</v>
      </c>
      <c r="C10" s="15">
        <v>0.32697570055653674</v>
      </c>
      <c r="D10" s="15">
        <v>0.28552290278189735</v>
      </c>
      <c r="E10" s="15">
        <v>0.34477593808365181</v>
      </c>
      <c r="F10" s="15">
        <v>0.24389653062408506</v>
      </c>
      <c r="G10" s="15">
        <v>0.27932237233648621</v>
      </c>
      <c r="H10" s="15">
        <v>0.30328874929833394</v>
      </c>
      <c r="I10" s="15">
        <v>0.27356402000535446</v>
      </c>
      <c r="J10" s="15">
        <v>0.24054641222956266</v>
      </c>
      <c r="K10" s="113">
        <v>0.32564426693776993</v>
      </c>
      <c r="L10" s="30">
        <f>AVERAGE(E10:K10)</f>
        <v>0.28729118421646344</v>
      </c>
      <c r="M10" s="30">
        <f t="shared" ref="M10:P10" si="6">AVERAGE(F10:L10)</f>
        <v>0.27907907652115077</v>
      </c>
      <c r="N10" s="30">
        <f t="shared" si="6"/>
        <v>0.28410515450644591</v>
      </c>
      <c r="O10" s="30">
        <f t="shared" si="6"/>
        <v>0.28478840910215447</v>
      </c>
      <c r="P10" s="58">
        <f t="shared" si="6"/>
        <v>0.28214550335984312</v>
      </c>
    </row>
    <row r="11" spans="1:21" x14ac:dyDescent="0.15">
      <c r="A11" s="60" t="s">
        <v>356</v>
      </c>
      <c r="B11" s="11">
        <v>0.16509993624169531</v>
      </c>
      <c r="C11" s="11">
        <v>0.21156923452885071</v>
      </c>
      <c r="D11" s="11">
        <v>0.22000031064980172</v>
      </c>
      <c r="E11" s="11">
        <v>0.18058486850054081</v>
      </c>
      <c r="F11" s="11">
        <v>6.4297344508903731E-2</v>
      </c>
      <c r="G11" s="11">
        <v>6.2512790502525561E-2</v>
      </c>
      <c r="H11" s="11">
        <v>5.3199683680987715E-2</v>
      </c>
      <c r="I11" s="11">
        <v>5.9980845885059683E-2</v>
      </c>
      <c r="J11" s="11">
        <v>7.2127254860737983E-2</v>
      </c>
      <c r="K11" s="121">
        <v>0.11286852223212245</v>
      </c>
      <c r="L11" s="29">
        <f>AVERAGE(E11:K11)</f>
        <v>8.6510187167268285E-2</v>
      </c>
      <c r="M11" s="29">
        <f t="shared" ref="M11:P11" si="7">AVERAGE(F11:L11)</f>
        <v>7.3070946976800763E-2</v>
      </c>
      <c r="N11" s="29">
        <f t="shared" si="7"/>
        <v>7.4324318757928914E-2</v>
      </c>
      <c r="O11" s="29">
        <f t="shared" si="7"/>
        <v>7.6011679937272245E-2</v>
      </c>
      <c r="P11" s="55">
        <f t="shared" si="7"/>
        <v>7.9270536545312895E-2</v>
      </c>
      <c r="Q11" s="14"/>
      <c r="R11" s="14"/>
    </row>
    <row r="12" spans="1:21" x14ac:dyDescent="0.15">
      <c r="A12" s="39" t="s">
        <v>351</v>
      </c>
      <c r="B12" s="8"/>
      <c r="C12" s="8"/>
      <c r="D12" s="8"/>
      <c r="E12" s="8"/>
      <c r="F12" s="8"/>
      <c r="G12" s="8"/>
      <c r="H12" s="8"/>
      <c r="I12" s="8"/>
      <c r="J12" s="8"/>
      <c r="K12" s="124"/>
      <c r="L12" s="31">
        <f>L4</f>
        <v>8.9388068922150302E-2</v>
      </c>
      <c r="M12" s="31">
        <f t="shared" ref="M12:P12" si="8">M4</f>
        <v>0.14901175323685717</v>
      </c>
      <c r="N12" s="31">
        <f t="shared" si="8"/>
        <v>0.17022527207541382</v>
      </c>
      <c r="O12" s="31">
        <f t="shared" si="8"/>
        <v>0.15374206809179963</v>
      </c>
      <c r="P12" s="61">
        <f t="shared" si="8"/>
        <v>0.14243917203121498</v>
      </c>
    </row>
    <row r="13" spans="1:21" x14ac:dyDescent="0.15">
      <c r="A13" s="40"/>
      <c r="B13" s="8"/>
      <c r="C13" s="8"/>
      <c r="D13" s="8"/>
      <c r="E13" s="8"/>
      <c r="F13" s="8"/>
      <c r="G13" s="8"/>
      <c r="H13" s="8"/>
      <c r="I13" s="8"/>
      <c r="J13" s="8"/>
      <c r="K13" s="124"/>
      <c r="L13" s="4"/>
      <c r="M13" s="4"/>
      <c r="N13" s="4"/>
      <c r="O13" s="4"/>
      <c r="P13" s="43"/>
    </row>
    <row r="14" spans="1:21" ht="14" thickBot="1" x14ac:dyDescent="0.2">
      <c r="A14" s="41" t="s">
        <v>345</v>
      </c>
      <c r="B14" s="45"/>
      <c r="C14" s="45"/>
      <c r="D14" s="45"/>
      <c r="E14" s="45"/>
      <c r="F14" s="45"/>
      <c r="G14" s="45"/>
      <c r="H14" s="45"/>
      <c r="I14" s="45"/>
      <c r="J14" s="45"/>
      <c r="K14" s="125"/>
      <c r="L14" s="62">
        <f>$S$5</f>
        <v>0.25169999999999998</v>
      </c>
      <c r="M14" s="62">
        <f>$S$5</f>
        <v>0.25169999999999998</v>
      </c>
      <c r="N14" s="62">
        <f>$S$5</f>
        <v>0.25169999999999998</v>
      </c>
      <c r="O14" s="62">
        <f>$S$5</f>
        <v>0.25169999999999998</v>
      </c>
      <c r="P14" s="63">
        <f>$S$5</f>
        <v>0.25169999999999998</v>
      </c>
    </row>
    <row r="15" spans="1:2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7" s="6" customFormat="1" ht="33" x14ac:dyDescent="0.35">
      <c r="A17" s="34" t="s">
        <v>346</v>
      </c>
    </row>
    <row r="18" spans="1:17" s="6" customFormat="1" ht="14" thickBot="1" x14ac:dyDescent="0.2"/>
    <row r="19" spans="1:17" s="157" customFormat="1" x14ac:dyDescent="0.15">
      <c r="A19" s="159"/>
      <c r="B19" s="160" t="s">
        <v>1</v>
      </c>
      <c r="C19" s="160" t="s">
        <v>2</v>
      </c>
      <c r="D19" s="160" t="s">
        <v>3</v>
      </c>
      <c r="E19" s="160" t="s">
        <v>4</v>
      </c>
      <c r="F19" s="160" t="s">
        <v>5</v>
      </c>
      <c r="G19" s="160" t="s">
        <v>6</v>
      </c>
      <c r="H19" s="160" t="s">
        <v>7</v>
      </c>
      <c r="I19" s="160" t="s">
        <v>8</v>
      </c>
      <c r="J19" s="160" t="s">
        <v>9</v>
      </c>
      <c r="K19" s="161" t="s">
        <v>10</v>
      </c>
      <c r="L19" s="162">
        <v>2023</v>
      </c>
      <c r="M19" s="162">
        <v>2024</v>
      </c>
      <c r="N19" s="162">
        <v>2025</v>
      </c>
      <c r="O19" s="162">
        <v>2026</v>
      </c>
      <c r="P19" s="162">
        <v>2027</v>
      </c>
      <c r="Q19" s="163">
        <v>2028</v>
      </c>
    </row>
    <row r="20" spans="1:17" x14ac:dyDescent="0.15">
      <c r="A20" s="39" t="s">
        <v>350</v>
      </c>
      <c r="B20" s="20">
        <f>IS!B68</f>
        <v>1582901000</v>
      </c>
      <c r="C20" s="20">
        <f>IS!C68</f>
        <v>687849000</v>
      </c>
      <c r="D20" s="20">
        <f>IS!D68</f>
        <v>706720000</v>
      </c>
      <c r="E20" s="20">
        <f>IS!E68</f>
        <v>-1078505000</v>
      </c>
      <c r="F20" s="20">
        <f>IS!F68</f>
        <v>-736226000</v>
      </c>
      <c r="G20" s="20">
        <f>IS!G68</f>
        <v>2146943000</v>
      </c>
      <c r="H20" s="20">
        <f>IS!H68</f>
        <v>2606635000</v>
      </c>
      <c r="I20" s="20">
        <f>IS!I68</f>
        <v>1772365000</v>
      </c>
      <c r="J20" s="20">
        <f>IS!J68</f>
        <v>6545128000</v>
      </c>
      <c r="K20" s="114">
        <f>IS!K68</f>
        <v>14673108000</v>
      </c>
      <c r="L20" s="32">
        <f>IS!L68</f>
        <v>8008176268.0727663</v>
      </c>
      <c r="M20" s="32">
        <f>IS!M68</f>
        <v>10168357638.114601</v>
      </c>
      <c r="N20" s="32">
        <f>IS!N68</f>
        <v>12808887781.402676</v>
      </c>
      <c r="O20" s="32">
        <f>IS!O68</f>
        <v>15095578893.430063</v>
      </c>
      <c r="P20" s="32">
        <f>IS!P68</f>
        <v>17488962973.79792</v>
      </c>
      <c r="Q20" s="43"/>
    </row>
    <row r="21" spans="1:17" x14ac:dyDescent="0.15">
      <c r="A21" s="39" t="s">
        <v>351</v>
      </c>
      <c r="B21" s="20">
        <f>BS!B32</f>
        <v>0</v>
      </c>
      <c r="C21" s="20">
        <f>BS!C32</f>
        <v>1966169000</v>
      </c>
      <c r="D21" s="20">
        <f>BS!D32</f>
        <v>1014468000</v>
      </c>
      <c r="E21" s="20">
        <f>BS!E32</f>
        <v>-1235190000</v>
      </c>
      <c r="F21" s="20">
        <f>BS!F32</f>
        <v>-553534000</v>
      </c>
      <c r="G21" s="20">
        <f>BS!G32</f>
        <v>-488516000</v>
      </c>
      <c r="H21" s="20">
        <f>BS!H32</f>
        <v>-459074000</v>
      </c>
      <c r="I21" s="20">
        <f>BS!I32</f>
        <v>392701000</v>
      </c>
      <c r="J21" s="20">
        <f>BS!J32</f>
        <v>-2380532000</v>
      </c>
      <c r="K21" s="114">
        <f>BS!K32</f>
        <v>-84043000</v>
      </c>
      <c r="L21" s="32">
        <f>BS!L32</f>
        <v>1837478128.4968147</v>
      </c>
      <c r="M21" s="32">
        <f>BS!M32</f>
        <v>3336919749.2316399</v>
      </c>
      <c r="N21" s="32">
        <f>BS!N32</f>
        <v>4379996322.1466713</v>
      </c>
      <c r="O21" s="32">
        <f>BS!O32</f>
        <v>4629263486.3410683</v>
      </c>
      <c r="P21" s="32">
        <f>BS!P32</f>
        <v>4948315140.9151535</v>
      </c>
      <c r="Q21" s="43"/>
    </row>
    <row r="22" spans="1:17" x14ac:dyDescent="0.15">
      <c r="A22" s="40"/>
      <c r="B22" s="8"/>
      <c r="C22" s="8"/>
      <c r="D22" s="8"/>
      <c r="E22" s="8"/>
      <c r="F22" s="8"/>
      <c r="G22" s="8"/>
      <c r="H22" s="8"/>
      <c r="I22" s="8"/>
      <c r="J22" s="8"/>
      <c r="K22" s="124"/>
      <c r="L22" s="4"/>
      <c r="M22" s="4"/>
      <c r="N22" s="4"/>
      <c r="O22" s="4"/>
      <c r="P22" s="4"/>
      <c r="Q22" s="43"/>
    </row>
    <row r="23" spans="1:17" x14ac:dyDescent="0.15">
      <c r="A23" s="44" t="s">
        <v>352</v>
      </c>
      <c r="B23" s="8"/>
      <c r="C23" s="8"/>
      <c r="D23" s="8"/>
      <c r="E23" s="8"/>
      <c r="F23" s="8"/>
      <c r="G23" s="8"/>
      <c r="H23" s="8"/>
      <c r="I23" s="8"/>
      <c r="J23" s="8"/>
      <c r="K23" s="124"/>
      <c r="L23" s="4"/>
      <c r="M23" s="4"/>
      <c r="N23" s="4"/>
      <c r="O23" s="4"/>
      <c r="P23" s="4"/>
      <c r="Q23" s="43"/>
    </row>
    <row r="24" spans="1:17" x14ac:dyDescent="0.15">
      <c r="A24" s="40"/>
      <c r="B24" s="8"/>
      <c r="C24" s="8"/>
      <c r="D24" s="8"/>
      <c r="E24" s="8"/>
      <c r="F24" s="8"/>
      <c r="G24" s="8"/>
      <c r="H24" s="8"/>
      <c r="I24" s="8"/>
      <c r="J24" s="8"/>
      <c r="K24" s="124"/>
      <c r="L24" s="4"/>
      <c r="M24" s="4"/>
      <c r="N24" s="4"/>
      <c r="O24" s="4"/>
      <c r="P24" s="4"/>
      <c r="Q24" s="43"/>
    </row>
    <row r="25" spans="1:17" x14ac:dyDescent="0.15">
      <c r="A25" s="39" t="s">
        <v>353</v>
      </c>
      <c r="B25" s="20">
        <f>BS!B19</f>
        <v>3890931000</v>
      </c>
      <c r="C25" s="20">
        <f>BS!C19</f>
        <v>4481150000</v>
      </c>
      <c r="D25" s="20">
        <f>BS!D19</f>
        <v>5268963000</v>
      </c>
      <c r="E25" s="20">
        <f>BS!E19</f>
        <v>3256810000</v>
      </c>
      <c r="F25" s="20">
        <f>BS!F19</f>
        <v>1160189000</v>
      </c>
      <c r="G25" s="20">
        <f>BS!G19</f>
        <v>1578948000</v>
      </c>
      <c r="H25" s="20">
        <f>BS!H19</f>
        <v>1751599000</v>
      </c>
      <c r="I25" s="20">
        <f>BS!I19</f>
        <v>1957492000</v>
      </c>
      <c r="J25" s="20">
        <f>BS!J19</f>
        <v>2934681000</v>
      </c>
      <c r="K25" s="114">
        <f>BS!K19</f>
        <v>6088051000</v>
      </c>
      <c r="L25" s="32">
        <f>BS!L19</f>
        <v>5083411991.9465704</v>
      </c>
      <c r="M25" s="32">
        <f>BS!M19</f>
        <v>4933524216.3649864</v>
      </c>
      <c r="N25" s="32">
        <f>BS!N19</f>
        <v>5872363609.0524435</v>
      </c>
      <c r="O25" s="32">
        <f>BS!O19</f>
        <v>6929007967.8743353</v>
      </c>
      <c r="P25" s="32">
        <f>BS!P19</f>
        <v>8255352330.9568453</v>
      </c>
      <c r="Q25" s="43"/>
    </row>
    <row r="26" spans="1:17" x14ac:dyDescent="0.15">
      <c r="A26" s="39" t="s">
        <v>354</v>
      </c>
      <c r="B26" s="20">
        <f>BS!B13</f>
        <v>3475353000</v>
      </c>
      <c r="C26" s="20">
        <f>BS!C13</f>
        <v>4022270000</v>
      </c>
      <c r="D26" s="20">
        <f>BS!D13</f>
        <v>4192220000</v>
      </c>
      <c r="E26" s="20">
        <f>BS!E13</f>
        <v>4310978000</v>
      </c>
      <c r="F26" s="20">
        <f>BS!F13</f>
        <v>3043617000</v>
      </c>
      <c r="G26" s="20">
        <f>BS!G13</f>
        <v>4323038000</v>
      </c>
      <c r="H26" s="20">
        <f>BS!H13</f>
        <v>6164295000</v>
      </c>
      <c r="I26" s="20">
        <f>BS!I13</f>
        <v>5574016000</v>
      </c>
      <c r="J26" s="20">
        <f>BS!J13</f>
        <v>5036746000</v>
      </c>
      <c r="K26" s="114">
        <f>BS!K13</f>
        <v>8736274000</v>
      </c>
      <c r="L26" s="32">
        <f>BS!L13</f>
        <v>10252580450.651512</v>
      </c>
      <c r="M26" s="32">
        <f>BS!M13</f>
        <v>11212150093.683334</v>
      </c>
      <c r="N26" s="32">
        <f>BS!N13</f>
        <v>13047442346.800287</v>
      </c>
      <c r="O26" s="32">
        <f>BS!O13</f>
        <v>14972764173.034279</v>
      </c>
      <c r="P26" s="32">
        <f>BS!P13</f>
        <v>16776493982.115271</v>
      </c>
      <c r="Q26" s="43"/>
    </row>
    <row r="27" spans="1:17" x14ac:dyDescent="0.15">
      <c r="A27" s="39" t="s">
        <v>355</v>
      </c>
      <c r="B27" s="20">
        <f>SUM(B25:B26)</f>
        <v>7366284000</v>
      </c>
      <c r="C27" s="20">
        <f t="shared" ref="C27:P27" si="9">SUM(C25:C26)</f>
        <v>8503420000</v>
      </c>
      <c r="D27" s="20">
        <f t="shared" si="9"/>
        <v>9461183000</v>
      </c>
      <c r="E27" s="20">
        <f t="shared" si="9"/>
        <v>7567788000</v>
      </c>
      <c r="F27" s="20">
        <f t="shared" si="9"/>
        <v>4203806000</v>
      </c>
      <c r="G27" s="20">
        <f t="shared" si="9"/>
        <v>5901986000</v>
      </c>
      <c r="H27" s="20">
        <f t="shared" si="9"/>
        <v>7915894000</v>
      </c>
      <c r="I27" s="20">
        <f t="shared" si="9"/>
        <v>7531508000</v>
      </c>
      <c r="J27" s="20">
        <f t="shared" si="9"/>
        <v>7971427000</v>
      </c>
      <c r="K27" s="114">
        <f t="shared" si="9"/>
        <v>14824325000</v>
      </c>
      <c r="L27" s="32">
        <f t="shared" si="9"/>
        <v>15335992442.598083</v>
      </c>
      <c r="M27" s="32">
        <f t="shared" si="9"/>
        <v>16145674310.048321</v>
      </c>
      <c r="N27" s="32">
        <f t="shared" si="9"/>
        <v>18919805955.85273</v>
      </c>
      <c r="O27" s="32">
        <f t="shared" si="9"/>
        <v>21901772140.908615</v>
      </c>
      <c r="P27" s="32">
        <f t="shared" si="9"/>
        <v>25031846313.072117</v>
      </c>
      <c r="Q27" s="43"/>
    </row>
    <row r="28" spans="1:17" x14ac:dyDescent="0.15">
      <c r="A28" s="40"/>
      <c r="B28" s="8"/>
      <c r="C28" s="8"/>
      <c r="D28" s="8"/>
      <c r="E28" s="8"/>
      <c r="F28" s="8"/>
      <c r="G28" s="8"/>
      <c r="H28" s="8"/>
      <c r="I28" s="8"/>
      <c r="J28" s="8"/>
      <c r="K28" s="124"/>
      <c r="L28" s="4"/>
      <c r="M28" s="4"/>
      <c r="N28" s="4"/>
      <c r="O28" s="4"/>
      <c r="P28" s="4"/>
      <c r="Q28" s="43"/>
    </row>
    <row r="29" spans="1:17" x14ac:dyDescent="0.15">
      <c r="A29" s="39" t="s">
        <v>357</v>
      </c>
      <c r="B29" s="20">
        <f>BS!B94</f>
        <v>3445753000</v>
      </c>
      <c r="C29" s="20">
        <f>BS!C94</f>
        <v>2597876000</v>
      </c>
      <c r="D29" s="20">
        <f>BS!D94</f>
        <v>4828343000</v>
      </c>
      <c r="E29" s="20">
        <f>BS!E94</f>
        <v>4414741000</v>
      </c>
      <c r="F29" s="20">
        <f>BS!F94</f>
        <v>1261263000</v>
      </c>
      <c r="G29" s="20">
        <f>BS!G94</f>
        <v>2256242000</v>
      </c>
      <c r="H29" s="20">
        <f>BS!H94</f>
        <v>2681561000</v>
      </c>
      <c r="I29" s="20">
        <f>BS!I94</f>
        <v>2171495000</v>
      </c>
      <c r="J29" s="20">
        <f>BS!J94</f>
        <v>2292608000</v>
      </c>
      <c r="K29" s="114">
        <f>BS!K94</f>
        <v>7414043000</v>
      </c>
      <c r="L29" s="32">
        <f>BS!L94</f>
        <v>6260531689.7650166</v>
      </c>
      <c r="M29" s="32">
        <f>BS!M94</f>
        <v>5859987706.3242664</v>
      </c>
      <c r="N29" s="32">
        <f>BS!N94</f>
        <v>7048191333.1087017</v>
      </c>
      <c r="O29" s="32">
        <f>BS!O94</f>
        <v>8130212771.0197916</v>
      </c>
      <c r="P29" s="32">
        <f>BS!P94</f>
        <v>9403490107.227869</v>
      </c>
      <c r="Q29" s="43"/>
    </row>
    <row r="30" spans="1:17" x14ac:dyDescent="0.15">
      <c r="A30" s="39" t="s">
        <v>358</v>
      </c>
      <c r="B30" s="20">
        <f>SUM(B29)</f>
        <v>3445753000</v>
      </c>
      <c r="C30" s="20">
        <f t="shared" ref="C30:P30" si="10">SUM(C29)</f>
        <v>2597876000</v>
      </c>
      <c r="D30" s="20">
        <f t="shared" si="10"/>
        <v>4828343000</v>
      </c>
      <c r="E30" s="20">
        <f t="shared" si="10"/>
        <v>4414741000</v>
      </c>
      <c r="F30" s="20">
        <f t="shared" si="10"/>
        <v>1261263000</v>
      </c>
      <c r="G30" s="20">
        <f t="shared" si="10"/>
        <v>2256242000</v>
      </c>
      <c r="H30" s="20">
        <f t="shared" si="10"/>
        <v>2681561000</v>
      </c>
      <c r="I30" s="20">
        <f t="shared" si="10"/>
        <v>2171495000</v>
      </c>
      <c r="J30" s="20">
        <f t="shared" si="10"/>
        <v>2292608000</v>
      </c>
      <c r="K30" s="114">
        <f t="shared" si="10"/>
        <v>7414043000</v>
      </c>
      <c r="L30" s="32">
        <f t="shared" si="10"/>
        <v>6260531689.7650166</v>
      </c>
      <c r="M30" s="32">
        <f t="shared" si="10"/>
        <v>5859987706.3242664</v>
      </c>
      <c r="N30" s="32">
        <f t="shared" si="10"/>
        <v>7048191333.1087017</v>
      </c>
      <c r="O30" s="32">
        <f t="shared" si="10"/>
        <v>8130212771.0197916</v>
      </c>
      <c r="P30" s="32">
        <f t="shared" si="10"/>
        <v>9403490107.227869</v>
      </c>
      <c r="Q30" s="43"/>
    </row>
    <row r="31" spans="1:17" x14ac:dyDescent="0.15">
      <c r="A31" s="40"/>
      <c r="B31" s="8"/>
      <c r="C31" s="8"/>
      <c r="D31" s="8"/>
      <c r="E31" s="8"/>
      <c r="F31" s="8"/>
      <c r="G31" s="8"/>
      <c r="H31" s="8"/>
      <c r="I31" s="8"/>
      <c r="J31" s="8"/>
      <c r="K31" s="124"/>
      <c r="L31" s="4"/>
      <c r="M31" s="4"/>
      <c r="N31" s="4"/>
      <c r="O31" s="4"/>
      <c r="P31" s="4"/>
      <c r="Q31" s="43"/>
    </row>
    <row r="32" spans="1:17" x14ac:dyDescent="0.15">
      <c r="A32" s="40"/>
      <c r="B32" s="8"/>
      <c r="C32" s="8"/>
      <c r="D32" s="8"/>
      <c r="E32" s="8"/>
      <c r="F32" s="8"/>
      <c r="G32" s="8"/>
      <c r="H32" s="8"/>
      <c r="I32" s="8"/>
      <c r="J32" s="8"/>
      <c r="K32" s="124"/>
      <c r="L32" s="4"/>
      <c r="M32" s="4"/>
      <c r="N32" s="4"/>
      <c r="O32" s="4"/>
      <c r="P32" s="4"/>
      <c r="Q32" s="43"/>
    </row>
    <row r="33" spans="1:17" x14ac:dyDescent="0.15">
      <c r="A33" s="39" t="s">
        <v>359</v>
      </c>
      <c r="B33" s="20">
        <f>B27-B30</f>
        <v>3920531000</v>
      </c>
      <c r="C33" s="20">
        <f t="shared" ref="C33:P33" si="11">C27-C30</f>
        <v>5905544000</v>
      </c>
      <c r="D33" s="20">
        <f t="shared" si="11"/>
        <v>4632840000</v>
      </c>
      <c r="E33" s="20">
        <f t="shared" si="11"/>
        <v>3153047000</v>
      </c>
      <c r="F33" s="20">
        <f t="shared" si="11"/>
        <v>2942543000</v>
      </c>
      <c r="G33" s="20">
        <f t="shared" si="11"/>
        <v>3645744000</v>
      </c>
      <c r="H33" s="20">
        <f t="shared" si="11"/>
        <v>5234333000</v>
      </c>
      <c r="I33" s="20">
        <f t="shared" si="11"/>
        <v>5360013000</v>
      </c>
      <c r="J33" s="20">
        <f t="shared" si="11"/>
        <v>5678819000</v>
      </c>
      <c r="K33" s="114">
        <f t="shared" si="11"/>
        <v>7410282000</v>
      </c>
      <c r="L33" s="32">
        <f t="shared" si="11"/>
        <v>9075460752.8330669</v>
      </c>
      <c r="M33" s="32">
        <f t="shared" si="11"/>
        <v>10285686603.724054</v>
      </c>
      <c r="N33" s="32">
        <f t="shared" si="11"/>
        <v>11871614622.744028</v>
      </c>
      <c r="O33" s="32">
        <f t="shared" si="11"/>
        <v>13771559369.888824</v>
      </c>
      <c r="P33" s="32">
        <f t="shared" si="11"/>
        <v>15628356205.844248</v>
      </c>
      <c r="Q33" s="43"/>
    </row>
    <row r="34" spans="1:17" x14ac:dyDescent="0.15">
      <c r="A34" s="39" t="s">
        <v>360</v>
      </c>
      <c r="B34" s="8"/>
      <c r="C34" s="20">
        <f>C33-B33</f>
        <v>1985013000</v>
      </c>
      <c r="D34" s="8"/>
      <c r="E34" s="8"/>
      <c r="F34" s="8"/>
      <c r="G34" s="8"/>
      <c r="H34" s="8"/>
      <c r="I34" s="8"/>
      <c r="J34" s="8"/>
      <c r="K34" s="124"/>
      <c r="L34" s="4"/>
      <c r="M34" s="4"/>
      <c r="N34" s="4"/>
      <c r="O34" s="4"/>
      <c r="P34" s="4"/>
      <c r="Q34" s="43"/>
    </row>
    <row r="35" spans="1:17" x14ac:dyDescent="0.15">
      <c r="A35" s="40"/>
      <c r="B35" s="8"/>
      <c r="C35" s="8"/>
      <c r="D35" s="8"/>
      <c r="E35" s="8"/>
      <c r="F35" s="8"/>
      <c r="G35" s="8"/>
      <c r="H35" s="8"/>
      <c r="I35" s="8"/>
      <c r="J35" s="8"/>
      <c r="K35" s="124"/>
      <c r="L35" s="4"/>
      <c r="M35" s="4"/>
      <c r="N35" s="4"/>
      <c r="O35" s="4"/>
      <c r="P35" s="4"/>
      <c r="Q35" s="43"/>
    </row>
    <row r="36" spans="1:17" x14ac:dyDescent="0.15">
      <c r="A36" s="44" t="s">
        <v>361</v>
      </c>
      <c r="B36" s="8"/>
      <c r="C36" s="8"/>
      <c r="D36" s="8"/>
      <c r="E36" s="8"/>
      <c r="F36" s="8"/>
      <c r="G36" s="8"/>
      <c r="H36" s="8"/>
      <c r="I36" s="8"/>
      <c r="J36" s="8"/>
      <c r="K36" s="124"/>
      <c r="L36" s="4"/>
      <c r="M36" s="4"/>
      <c r="N36" s="4"/>
      <c r="O36" s="4"/>
      <c r="P36" s="4"/>
      <c r="Q36" s="43"/>
    </row>
    <row r="37" spans="1:17" x14ac:dyDescent="0.15">
      <c r="A37" s="39" t="s">
        <v>362</v>
      </c>
      <c r="B37" s="20">
        <f>B20-B21-B34</f>
        <v>1582901000</v>
      </c>
      <c r="C37" s="20">
        <f t="shared" ref="C37:P37" si="12">C20-C21-C34</f>
        <v>-3263333000</v>
      </c>
      <c r="D37" s="20">
        <f t="shared" si="12"/>
        <v>-307748000</v>
      </c>
      <c r="E37" s="20">
        <f t="shared" si="12"/>
        <v>156685000</v>
      </c>
      <c r="F37" s="20">
        <f t="shared" si="12"/>
        <v>-182692000</v>
      </c>
      <c r="G37" s="20">
        <f t="shared" si="12"/>
        <v>2635459000</v>
      </c>
      <c r="H37" s="20">
        <f t="shared" si="12"/>
        <v>3065709000</v>
      </c>
      <c r="I37" s="20">
        <f t="shared" si="12"/>
        <v>1379664000</v>
      </c>
      <c r="J37" s="20">
        <f t="shared" si="12"/>
        <v>8925660000</v>
      </c>
      <c r="K37" s="114">
        <f t="shared" si="12"/>
        <v>14757151000</v>
      </c>
      <c r="L37" s="32">
        <f t="shared" si="12"/>
        <v>6170698139.5759516</v>
      </c>
      <c r="M37" s="32">
        <f t="shared" si="12"/>
        <v>6831437888.8829613</v>
      </c>
      <c r="N37" s="32">
        <f t="shared" si="12"/>
        <v>8428891459.2560043</v>
      </c>
      <c r="O37" s="32">
        <f t="shared" si="12"/>
        <v>10466315407.088995</v>
      </c>
      <c r="P37" s="32">
        <f t="shared" si="12"/>
        <v>12540647832.882767</v>
      </c>
      <c r="Q37" s="151" t="s">
        <v>414</v>
      </c>
    </row>
    <row r="38" spans="1:17" ht="14" thickBot="1" x14ac:dyDescent="0.2">
      <c r="A38" s="41" t="s">
        <v>413</v>
      </c>
      <c r="B38" s="45"/>
      <c r="C38" s="45"/>
      <c r="D38" s="45"/>
      <c r="E38" s="45"/>
      <c r="F38" s="45"/>
      <c r="G38" s="45"/>
      <c r="H38" s="45"/>
      <c r="I38" s="45"/>
      <c r="J38" s="45"/>
      <c r="K38" s="125"/>
      <c r="L38" s="46">
        <f>L37/((1+$S$3)^(L19-2023))</f>
        <v>6170698139.5759516</v>
      </c>
      <c r="M38" s="46">
        <f>M37/((1+$S$3)^(M19-2023))</f>
        <v>5783472645.5155449</v>
      </c>
      <c r="N38" s="46">
        <f>N37/((1+$S$3)^(N19-2023))</f>
        <v>6041205161.5219336</v>
      </c>
      <c r="O38" s="46">
        <f>O37/((1+$S$3)^(O19-2023))</f>
        <v>6350727867.8110056</v>
      </c>
      <c r="P38" s="46">
        <f>P37/((1+$S$3)^(P19-2023))</f>
        <v>6442081560.9084377</v>
      </c>
      <c r="Q38" s="47">
        <f>P38*((1+S4)/S3-S4)</f>
        <v>36716736292.446526</v>
      </c>
    </row>
    <row r="39" spans="1:17" ht="14" thickBo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15">
      <c r="A40" s="37" t="s">
        <v>415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135">
        <f>Q38/((1+$S$3)^(Q19-2023))</f>
        <v>15967865979.066198</v>
      </c>
      <c r="M40" s="6"/>
      <c r="N40" s="6"/>
      <c r="O40" s="6"/>
      <c r="P40" s="6"/>
      <c r="Q40" s="6"/>
    </row>
    <row r="41" spans="1:17" x14ac:dyDescent="0.15">
      <c r="A41" s="39" t="s">
        <v>416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136">
        <f>SUM(L38:P38)+L40</f>
        <v>46756051354.399071</v>
      </c>
      <c r="M41" s="6"/>
      <c r="N41" s="6"/>
      <c r="O41" s="6"/>
      <c r="P41" s="6"/>
      <c r="Q41" s="6"/>
    </row>
    <row r="42" spans="1:17" x14ac:dyDescent="0.15">
      <c r="A42" s="39" t="s">
        <v>417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137">
        <f>CF!K74</f>
        <v>109969000</v>
      </c>
      <c r="M42" s="6"/>
      <c r="N42" s="6"/>
      <c r="O42" s="6"/>
      <c r="P42" s="6"/>
      <c r="Q42" s="6"/>
    </row>
    <row r="43" spans="1:17" x14ac:dyDescent="0.15">
      <c r="A43" s="39" t="s">
        <v>418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136">
        <f>SUM(L41:L42)</f>
        <v>46866020354.399071</v>
      </c>
      <c r="M43" s="6"/>
      <c r="N43" s="6"/>
      <c r="O43" s="6"/>
      <c r="P43" s="6"/>
      <c r="Q43" s="6"/>
    </row>
    <row r="44" spans="1:17" x14ac:dyDescent="0.15">
      <c r="A44" s="40" t="s">
        <v>100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138">
        <f>IS!K94</f>
        <v>131644988</v>
      </c>
      <c r="M44" s="6"/>
      <c r="N44" s="6"/>
      <c r="O44" s="6"/>
      <c r="P44" s="6"/>
      <c r="Q44" s="6"/>
    </row>
    <row r="45" spans="1:17" x14ac:dyDescent="0.15">
      <c r="A45" s="40"/>
      <c r="B45" s="6"/>
      <c r="C45" s="6"/>
      <c r="D45" s="6"/>
      <c r="E45" s="6"/>
      <c r="F45" s="6"/>
      <c r="G45" s="6"/>
      <c r="H45" s="6"/>
      <c r="I45" s="6"/>
      <c r="J45" s="6"/>
      <c r="K45" s="6"/>
      <c r="L45" s="137"/>
      <c r="M45" s="6"/>
      <c r="N45" s="6"/>
      <c r="O45" s="6"/>
      <c r="P45" s="6"/>
      <c r="Q45" s="6"/>
    </row>
    <row r="46" spans="1:17" x14ac:dyDescent="0.15">
      <c r="A46" s="64" t="s">
        <v>419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139">
        <f>L43/L44</f>
        <v>356.00307361795706</v>
      </c>
      <c r="M46" s="6"/>
      <c r="N46" s="6"/>
      <c r="O46" s="6"/>
      <c r="P46" s="6"/>
      <c r="Q46" s="6"/>
    </row>
    <row r="47" spans="1:17" ht="14" thickBot="1" x14ac:dyDescent="0.2">
      <c r="A47" s="41" t="s">
        <v>420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140">
        <v>403.7</v>
      </c>
      <c r="M47" s="6"/>
      <c r="N47" s="6"/>
      <c r="O47" s="6"/>
      <c r="P47" s="6"/>
      <c r="Q47" s="6"/>
    </row>
    <row r="48" spans="1:17" x14ac:dyDescent="0.15">
      <c r="J48" s="3" t="s">
        <v>426</v>
      </c>
      <c r="K48" s="149" t="s">
        <v>425</v>
      </c>
      <c r="L48" s="150" t="str">
        <f>IF(L46&gt;L47,"Buy","Sell")</f>
        <v>Sell</v>
      </c>
      <c r="M48" s="6"/>
      <c r="N48" s="6"/>
      <c r="O48" s="6"/>
      <c r="P48" s="6"/>
      <c r="Q48" s="6"/>
    </row>
  </sheetData>
  <mergeCells count="1">
    <mergeCell ref="T5:U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2"/>
  <sheetViews>
    <sheetView showGridLines="0" zoomScale="134" zoomScaleNormal="100" workbookViewId="0">
      <pane xSplit="1" topLeftCell="J1" activePane="topRight" state="frozen"/>
      <selection pane="topRight" activeCell="A9" sqref="A9"/>
    </sheetView>
  </sheetViews>
  <sheetFormatPr baseColWidth="10" defaultRowHeight="13" x14ac:dyDescent="0.15"/>
  <cols>
    <col min="1" max="1" width="50.6640625" customWidth="1"/>
    <col min="2" max="2" width="16.33203125" hidden="1" customWidth="1"/>
    <col min="3" max="3" width="17.1640625" hidden="1" customWidth="1"/>
    <col min="4" max="4" width="15.83203125" hidden="1" customWidth="1"/>
    <col min="5" max="5" width="16.83203125" hidden="1" customWidth="1"/>
    <col min="6" max="6" width="17.5" hidden="1" customWidth="1"/>
    <col min="7" max="7" width="15.83203125" hidden="1" customWidth="1"/>
    <col min="8" max="9" width="16.5" hidden="1" customWidth="1"/>
    <col min="10" max="11" width="15.1640625" bestFit="1" customWidth="1"/>
    <col min="12" max="12" width="15.5" customWidth="1"/>
    <col min="13" max="13" width="18.6640625" customWidth="1"/>
    <col min="14" max="14" width="15.6640625" customWidth="1"/>
    <col min="15" max="15" width="17.1640625" customWidth="1"/>
    <col min="16" max="16" width="17.33203125" customWidth="1"/>
    <col min="17" max="256" width="8.83203125" customWidth="1"/>
  </cols>
  <sheetData>
    <row r="1" spans="1:16" x14ac:dyDescent="0.15">
      <c r="A1" s="148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20"/>
      <c r="L1" s="51" t="s">
        <v>349</v>
      </c>
      <c r="M1" s="52"/>
      <c r="N1" s="52"/>
      <c r="O1" s="52"/>
      <c r="P1" s="53"/>
    </row>
    <row r="2" spans="1:16" s="168" customFormat="1" x14ac:dyDescent="0.15">
      <c r="A2" s="167"/>
      <c r="B2" s="153" t="s">
        <v>1</v>
      </c>
      <c r="C2" s="153" t="s">
        <v>2</v>
      </c>
      <c r="D2" s="153" t="s">
        <v>3</v>
      </c>
      <c r="E2" s="153" t="s">
        <v>4</v>
      </c>
      <c r="F2" s="153" t="s">
        <v>5</v>
      </c>
      <c r="G2" s="153" t="s">
        <v>6</v>
      </c>
      <c r="H2" s="153" t="s">
        <v>7</v>
      </c>
      <c r="I2" s="153" t="s">
        <v>8</v>
      </c>
      <c r="J2" s="153" t="s">
        <v>9</v>
      </c>
      <c r="K2" s="154" t="s">
        <v>10</v>
      </c>
      <c r="L2" s="155">
        <v>2023</v>
      </c>
      <c r="M2" s="155">
        <v>2024</v>
      </c>
      <c r="N2" s="155">
        <v>2025</v>
      </c>
      <c r="O2" s="155">
        <v>2026</v>
      </c>
      <c r="P2" s="156">
        <v>2027</v>
      </c>
    </row>
    <row r="3" spans="1:16" x14ac:dyDescent="0.15">
      <c r="A3" s="103" t="s">
        <v>12</v>
      </c>
      <c r="B3" s="12">
        <v>8374019000</v>
      </c>
      <c r="C3" s="12">
        <v>8879103000</v>
      </c>
      <c r="D3" s="12">
        <v>9267193000</v>
      </c>
      <c r="E3" s="12">
        <v>5531080000</v>
      </c>
      <c r="F3" s="12">
        <v>5564988000</v>
      </c>
      <c r="G3" s="21">
        <v>9781122000</v>
      </c>
      <c r="H3" s="21">
        <v>12600150000</v>
      </c>
      <c r="I3" s="21">
        <v>12259740000</v>
      </c>
      <c r="J3" s="21">
        <v>19748776000</v>
      </c>
      <c r="K3" s="112">
        <v>27111656000</v>
      </c>
      <c r="L3" s="32">
        <f>L5+L9</f>
        <v>23073778910.736557</v>
      </c>
      <c r="M3" s="32">
        <f t="shared" ref="M3:P3" si="0">M5+M9</f>
        <v>27341374412.849289</v>
      </c>
      <c r="N3" s="32">
        <f t="shared" si="0"/>
        <v>33085294801.759064</v>
      </c>
      <c r="O3" s="32">
        <f t="shared" si="0"/>
        <v>38582100502.865799</v>
      </c>
      <c r="P3" s="105">
        <f t="shared" si="0"/>
        <v>44681063187.912003</v>
      </c>
    </row>
    <row r="4" spans="1:16" s="6" customFormat="1" x14ac:dyDescent="0.15">
      <c r="A4" s="142" t="s">
        <v>338</v>
      </c>
      <c r="B4" s="12"/>
      <c r="C4" s="13">
        <f>(C5-B5)/C5</f>
        <v>-0.11267839904153516</v>
      </c>
      <c r="D4" s="13">
        <f t="shared" ref="D4:K4" si="1">(D5-C5)/D5</f>
        <v>0.11562773932373041</v>
      </c>
      <c r="E4" s="13">
        <f t="shared" si="1"/>
        <v>-0.32797772128079788</v>
      </c>
      <c r="F4" s="13">
        <f t="shared" si="1"/>
        <v>5.1712136696053894E-4</v>
      </c>
      <c r="G4" s="13">
        <f t="shared" si="1"/>
        <v>0.28560769996071345</v>
      </c>
      <c r="H4" s="13">
        <f t="shared" si="1"/>
        <v>0.23286234051589205</v>
      </c>
      <c r="I4" s="13">
        <f t="shared" si="1"/>
        <v>-8.8770176206520029E-3</v>
      </c>
      <c r="J4" s="13">
        <f t="shared" si="1"/>
        <v>0.19790480851315043</v>
      </c>
      <c r="K4" s="115">
        <f t="shared" si="1"/>
        <v>0.24567925099978555</v>
      </c>
      <c r="L4" s="29">
        <f>'Assumptions+DCF'!L4</f>
        <v>8.9388068922150302E-2</v>
      </c>
      <c r="M4" s="29">
        <f>'Assumptions+DCF'!M4</f>
        <v>0.14901175323685717</v>
      </c>
      <c r="N4" s="29">
        <f>'Assumptions+DCF'!N4</f>
        <v>0.17022527207541382</v>
      </c>
      <c r="O4" s="29">
        <f>'Assumptions+DCF'!O4</f>
        <v>0.15374206809179963</v>
      </c>
      <c r="P4" s="55">
        <f>'Assumptions+DCF'!P4</f>
        <v>0.14243917203121498</v>
      </c>
    </row>
    <row r="5" spans="1:16" x14ac:dyDescent="0.15">
      <c r="A5" s="40" t="s">
        <v>13</v>
      </c>
      <c r="B5" s="12">
        <v>23567126000</v>
      </c>
      <c r="C5" s="12">
        <v>21180537000</v>
      </c>
      <c r="D5" s="12">
        <v>23949798000</v>
      </c>
      <c r="E5" s="12">
        <v>18034789000</v>
      </c>
      <c r="F5" s="12">
        <v>18044120000</v>
      </c>
      <c r="G5" s="21">
        <v>25257999000</v>
      </c>
      <c r="H5" s="21">
        <v>32924989000</v>
      </c>
      <c r="I5" s="21">
        <v>32635285000</v>
      </c>
      <c r="J5" s="21">
        <v>40687546000</v>
      </c>
      <c r="K5" s="112">
        <v>53939317000</v>
      </c>
      <c r="L5" s="32">
        <f>K5*(1+L4)</f>
        <v>58760848385.609711</v>
      </c>
      <c r="M5" s="32">
        <f t="shared" ref="M5:P5" si="2">L5*(1+M4)</f>
        <v>67516905425.234558</v>
      </c>
      <c r="N5" s="32">
        <f t="shared" si="2"/>
        <v>79009989020.935089</v>
      </c>
      <c r="O5" s="32">
        <f t="shared" si="2"/>
        <v>91157148132.924026</v>
      </c>
      <c r="P5" s="105">
        <f t="shared" si="2"/>
        <v>104141496837.70454</v>
      </c>
    </row>
    <row r="6" spans="1:16" ht="12" hidden="1" customHeight="1" x14ac:dyDescent="0.15">
      <c r="A6" s="40" t="s">
        <v>14</v>
      </c>
      <c r="B6" s="12">
        <v>26853420000</v>
      </c>
      <c r="C6" s="12">
        <v>23498689000</v>
      </c>
      <c r="D6" s="12">
        <v>26653782000</v>
      </c>
      <c r="E6" s="12">
        <v>20116306000</v>
      </c>
      <c r="F6" s="12">
        <v>19940795000</v>
      </c>
      <c r="G6" s="21">
        <v>25071332000</v>
      </c>
      <c r="H6" s="21">
        <v>32750124000</v>
      </c>
      <c r="I6" s="21">
        <v>32463740000</v>
      </c>
      <c r="J6" s="21">
        <v>40515969000</v>
      </c>
      <c r="K6" s="112">
        <v>53490377000</v>
      </c>
      <c r="L6" s="32"/>
      <c r="M6" s="32"/>
      <c r="N6" s="32"/>
      <c r="O6" s="32"/>
      <c r="P6" s="105"/>
    </row>
    <row r="7" spans="1:16" ht="12" hidden="1" customHeight="1" x14ac:dyDescent="0.15">
      <c r="A7" s="40" t="s">
        <v>15</v>
      </c>
      <c r="B7" s="141" t="s">
        <v>16</v>
      </c>
      <c r="C7" s="141" t="s">
        <v>16</v>
      </c>
      <c r="D7" s="141" t="s">
        <v>16</v>
      </c>
      <c r="E7" s="141" t="s">
        <v>16</v>
      </c>
      <c r="F7" s="141" t="s">
        <v>16</v>
      </c>
      <c r="G7" s="21">
        <v>801200000</v>
      </c>
      <c r="H7" s="21">
        <v>174865000</v>
      </c>
      <c r="I7" s="21">
        <v>171545000</v>
      </c>
      <c r="J7" s="21">
        <v>171577000</v>
      </c>
      <c r="K7" s="112">
        <v>448940000</v>
      </c>
      <c r="L7" s="32"/>
      <c r="M7" s="32"/>
      <c r="N7" s="32"/>
      <c r="O7" s="32"/>
      <c r="P7" s="105"/>
    </row>
    <row r="8" spans="1:16" ht="12" hidden="1" customHeight="1" x14ac:dyDescent="0.15">
      <c r="A8" s="40" t="s">
        <v>17</v>
      </c>
      <c r="B8" s="12">
        <v>-3286294000</v>
      </c>
      <c r="C8" s="12">
        <v>-2318152000</v>
      </c>
      <c r="D8" s="12">
        <v>-2703984000</v>
      </c>
      <c r="E8" s="12">
        <v>-2081517000</v>
      </c>
      <c r="F8" s="12">
        <v>-1896675000</v>
      </c>
      <c r="G8" s="21">
        <v>-614533000</v>
      </c>
      <c r="H8" s="21">
        <v>0</v>
      </c>
      <c r="I8" s="20" t="s">
        <v>16</v>
      </c>
      <c r="J8" s="20" t="s">
        <v>16</v>
      </c>
      <c r="K8" s="114" t="s">
        <v>16</v>
      </c>
      <c r="L8" s="32"/>
      <c r="M8" s="32"/>
      <c r="N8" s="32"/>
      <c r="O8" s="32"/>
      <c r="P8" s="105"/>
    </row>
    <row r="9" spans="1:16" x14ac:dyDescent="0.15">
      <c r="A9" s="40" t="s">
        <v>18</v>
      </c>
      <c r="B9" s="12">
        <v>-15193107000</v>
      </c>
      <c r="C9" s="12">
        <v>-12301434000</v>
      </c>
      <c r="D9" s="12">
        <v>-14682605000</v>
      </c>
      <c r="E9" s="12">
        <v>-12503709000</v>
      </c>
      <c r="F9" s="12">
        <v>-12479132000</v>
      </c>
      <c r="G9" s="21">
        <v>-15476877000</v>
      </c>
      <c r="H9" s="21">
        <v>-20324839000</v>
      </c>
      <c r="I9" s="21">
        <v>-20375545000</v>
      </c>
      <c r="J9" s="21">
        <v>-20938770000</v>
      </c>
      <c r="K9" s="112">
        <v>-26827661000</v>
      </c>
      <c r="L9" s="32">
        <f>-1*(1-L13)*L5</f>
        <v>-35687069474.873154</v>
      </c>
      <c r="M9" s="32">
        <f t="shared" ref="M9:P9" si="3">-1*(1-M13)*M5</f>
        <v>-40175531012.385269</v>
      </c>
      <c r="N9" s="32">
        <f t="shared" si="3"/>
        <v>-45924694219.176025</v>
      </c>
      <c r="O9" s="32">
        <f t="shared" si="3"/>
        <v>-52575047630.058228</v>
      </c>
      <c r="P9" s="105">
        <f t="shared" si="3"/>
        <v>-59460433649.792542</v>
      </c>
    </row>
    <row r="10" spans="1:16" ht="14" hidden="1" customHeight="1" x14ac:dyDescent="0.15">
      <c r="A10" s="40" t="s">
        <v>19</v>
      </c>
      <c r="B10" s="12">
        <v>-14927587000</v>
      </c>
      <c r="C10" s="12">
        <v>-12437367000</v>
      </c>
      <c r="D10" s="12">
        <v>-15218423000</v>
      </c>
      <c r="E10" s="12">
        <v>12059438000</v>
      </c>
      <c r="F10" s="12">
        <v>-11233529000</v>
      </c>
      <c r="G10" s="21">
        <v>-15476877000</v>
      </c>
      <c r="H10" s="21">
        <v>-20324839000</v>
      </c>
      <c r="I10" s="21">
        <v>-20375545000</v>
      </c>
      <c r="J10" s="21">
        <v>-20938770000</v>
      </c>
      <c r="K10" s="112">
        <v>-26827661000</v>
      </c>
      <c r="L10" s="4"/>
      <c r="M10" s="4"/>
      <c r="N10" s="4"/>
      <c r="O10" s="4"/>
      <c r="P10" s="43"/>
    </row>
    <row r="11" spans="1:16" hidden="1" x14ac:dyDescent="0.15">
      <c r="A11" s="40" t="s">
        <v>20</v>
      </c>
      <c r="B11" s="12">
        <v>-265520000</v>
      </c>
      <c r="C11" s="12">
        <v>135933000</v>
      </c>
      <c r="D11" s="12">
        <v>535818000</v>
      </c>
      <c r="E11" s="12">
        <v>-85110000</v>
      </c>
      <c r="F11" s="12">
        <v>-72030000</v>
      </c>
      <c r="G11" s="20" t="s">
        <v>16</v>
      </c>
      <c r="H11" s="20" t="s">
        <v>16</v>
      </c>
      <c r="I11" s="20" t="s">
        <v>16</v>
      </c>
      <c r="J11" s="20" t="s">
        <v>16</v>
      </c>
      <c r="K11" s="114" t="s">
        <v>16</v>
      </c>
      <c r="L11" s="4"/>
      <c r="M11" s="4"/>
      <c r="N11" s="4"/>
      <c r="O11" s="4"/>
      <c r="P11" s="43"/>
    </row>
    <row r="12" spans="1:16" hidden="1" x14ac:dyDescent="0.15">
      <c r="A12" s="40" t="s">
        <v>21</v>
      </c>
      <c r="B12" s="141" t="s">
        <v>16</v>
      </c>
      <c r="C12" s="141" t="s">
        <v>16</v>
      </c>
      <c r="D12" s="141" t="s">
        <v>16</v>
      </c>
      <c r="E12" s="12">
        <v>-24478037000</v>
      </c>
      <c r="F12" s="12">
        <v>-1173573000</v>
      </c>
      <c r="G12" s="20" t="s">
        <v>16</v>
      </c>
      <c r="H12" s="20" t="s">
        <v>16</v>
      </c>
      <c r="I12" s="20" t="s">
        <v>16</v>
      </c>
      <c r="J12" s="20" t="s">
        <v>16</v>
      </c>
      <c r="K12" s="114" t="s">
        <v>16</v>
      </c>
      <c r="L12" s="4"/>
      <c r="M12" s="4"/>
      <c r="N12" s="4"/>
      <c r="O12" s="4"/>
      <c r="P12" s="43"/>
    </row>
    <row r="13" spans="1:16" s="6" customFormat="1" x14ac:dyDescent="0.15">
      <c r="A13" s="39" t="s">
        <v>339</v>
      </c>
      <c r="B13" s="11">
        <f>(B5+B9)/B5</f>
        <v>0.35532627100988046</v>
      </c>
      <c r="C13" s="11">
        <f t="shared" ref="C13:K13" si="4">(C5+C9)/C5</f>
        <v>0.41921047610832529</v>
      </c>
      <c r="D13" s="11">
        <f t="shared" si="4"/>
        <v>0.38694242849146371</v>
      </c>
      <c r="E13" s="11">
        <f t="shared" si="4"/>
        <v>0.30668947665536866</v>
      </c>
      <c r="F13" s="11">
        <f t="shared" si="4"/>
        <v>0.30841005269306565</v>
      </c>
      <c r="G13" s="11">
        <f t="shared" si="4"/>
        <v>0.38724849106217796</v>
      </c>
      <c r="H13" s="11">
        <f t="shared" si="4"/>
        <v>0.38269261077050021</v>
      </c>
      <c r="I13" s="11">
        <f t="shared" si="4"/>
        <v>0.37565904511022347</v>
      </c>
      <c r="J13" s="11">
        <f t="shared" si="4"/>
        <v>0.48537643435168099</v>
      </c>
      <c r="K13" s="121">
        <f t="shared" si="4"/>
        <v>0.50263254167641758</v>
      </c>
      <c r="L13" s="29">
        <f>'Assumptions+DCF'!L5</f>
        <v>0.39267266461706207</v>
      </c>
      <c r="M13" s="29">
        <f>'Assumptions+DCF'!M5</f>
        <v>0.40495597718301829</v>
      </c>
      <c r="N13" s="29">
        <f>'Assumptions+DCF'!N5</f>
        <v>0.41874825211015437</v>
      </c>
      <c r="O13" s="29">
        <f>'Assumptions+DCF'!O5</f>
        <v>0.42324821797415096</v>
      </c>
      <c r="P13" s="55">
        <f>'Assumptions+DCF'!P5</f>
        <v>0.42904187614610106</v>
      </c>
    </row>
    <row r="14" spans="1:16" s="6" customFormat="1" x14ac:dyDescent="0.15">
      <c r="A14" s="39" t="s">
        <v>340</v>
      </c>
      <c r="B14" s="11">
        <f>B15/B5</f>
        <v>-0.24500187252361616</v>
      </c>
      <c r="C14" s="11">
        <f t="shared" ref="C14:D14" si="5">C15/C5</f>
        <v>-0.30506884693244557</v>
      </c>
      <c r="D14" s="11">
        <f t="shared" si="5"/>
        <v>-0.28671928673469399</v>
      </c>
      <c r="E14" s="11">
        <f>-1*E15/E5</f>
        <v>0.25852506508393308</v>
      </c>
      <c r="F14" s="11">
        <f t="shared" ref="F14:K14" si="6">-1*F15/F5</f>
        <v>0.21484372748574052</v>
      </c>
      <c r="G14" s="11">
        <f t="shared" si="6"/>
        <v>0.20317523965378256</v>
      </c>
      <c r="H14" s="11">
        <f t="shared" si="6"/>
        <v>0.18323556615311246</v>
      </c>
      <c r="I14" s="11">
        <f t="shared" si="6"/>
        <v>0.22086814930526882</v>
      </c>
      <c r="J14" s="11">
        <f t="shared" si="6"/>
        <v>0.21737196929989339</v>
      </c>
      <c r="K14" s="121">
        <f t="shared" si="6"/>
        <v>0.17581318280318603</v>
      </c>
      <c r="L14" s="29">
        <f>'Assumptions+DCF'!L6</f>
        <v>0.210547557112131</v>
      </c>
      <c r="M14" s="29">
        <f>'Assumptions+DCF'!M6</f>
        <v>0.20369362740187355</v>
      </c>
      <c r="N14" s="29">
        <f>'Assumptions+DCF'!N6</f>
        <v>0.2021007559613211</v>
      </c>
      <c r="O14" s="29">
        <f>'Assumptions+DCF'!O6</f>
        <v>0.20194725829096946</v>
      </c>
      <c r="P14" s="55">
        <f>'Assumptions+DCF'!P6</f>
        <v>0.20462035716780619</v>
      </c>
    </row>
    <row r="15" spans="1:16" x14ac:dyDescent="0.15">
      <c r="A15" s="40" t="s">
        <v>22</v>
      </c>
      <c r="B15" s="12">
        <v>-5773990000</v>
      </c>
      <c r="C15" s="12">
        <v>-6461522000</v>
      </c>
      <c r="D15" s="12">
        <v>-6866869000</v>
      </c>
      <c r="E15" s="12">
        <v>-4662445000</v>
      </c>
      <c r="F15" s="12">
        <v>-3876666000</v>
      </c>
      <c r="G15" s="21">
        <v>-5131800000</v>
      </c>
      <c r="H15" s="21">
        <v>-6033029000</v>
      </c>
      <c r="I15" s="21">
        <v>-7208095000</v>
      </c>
      <c r="J15" s="21">
        <v>-8844332000</v>
      </c>
      <c r="K15" s="112">
        <v>-9483243000</v>
      </c>
      <c r="L15" s="32">
        <f>-1*L5*L14</f>
        <v>-12371953081.426432</v>
      </c>
      <c r="M15" s="32">
        <f t="shared" ref="M15:P15" si="7">-1*M5*M14</f>
        <v>-13752763377.015263</v>
      </c>
      <c r="N15" s="32">
        <f t="shared" si="7"/>
        <v>-15967978509.626661</v>
      </c>
      <c r="O15" s="32">
        <f t="shared" si="7"/>
        <v>-18408936139.067772</v>
      </c>
      <c r="P15" s="105">
        <f t="shared" si="7"/>
        <v>-21309470278.921062</v>
      </c>
    </row>
    <row r="16" spans="1:16" x14ac:dyDescent="0.15">
      <c r="A16" s="40" t="s">
        <v>23</v>
      </c>
      <c r="B16" s="12">
        <v>-613703000</v>
      </c>
      <c r="C16" s="12">
        <v>-798613000</v>
      </c>
      <c r="D16" s="12">
        <v>-911924000</v>
      </c>
      <c r="E16" s="12">
        <v>-1189643000</v>
      </c>
      <c r="F16" s="12">
        <v>-863122000</v>
      </c>
      <c r="G16" s="21">
        <v>-1517809000</v>
      </c>
      <c r="H16" s="21">
        <v>-1924775000</v>
      </c>
      <c r="I16" s="21">
        <v>-2893895000</v>
      </c>
      <c r="J16" s="21">
        <v>-4360364000</v>
      </c>
      <c r="K16" s="112">
        <v>-5174163000</v>
      </c>
      <c r="L16" s="4"/>
      <c r="M16" s="4"/>
      <c r="N16" s="4"/>
      <c r="O16" s="4"/>
      <c r="P16" s="43"/>
    </row>
    <row r="17" spans="1:16" hidden="1" x14ac:dyDescent="0.15">
      <c r="A17" s="40" t="s">
        <v>24</v>
      </c>
      <c r="B17" s="12">
        <v>-613703000</v>
      </c>
      <c r="C17" s="12">
        <v>-798613000</v>
      </c>
      <c r="D17" s="12">
        <v>-911924000</v>
      </c>
      <c r="E17" s="12">
        <v>-851030000</v>
      </c>
      <c r="F17" s="12">
        <v>-783403000</v>
      </c>
      <c r="G17" s="21">
        <v>-1022982000</v>
      </c>
      <c r="H17" s="21">
        <v>-1250221000</v>
      </c>
      <c r="I17" s="21">
        <v>-1400646000</v>
      </c>
      <c r="J17" s="21">
        <v>-1529436000</v>
      </c>
      <c r="K17" s="112">
        <v>-1594980000</v>
      </c>
      <c r="L17" s="4"/>
      <c r="M17" s="4"/>
      <c r="N17" s="4"/>
      <c r="O17" s="4"/>
      <c r="P17" s="43"/>
    </row>
    <row r="18" spans="1:16" hidden="1" x14ac:dyDescent="0.15">
      <c r="A18" s="40" t="s">
        <v>25</v>
      </c>
      <c r="B18" s="141" t="s">
        <v>16</v>
      </c>
      <c r="C18" s="141" t="s">
        <v>16</v>
      </c>
      <c r="D18" s="141" t="s">
        <v>16</v>
      </c>
      <c r="E18" s="12">
        <v>-24176000</v>
      </c>
      <c r="F18" s="12">
        <v>-13220000</v>
      </c>
      <c r="G18" s="21">
        <v>-55440000</v>
      </c>
      <c r="H18" s="21">
        <v>-74710000</v>
      </c>
      <c r="I18" s="21">
        <v>-96470000</v>
      </c>
      <c r="J18" s="21">
        <v>-101412000</v>
      </c>
      <c r="K18" s="112">
        <v>-89462000</v>
      </c>
      <c r="L18" s="4"/>
      <c r="M18" s="4"/>
      <c r="N18" s="4"/>
      <c r="O18" s="4"/>
      <c r="P18" s="43"/>
    </row>
    <row r="19" spans="1:16" hidden="1" x14ac:dyDescent="0.15">
      <c r="A19" s="40" t="s">
        <v>26</v>
      </c>
      <c r="B19" s="141" t="s">
        <v>16</v>
      </c>
      <c r="C19" s="141" t="s">
        <v>16</v>
      </c>
      <c r="D19" s="141" t="s">
        <v>16</v>
      </c>
      <c r="E19" s="12">
        <v>-826854000</v>
      </c>
      <c r="F19" s="12">
        <v>-770183000</v>
      </c>
      <c r="G19" s="21">
        <v>-967542000</v>
      </c>
      <c r="H19" s="21">
        <v>-1175511000</v>
      </c>
      <c r="I19" s="21">
        <v>-1304176000</v>
      </c>
      <c r="J19" s="21">
        <v>-1428024000</v>
      </c>
      <c r="K19" s="112">
        <v>-1505518000</v>
      </c>
      <c r="L19" s="4"/>
      <c r="M19" s="4"/>
      <c r="N19" s="4"/>
      <c r="O19" s="4"/>
      <c r="P19" s="43"/>
    </row>
    <row r="20" spans="1:16" hidden="1" x14ac:dyDescent="0.15">
      <c r="A20" s="40" t="s">
        <v>27</v>
      </c>
      <c r="B20" s="141" t="s">
        <v>16</v>
      </c>
      <c r="C20" s="141" t="s">
        <v>16</v>
      </c>
      <c r="D20" s="141" t="s">
        <v>16</v>
      </c>
      <c r="E20" s="12">
        <v>-42154000</v>
      </c>
      <c r="F20" s="12">
        <v>-51386000</v>
      </c>
      <c r="G20" s="21">
        <v>-72094000</v>
      </c>
      <c r="H20" s="21">
        <v>-76483000</v>
      </c>
      <c r="I20" s="21">
        <v>-47091000</v>
      </c>
      <c r="J20" s="21">
        <v>-88007000</v>
      </c>
      <c r="K20" s="112">
        <v>-155166000</v>
      </c>
      <c r="L20" s="4"/>
      <c r="M20" s="4"/>
      <c r="N20" s="4"/>
      <c r="O20" s="4"/>
      <c r="P20" s="43"/>
    </row>
    <row r="21" spans="1:16" hidden="1" x14ac:dyDescent="0.15">
      <c r="A21" s="40" t="s">
        <v>28</v>
      </c>
      <c r="B21" s="141" t="s">
        <v>16</v>
      </c>
      <c r="C21" s="141" t="s">
        <v>16</v>
      </c>
      <c r="D21" s="141" t="s">
        <v>16</v>
      </c>
      <c r="E21" s="141" t="s">
        <v>16</v>
      </c>
      <c r="F21" s="141" t="s">
        <v>16</v>
      </c>
      <c r="G21" s="21">
        <v>-68081000</v>
      </c>
      <c r="H21" s="21">
        <v>-72478000</v>
      </c>
      <c r="I21" s="21">
        <v>-42989000</v>
      </c>
      <c r="J21" s="21">
        <v>-83347000</v>
      </c>
      <c r="K21" s="112">
        <v>-150926000</v>
      </c>
      <c r="L21" s="4"/>
      <c r="M21" s="4"/>
      <c r="N21" s="4"/>
      <c r="O21" s="4"/>
      <c r="P21" s="43"/>
    </row>
    <row r="22" spans="1:16" hidden="1" x14ac:dyDescent="0.15">
      <c r="A22" s="40" t="s">
        <v>29</v>
      </c>
      <c r="B22" s="141" t="s">
        <v>16</v>
      </c>
      <c r="C22" s="141" t="s">
        <v>16</v>
      </c>
      <c r="D22" s="141" t="s">
        <v>16</v>
      </c>
      <c r="E22" s="12">
        <v>-2569000</v>
      </c>
      <c r="F22" s="141" t="s">
        <v>16</v>
      </c>
      <c r="G22" s="21">
        <v>-4013000</v>
      </c>
      <c r="H22" s="21">
        <v>-4003000</v>
      </c>
      <c r="I22" s="21">
        <v>-4102000</v>
      </c>
      <c r="J22" s="21">
        <v>-4660000</v>
      </c>
      <c r="K22" s="112">
        <v>-4240000</v>
      </c>
      <c r="L22" s="4"/>
      <c r="M22" s="4"/>
      <c r="N22" s="4"/>
      <c r="O22" s="4"/>
      <c r="P22" s="43"/>
    </row>
    <row r="23" spans="1:16" hidden="1" x14ac:dyDescent="0.15">
      <c r="A23" s="40" t="s">
        <v>30</v>
      </c>
      <c r="B23" s="141" t="s">
        <v>16</v>
      </c>
      <c r="C23" s="141" t="s">
        <v>16</v>
      </c>
      <c r="D23" s="141" t="s">
        <v>16</v>
      </c>
      <c r="E23" s="141" t="s">
        <v>16</v>
      </c>
      <c r="F23" s="141" t="s">
        <v>16</v>
      </c>
      <c r="G23" s="20" t="s">
        <v>16</v>
      </c>
      <c r="H23" s="21">
        <v>-2000</v>
      </c>
      <c r="I23" s="20" t="s">
        <v>16</v>
      </c>
      <c r="J23" s="20" t="s">
        <v>16</v>
      </c>
      <c r="K23" s="114" t="s">
        <v>16</v>
      </c>
      <c r="L23" s="4"/>
      <c r="M23" s="4"/>
      <c r="N23" s="4"/>
      <c r="O23" s="4"/>
      <c r="P23" s="43"/>
    </row>
    <row r="24" spans="1:16" hidden="1" x14ac:dyDescent="0.15">
      <c r="A24" s="40" t="s">
        <v>31</v>
      </c>
      <c r="B24" s="141" t="s">
        <v>16</v>
      </c>
      <c r="C24" s="141" t="s">
        <v>16</v>
      </c>
      <c r="D24" s="141" t="s">
        <v>16</v>
      </c>
      <c r="E24" s="12">
        <v>-39585000</v>
      </c>
      <c r="F24" s="141" t="s">
        <v>16</v>
      </c>
      <c r="G24" s="20" t="s">
        <v>16</v>
      </c>
      <c r="H24" s="20" t="s">
        <v>16</v>
      </c>
      <c r="I24" s="20" t="s">
        <v>16</v>
      </c>
      <c r="J24" s="20" t="s">
        <v>16</v>
      </c>
      <c r="K24" s="114" t="s">
        <v>16</v>
      </c>
      <c r="L24" s="4"/>
      <c r="M24" s="4"/>
      <c r="N24" s="4"/>
      <c r="O24" s="4"/>
      <c r="P24" s="43"/>
    </row>
    <row r="25" spans="1:16" hidden="1" x14ac:dyDescent="0.15">
      <c r="A25" s="40" t="s">
        <v>32</v>
      </c>
      <c r="B25" s="141" t="s">
        <v>16</v>
      </c>
      <c r="C25" s="141" t="s">
        <v>16</v>
      </c>
      <c r="D25" s="141" t="s">
        <v>16</v>
      </c>
      <c r="E25" s="12">
        <v>-11788000</v>
      </c>
      <c r="F25" s="12">
        <v>-7868000</v>
      </c>
      <c r="G25" s="21">
        <v>-9953000</v>
      </c>
      <c r="H25" s="21">
        <v>-12292000</v>
      </c>
      <c r="I25" s="21">
        <v>-11433000</v>
      </c>
      <c r="J25" s="21">
        <v>-9369000</v>
      </c>
      <c r="K25" s="112">
        <v>-10025000</v>
      </c>
      <c r="L25" s="4"/>
      <c r="M25" s="4"/>
      <c r="N25" s="4"/>
      <c r="O25" s="4"/>
      <c r="P25" s="43"/>
    </row>
    <row r="26" spans="1:16" hidden="1" x14ac:dyDescent="0.15">
      <c r="A26" s="40" t="s">
        <v>33</v>
      </c>
      <c r="B26" s="141" t="s">
        <v>16</v>
      </c>
      <c r="C26" s="141" t="s">
        <v>16</v>
      </c>
      <c r="D26" s="141" t="s">
        <v>16</v>
      </c>
      <c r="E26" s="12">
        <v>-11421000</v>
      </c>
      <c r="F26" s="12">
        <v>-9564000</v>
      </c>
      <c r="G26" s="21">
        <v>-13777000</v>
      </c>
      <c r="H26" s="21">
        <v>-13955000</v>
      </c>
      <c r="I26" s="21">
        <v>-28876000</v>
      </c>
      <c r="J26" s="21">
        <v>-55827000</v>
      </c>
      <c r="K26" s="112">
        <v>-82520000</v>
      </c>
      <c r="L26" s="4"/>
      <c r="M26" s="4"/>
      <c r="N26" s="4"/>
      <c r="O26" s="4"/>
      <c r="P26" s="43"/>
    </row>
    <row r="27" spans="1:16" hidden="1" x14ac:dyDescent="0.15">
      <c r="A27" s="40" t="s">
        <v>34</v>
      </c>
      <c r="B27" s="141" t="s">
        <v>16</v>
      </c>
      <c r="C27" s="141" t="s">
        <v>16</v>
      </c>
      <c r="D27" s="141" t="s">
        <v>16</v>
      </c>
      <c r="E27" s="12">
        <v>-12765000</v>
      </c>
      <c r="F27" s="12">
        <v>-10901000</v>
      </c>
      <c r="G27" s="21">
        <v>-7912000</v>
      </c>
      <c r="H27" s="21">
        <v>-11848000</v>
      </c>
      <c r="I27" s="21">
        <v>-9621000</v>
      </c>
      <c r="J27" s="21">
        <v>-7879000</v>
      </c>
      <c r="K27" s="112">
        <v>-6095000</v>
      </c>
      <c r="L27" s="4"/>
      <c r="M27" s="4"/>
      <c r="N27" s="4"/>
      <c r="O27" s="4"/>
      <c r="P27" s="43"/>
    </row>
    <row r="28" spans="1:16" hidden="1" x14ac:dyDescent="0.15">
      <c r="A28" s="40" t="s">
        <v>35</v>
      </c>
      <c r="B28" s="141" t="s">
        <v>16</v>
      </c>
      <c r="C28" s="141" t="s">
        <v>16</v>
      </c>
      <c r="D28" s="141" t="s">
        <v>16</v>
      </c>
      <c r="E28" s="12">
        <v>-260485000</v>
      </c>
      <c r="F28" s="141" t="s">
        <v>16</v>
      </c>
      <c r="G28" s="21">
        <v>-391091000</v>
      </c>
      <c r="H28" s="21">
        <v>-559976000</v>
      </c>
      <c r="I28" s="21">
        <v>-1396228000</v>
      </c>
      <c r="J28" s="21">
        <v>-2669846000</v>
      </c>
      <c r="K28" s="112">
        <v>-3325377000</v>
      </c>
      <c r="L28" s="4"/>
      <c r="M28" s="4"/>
      <c r="N28" s="4"/>
      <c r="O28" s="4"/>
      <c r="P28" s="43"/>
    </row>
    <row r="29" spans="1:16" x14ac:dyDescent="0.15">
      <c r="A29" s="40" t="s">
        <v>36</v>
      </c>
      <c r="B29" s="141" t="s">
        <v>16</v>
      </c>
      <c r="C29" s="141" t="s">
        <v>16</v>
      </c>
      <c r="D29" s="141" t="s">
        <v>16</v>
      </c>
      <c r="E29" s="12">
        <v>-197755000</v>
      </c>
      <c r="F29" s="141" t="s">
        <v>16</v>
      </c>
      <c r="G29" s="21">
        <v>-140949000</v>
      </c>
      <c r="H29" s="21">
        <v>-221836000</v>
      </c>
      <c r="I29" s="21">
        <v>-251093000</v>
      </c>
      <c r="J29" s="21">
        <v>-229325000</v>
      </c>
      <c r="K29" s="112">
        <v>-316237000</v>
      </c>
      <c r="L29" s="4"/>
      <c r="M29" s="4"/>
      <c r="N29" s="4"/>
      <c r="O29" s="4"/>
      <c r="P29" s="43"/>
    </row>
    <row r="30" spans="1:16" x14ac:dyDescent="0.15">
      <c r="A30" s="40" t="s">
        <v>37</v>
      </c>
      <c r="B30" s="12">
        <v>-709187000</v>
      </c>
      <c r="C30" s="12">
        <v>-1054881000</v>
      </c>
      <c r="D30" s="12">
        <v>-1181751000</v>
      </c>
      <c r="E30" s="12">
        <v>-1157342000</v>
      </c>
      <c r="F30" s="12">
        <v>-1200856000</v>
      </c>
      <c r="G30" s="21">
        <v>-1317961000</v>
      </c>
      <c r="H30" s="21">
        <v>-1328509000</v>
      </c>
      <c r="I30" s="21">
        <v>-1368981000</v>
      </c>
      <c r="J30" s="21">
        <v>-1384513000</v>
      </c>
      <c r="K30" s="112">
        <v>-1046969000</v>
      </c>
      <c r="L30" s="32">
        <f>-1*L31*BS!L33</f>
        <v>-1254606433.5282092</v>
      </c>
      <c r="M30" s="32">
        <f>-1*M31*BS!M33</f>
        <v>-1471186874.2630887</v>
      </c>
      <c r="N30" s="32">
        <f>-1*N31*BS!N33</f>
        <v>-1748462782.6626043</v>
      </c>
      <c r="O30" s="32">
        <f>-1*O31*BS!O33</f>
        <v>-2022146941.2496305</v>
      </c>
      <c r="P30" s="105">
        <f>-1*P31*BS!P33</f>
        <v>-2307331433.3963599</v>
      </c>
    </row>
    <row r="31" spans="1:16" s="18" customFormat="1" x14ac:dyDescent="0.15">
      <c r="A31" s="57" t="s">
        <v>343</v>
      </c>
      <c r="B31" s="11">
        <f>-1*B30/BS!B33</f>
        <v>3.1683131072683515E-2</v>
      </c>
      <c r="C31" s="11">
        <f>-1*C30/BS!C33</f>
        <v>4.3321761764211861E-2</v>
      </c>
      <c r="D31" s="11">
        <f>-1*D30/BS!D33</f>
        <v>4.6590971006661389E-2</v>
      </c>
      <c r="E31" s="11">
        <f>-1*E30/BS!E33</f>
        <v>4.7964398967756394E-2</v>
      </c>
      <c r="F31" s="11">
        <f>-1*F30/BS!F33</f>
        <v>5.0936275193044486E-2</v>
      </c>
      <c r="G31" s="11">
        <f>-1*G30/BS!G33</f>
        <v>5.7086374240063881E-2</v>
      </c>
      <c r="H31" s="11">
        <f>-1*H30/BS!H33</f>
        <v>5.8710678916234285E-2</v>
      </c>
      <c r="I31" s="11">
        <f>-1*I30/BS!I33</f>
        <v>5.9467224481897105E-2</v>
      </c>
      <c r="J31" s="11">
        <f>-1*J30/BS!J33</f>
        <v>6.7078360985556709E-2</v>
      </c>
      <c r="K31" s="121">
        <f>-1*K30/BS!K33</f>
        <v>5.0932055016031666E-2</v>
      </c>
      <c r="L31" s="29">
        <f>'Assumptions+DCF'!L7</f>
        <v>5.6025052542940643E-2</v>
      </c>
      <c r="M31" s="29">
        <f>'Assumptions+DCF'!M7</f>
        <v>5.7176574482252676E-2</v>
      </c>
      <c r="N31" s="29">
        <f>'Assumptions+DCF'!N7</f>
        <v>5.8068045809282424E-2</v>
      </c>
      <c r="O31" s="29">
        <f>'Assumptions+DCF'!O7</f>
        <v>5.8208284604885072E-2</v>
      </c>
      <c r="P31" s="55">
        <f>'Assumptions+DCF'!P7</f>
        <v>5.8136513988978046E-2</v>
      </c>
    </row>
    <row r="32" spans="1:16" hidden="1" x14ac:dyDescent="0.15">
      <c r="A32" s="40" t="s">
        <v>38</v>
      </c>
      <c r="B32" s="12">
        <v>-709187000</v>
      </c>
      <c r="C32" s="12">
        <v>-1054881000</v>
      </c>
      <c r="D32" s="12">
        <v>-1181751000</v>
      </c>
      <c r="E32" s="12">
        <v>-1157342000</v>
      </c>
      <c r="F32" s="12">
        <v>-1200856000</v>
      </c>
      <c r="G32" s="21">
        <v>-1317961000</v>
      </c>
      <c r="H32" s="21">
        <v>-1328509000</v>
      </c>
      <c r="I32" s="21">
        <v>-1368981000</v>
      </c>
      <c r="J32" s="21">
        <v>-1384513000</v>
      </c>
      <c r="K32" s="112">
        <v>-1046969000</v>
      </c>
      <c r="L32" s="4"/>
      <c r="M32" s="4"/>
      <c r="N32" s="4"/>
      <c r="O32" s="4"/>
      <c r="P32" s="43"/>
    </row>
    <row r="33" spans="1:16" hidden="1" x14ac:dyDescent="0.15">
      <c r="A33" s="40" t="s">
        <v>39</v>
      </c>
      <c r="B33" s="141" t="s">
        <v>16</v>
      </c>
      <c r="C33" s="141" t="s">
        <v>16</v>
      </c>
      <c r="D33" s="141" t="s">
        <v>16</v>
      </c>
      <c r="E33" s="141" t="s">
        <v>16</v>
      </c>
      <c r="F33" s="141" t="s">
        <v>16</v>
      </c>
      <c r="G33" s="21">
        <v>-1220166000</v>
      </c>
      <c r="H33" s="21">
        <v>-1217074000</v>
      </c>
      <c r="I33" s="21">
        <v>-1259862000</v>
      </c>
      <c r="J33" s="21">
        <v>-1277813000</v>
      </c>
      <c r="K33" s="112">
        <v>-944715000</v>
      </c>
      <c r="L33" s="4"/>
      <c r="M33" s="4"/>
      <c r="N33" s="4"/>
      <c r="O33" s="4"/>
      <c r="P33" s="43"/>
    </row>
    <row r="34" spans="1:16" hidden="1" x14ac:dyDescent="0.15">
      <c r="A34" s="40" t="s">
        <v>40</v>
      </c>
      <c r="B34" s="141" t="s">
        <v>16</v>
      </c>
      <c r="C34" s="141" t="s">
        <v>16</v>
      </c>
      <c r="D34" s="141" t="s">
        <v>16</v>
      </c>
      <c r="E34" s="141" t="s">
        <v>16</v>
      </c>
      <c r="F34" s="141" t="s">
        <v>16</v>
      </c>
      <c r="G34" s="21">
        <v>-97795000</v>
      </c>
      <c r="H34" s="21">
        <v>-111435000</v>
      </c>
      <c r="I34" s="21">
        <v>-109119000</v>
      </c>
      <c r="J34" s="21">
        <v>-106700000</v>
      </c>
      <c r="K34" s="112">
        <v>-102254000</v>
      </c>
      <c r="L34" s="4"/>
      <c r="M34" s="4"/>
      <c r="N34" s="4"/>
      <c r="O34" s="4"/>
      <c r="P34" s="43"/>
    </row>
    <row r="35" spans="1:16" hidden="1" x14ac:dyDescent="0.15">
      <c r="A35" s="40" t="s">
        <v>41</v>
      </c>
      <c r="B35" s="141" t="s">
        <v>16</v>
      </c>
      <c r="C35" s="141" t="s">
        <v>16</v>
      </c>
      <c r="D35" s="141" t="s">
        <v>16</v>
      </c>
      <c r="E35" s="12">
        <v>0</v>
      </c>
      <c r="F35" s="141" t="s">
        <v>16</v>
      </c>
      <c r="G35" s="21">
        <v>-548000</v>
      </c>
      <c r="H35" s="21">
        <v>-2775000</v>
      </c>
      <c r="I35" s="21">
        <v>27279000</v>
      </c>
      <c r="J35" s="21">
        <v>-76732000</v>
      </c>
      <c r="K35" s="112">
        <v>10441000</v>
      </c>
      <c r="L35" s="4"/>
      <c r="M35" s="4"/>
      <c r="N35" s="4"/>
      <c r="O35" s="4"/>
      <c r="P35" s="43"/>
    </row>
    <row r="36" spans="1:16" hidden="1" x14ac:dyDescent="0.15">
      <c r="A36" s="40" t="s">
        <v>42</v>
      </c>
      <c r="B36" s="141" t="s">
        <v>16</v>
      </c>
      <c r="C36" s="141" t="s">
        <v>16</v>
      </c>
      <c r="D36" s="141" t="s">
        <v>16</v>
      </c>
      <c r="E36" s="12">
        <v>0</v>
      </c>
      <c r="F36" s="141" t="s">
        <v>16</v>
      </c>
      <c r="G36" s="21">
        <v>-548000</v>
      </c>
      <c r="H36" s="21">
        <v>-2775000</v>
      </c>
      <c r="I36" s="21">
        <v>27279000</v>
      </c>
      <c r="J36" s="21">
        <v>-76732000</v>
      </c>
      <c r="K36" s="112">
        <v>10441000</v>
      </c>
      <c r="L36" s="4"/>
      <c r="M36" s="4"/>
      <c r="N36" s="4"/>
      <c r="O36" s="4"/>
      <c r="P36" s="43"/>
    </row>
    <row r="37" spans="1:16" hidden="1" x14ac:dyDescent="0.15">
      <c r="A37" s="40" t="s">
        <v>43</v>
      </c>
      <c r="B37" s="12">
        <v>-4451100000</v>
      </c>
      <c r="C37" s="12">
        <v>-4608028000</v>
      </c>
      <c r="D37" s="12">
        <v>-4773194000</v>
      </c>
      <c r="E37" s="12">
        <v>-2083029000</v>
      </c>
      <c r="F37" s="12">
        <v>-1812688000</v>
      </c>
      <c r="G37" s="21">
        <v>-2154533000</v>
      </c>
      <c r="H37" s="21">
        <v>-2555134000</v>
      </c>
      <c r="I37" s="21">
        <v>-2721405000</v>
      </c>
      <c r="J37" s="21">
        <v>-2793398000</v>
      </c>
      <c r="K37" s="112">
        <v>-2956315000</v>
      </c>
      <c r="L37" s="4"/>
      <c r="M37" s="4"/>
      <c r="N37" s="4"/>
      <c r="O37" s="4"/>
      <c r="P37" s="43"/>
    </row>
    <row r="38" spans="1:16" hidden="1" x14ac:dyDescent="0.15">
      <c r="A38" s="40" t="s">
        <v>44</v>
      </c>
      <c r="B38" s="141" t="s">
        <v>16</v>
      </c>
      <c r="C38" s="141" t="s">
        <v>16</v>
      </c>
      <c r="D38" s="141" t="s">
        <v>16</v>
      </c>
      <c r="E38" s="141" t="s">
        <v>16</v>
      </c>
      <c r="F38" s="141" t="s">
        <v>16</v>
      </c>
      <c r="G38" s="21">
        <v>15826000</v>
      </c>
      <c r="H38" s="21">
        <v>291384000</v>
      </c>
      <c r="I38" s="21">
        <v>249973000</v>
      </c>
      <c r="J38" s="21">
        <v>31639000</v>
      </c>
      <c r="K38" s="112">
        <v>52494000</v>
      </c>
      <c r="L38" s="4"/>
      <c r="M38" s="4"/>
      <c r="N38" s="4"/>
      <c r="O38" s="4"/>
      <c r="P38" s="43"/>
    </row>
    <row r="39" spans="1:16" hidden="1" x14ac:dyDescent="0.15">
      <c r="A39" s="40" t="s">
        <v>45</v>
      </c>
      <c r="B39" s="141" t="s">
        <v>16</v>
      </c>
      <c r="C39" s="141" t="s">
        <v>16</v>
      </c>
      <c r="D39" s="141" t="s">
        <v>16</v>
      </c>
      <c r="E39" s="141" t="s">
        <v>16</v>
      </c>
      <c r="F39" s="141" t="s">
        <v>16</v>
      </c>
      <c r="G39" s="21">
        <v>-2170359000</v>
      </c>
      <c r="H39" s="21">
        <v>-2846518000</v>
      </c>
      <c r="I39" s="21">
        <v>-2971378000</v>
      </c>
      <c r="J39" s="21">
        <v>-2825037000</v>
      </c>
      <c r="K39" s="112">
        <v>-3008809000</v>
      </c>
      <c r="L39" s="4"/>
      <c r="M39" s="4"/>
      <c r="N39" s="4"/>
      <c r="O39" s="4"/>
      <c r="P39" s="43"/>
    </row>
    <row r="40" spans="1:16" hidden="1" x14ac:dyDescent="0.15">
      <c r="A40" s="40" t="s">
        <v>46</v>
      </c>
      <c r="B40" s="141" t="s">
        <v>16</v>
      </c>
      <c r="C40" s="141" t="s">
        <v>16</v>
      </c>
      <c r="D40" s="141" t="s">
        <v>16</v>
      </c>
      <c r="E40" s="12">
        <v>-34676000</v>
      </c>
      <c r="F40" s="141" t="s">
        <v>16</v>
      </c>
      <c r="G40" s="20" t="s">
        <v>16</v>
      </c>
      <c r="H40" s="20" t="s">
        <v>16</v>
      </c>
      <c r="I40" s="20" t="s">
        <v>16</v>
      </c>
      <c r="J40" s="20" t="s">
        <v>16</v>
      </c>
      <c r="K40" s="114" t="s">
        <v>16</v>
      </c>
      <c r="L40" s="4"/>
      <c r="M40" s="4"/>
      <c r="N40" s="4"/>
      <c r="O40" s="4"/>
      <c r="P40" s="43"/>
    </row>
    <row r="41" spans="1:16" s="6" customFormat="1" x14ac:dyDescent="0.15">
      <c r="A41" s="40" t="s">
        <v>47</v>
      </c>
      <c r="B41" s="12">
        <v>2600029000</v>
      </c>
      <c r="C41" s="12">
        <v>2417581000</v>
      </c>
      <c r="D41" s="12">
        <v>2400324000</v>
      </c>
      <c r="E41" s="12">
        <v>868635000</v>
      </c>
      <c r="F41" s="12">
        <v>1688322000</v>
      </c>
      <c r="G41" s="21">
        <v>4649322000</v>
      </c>
      <c r="H41" s="21">
        <v>6567121000</v>
      </c>
      <c r="I41" s="21">
        <v>5051645000</v>
      </c>
      <c r="J41" s="21">
        <v>10904444000</v>
      </c>
      <c r="K41" s="112">
        <v>17628413000</v>
      </c>
      <c r="L41" s="32">
        <f>L3+L15</f>
        <v>10701825829.310125</v>
      </c>
      <c r="M41" s="32">
        <f t="shared" ref="M41:P41" si="8">M3+M15</f>
        <v>13588611035.834026</v>
      </c>
      <c r="N41" s="32">
        <f t="shared" si="8"/>
        <v>17117316292.132402</v>
      </c>
      <c r="O41" s="32">
        <f t="shared" si="8"/>
        <v>20173164363.798027</v>
      </c>
      <c r="P41" s="105">
        <f t="shared" si="8"/>
        <v>23371592908.99094</v>
      </c>
    </row>
    <row r="42" spans="1:16" hidden="1" x14ac:dyDescent="0.15">
      <c r="A42" s="40" t="s">
        <v>48</v>
      </c>
      <c r="B42" s="12">
        <v>-1062772000</v>
      </c>
      <c r="C42" s="12">
        <v>-1494642000</v>
      </c>
      <c r="D42" s="12">
        <v>-1634331000</v>
      </c>
      <c r="E42" s="12">
        <v>-2300300000</v>
      </c>
      <c r="F42" s="12">
        <v>-2417365000</v>
      </c>
      <c r="G42" s="21">
        <v>-2566009000</v>
      </c>
      <c r="H42" s="21">
        <v>-2431337000</v>
      </c>
      <c r="I42" s="21">
        <v>-2325662000</v>
      </c>
      <c r="J42" s="21">
        <v>-1198777000</v>
      </c>
      <c r="K42" s="112">
        <v>1702250000</v>
      </c>
      <c r="L42" s="4"/>
      <c r="M42" s="4"/>
      <c r="N42" s="4"/>
      <c r="O42" s="4"/>
      <c r="P42" s="43"/>
    </row>
    <row r="43" spans="1:16" hidden="1" x14ac:dyDescent="0.15">
      <c r="A43" s="40" t="s">
        <v>49</v>
      </c>
      <c r="B43" s="12">
        <v>-1084617000</v>
      </c>
      <c r="C43" s="12">
        <v>-1527002000</v>
      </c>
      <c r="D43" s="12">
        <v>-2041840000</v>
      </c>
      <c r="E43" s="12">
        <v>-2228043000</v>
      </c>
      <c r="F43" s="12">
        <v>-2467333000</v>
      </c>
      <c r="G43" s="21">
        <v>-2548821000</v>
      </c>
      <c r="H43" s="21">
        <v>-2494452000</v>
      </c>
      <c r="I43" s="21">
        <v>-2086935000</v>
      </c>
      <c r="J43" s="21">
        <v>-1515226000</v>
      </c>
      <c r="K43" s="112">
        <v>1102000</v>
      </c>
      <c r="L43" s="4"/>
      <c r="M43" s="4"/>
      <c r="N43" s="4"/>
      <c r="O43" s="4"/>
      <c r="P43" s="43"/>
    </row>
    <row r="44" spans="1:16" hidden="1" x14ac:dyDescent="0.15">
      <c r="A44" s="40" t="s">
        <v>50</v>
      </c>
      <c r="B44" s="12">
        <v>125992000</v>
      </c>
      <c r="C44" s="12">
        <v>123114000</v>
      </c>
      <c r="D44" s="12">
        <v>-1619006000</v>
      </c>
      <c r="E44" s="12">
        <v>-1663865000</v>
      </c>
      <c r="F44" s="12">
        <v>-2223671000</v>
      </c>
      <c r="G44" s="21">
        <v>-2395182000</v>
      </c>
      <c r="H44" s="21">
        <v>-2310041000</v>
      </c>
      <c r="I44" s="21">
        <v>-2020572000</v>
      </c>
      <c r="J44" s="21">
        <v>-1455850000</v>
      </c>
      <c r="K44" s="112">
        <v>77514000</v>
      </c>
      <c r="L44" s="4"/>
      <c r="M44" s="4"/>
      <c r="N44" s="4"/>
      <c r="O44" s="4"/>
      <c r="P44" s="43"/>
    </row>
    <row r="45" spans="1:16" hidden="1" x14ac:dyDescent="0.15">
      <c r="A45" s="40" t="s">
        <v>51</v>
      </c>
      <c r="B45" s="141" t="s">
        <v>16</v>
      </c>
      <c r="C45" s="141" t="s">
        <v>16</v>
      </c>
      <c r="D45" s="12">
        <v>-1762037000</v>
      </c>
      <c r="E45" s="12">
        <v>-1823215000</v>
      </c>
      <c r="F45" s="12">
        <v>-2342645000</v>
      </c>
      <c r="G45" s="21">
        <v>-2479479000</v>
      </c>
      <c r="H45" s="21">
        <v>-2341668000</v>
      </c>
      <c r="I45" s="21">
        <v>-2052978000</v>
      </c>
      <c r="J45" s="21">
        <v>-1480041000</v>
      </c>
      <c r="K45" s="112">
        <v>-120464000</v>
      </c>
      <c r="L45" s="4"/>
      <c r="M45" s="4"/>
      <c r="N45" s="4"/>
      <c r="O45" s="4"/>
      <c r="P45" s="43"/>
    </row>
    <row r="46" spans="1:16" hidden="1" x14ac:dyDescent="0.15">
      <c r="A46" s="40" t="s">
        <v>52</v>
      </c>
      <c r="B46" s="12">
        <v>125992000</v>
      </c>
      <c r="C46" s="12">
        <v>123114000</v>
      </c>
      <c r="D46" s="12">
        <v>143031000</v>
      </c>
      <c r="E46" s="12">
        <v>159350000</v>
      </c>
      <c r="F46" s="12">
        <v>118974000</v>
      </c>
      <c r="G46" s="21">
        <v>84297000</v>
      </c>
      <c r="H46" s="21">
        <v>31627000</v>
      </c>
      <c r="I46" s="21">
        <v>32406000</v>
      </c>
      <c r="J46" s="21">
        <v>24191000</v>
      </c>
      <c r="K46" s="112">
        <v>197978000</v>
      </c>
      <c r="L46" s="4"/>
      <c r="M46" s="4"/>
      <c r="N46" s="4"/>
      <c r="O46" s="4"/>
      <c r="P46" s="43"/>
    </row>
    <row r="47" spans="1:16" hidden="1" x14ac:dyDescent="0.15">
      <c r="A47" s="40" t="s">
        <v>53</v>
      </c>
      <c r="B47" s="12">
        <v>-1210609000</v>
      </c>
      <c r="C47" s="12">
        <v>-1650116000</v>
      </c>
      <c r="D47" s="12">
        <v>-422834000</v>
      </c>
      <c r="E47" s="12">
        <v>-564178000</v>
      </c>
      <c r="F47" s="12">
        <v>-243662000</v>
      </c>
      <c r="G47" s="21">
        <v>-153639000</v>
      </c>
      <c r="H47" s="21">
        <v>-184411000</v>
      </c>
      <c r="I47" s="21">
        <v>-66363000</v>
      </c>
      <c r="J47" s="21">
        <v>-59376000</v>
      </c>
      <c r="K47" s="112">
        <v>-76412000</v>
      </c>
      <c r="L47" s="4"/>
      <c r="M47" s="4"/>
      <c r="N47" s="4"/>
      <c r="O47" s="4"/>
      <c r="P47" s="43"/>
    </row>
    <row r="48" spans="1:16" hidden="1" x14ac:dyDescent="0.15">
      <c r="A48" s="40" t="s">
        <v>54</v>
      </c>
      <c r="B48" s="141" t="s">
        <v>16</v>
      </c>
      <c r="C48" s="141" t="s">
        <v>16</v>
      </c>
      <c r="D48" s="12">
        <v>-422833000</v>
      </c>
      <c r="E48" s="12">
        <v>-564178000</v>
      </c>
      <c r="F48" s="12">
        <v>-243662000</v>
      </c>
      <c r="G48" s="21">
        <v>-153639000</v>
      </c>
      <c r="H48" s="21">
        <v>-184411000</v>
      </c>
      <c r="I48" s="21">
        <v>-66363000</v>
      </c>
      <c r="J48" s="21">
        <v>-59376000</v>
      </c>
      <c r="K48" s="112">
        <v>-76412000</v>
      </c>
      <c r="L48" s="4"/>
      <c r="M48" s="4"/>
      <c r="N48" s="4"/>
      <c r="O48" s="4"/>
      <c r="P48" s="43"/>
    </row>
    <row r="49" spans="1:16" hidden="1" x14ac:dyDescent="0.15">
      <c r="A49" s="40" t="s">
        <v>55</v>
      </c>
      <c r="B49" s="141" t="s">
        <v>16</v>
      </c>
      <c r="C49" s="141" t="s">
        <v>16</v>
      </c>
      <c r="D49" s="12">
        <v>-1000</v>
      </c>
      <c r="E49" s="141" t="s">
        <v>16</v>
      </c>
      <c r="F49" s="141" t="s">
        <v>16</v>
      </c>
      <c r="G49" s="20" t="s">
        <v>16</v>
      </c>
      <c r="H49" s="20" t="s">
        <v>16</v>
      </c>
      <c r="I49" s="20" t="s">
        <v>16</v>
      </c>
      <c r="J49" s="20" t="s">
        <v>16</v>
      </c>
      <c r="K49" s="114" t="s">
        <v>16</v>
      </c>
      <c r="L49" s="4"/>
      <c r="M49" s="4"/>
      <c r="N49" s="4"/>
      <c r="O49" s="4"/>
      <c r="P49" s="43"/>
    </row>
    <row r="50" spans="1:16" hidden="1" x14ac:dyDescent="0.15">
      <c r="A50" s="40" t="s">
        <v>56</v>
      </c>
      <c r="B50" s="12">
        <v>1310000</v>
      </c>
      <c r="C50" s="12">
        <v>3078000</v>
      </c>
      <c r="D50" s="12">
        <v>350219000</v>
      </c>
      <c r="E50" s="12">
        <v>-76129000</v>
      </c>
      <c r="F50" s="12">
        <v>24903000</v>
      </c>
      <c r="G50" s="21">
        <v>36718000</v>
      </c>
      <c r="H50" s="21">
        <v>38386000</v>
      </c>
      <c r="I50" s="21">
        <v>28590000</v>
      </c>
      <c r="J50" s="21">
        <v>300266000</v>
      </c>
      <c r="K50" s="112">
        <v>651724000</v>
      </c>
      <c r="L50" s="4"/>
      <c r="M50" s="4"/>
      <c r="N50" s="4"/>
      <c r="O50" s="4"/>
      <c r="P50" s="43"/>
    </row>
    <row r="51" spans="1:16" hidden="1" x14ac:dyDescent="0.15">
      <c r="A51" s="40" t="s">
        <v>57</v>
      </c>
      <c r="B51" s="141" t="s">
        <v>16</v>
      </c>
      <c r="C51" s="141" t="s">
        <v>16</v>
      </c>
      <c r="D51" s="141" t="s">
        <v>16</v>
      </c>
      <c r="E51" s="141" t="s">
        <v>16</v>
      </c>
      <c r="F51" s="12">
        <v>2697000</v>
      </c>
      <c r="G51" s="21">
        <v>34001000</v>
      </c>
      <c r="H51" s="21">
        <v>38386000</v>
      </c>
      <c r="I51" s="21">
        <v>28069000</v>
      </c>
      <c r="J51" s="21">
        <v>300266000</v>
      </c>
      <c r="K51" s="112">
        <v>651724000</v>
      </c>
      <c r="L51" s="4"/>
      <c r="M51" s="4"/>
      <c r="N51" s="4"/>
      <c r="O51" s="4"/>
      <c r="P51" s="43"/>
    </row>
    <row r="52" spans="1:16" hidden="1" x14ac:dyDescent="0.15">
      <c r="A52" s="40" t="s">
        <v>58</v>
      </c>
      <c r="B52" s="12">
        <v>1310000</v>
      </c>
      <c r="C52" s="12">
        <v>0</v>
      </c>
      <c r="D52" s="12">
        <v>401870000</v>
      </c>
      <c r="E52" s="12">
        <v>4702000</v>
      </c>
      <c r="F52" s="12">
        <v>9000000</v>
      </c>
      <c r="G52" s="21">
        <v>-39000</v>
      </c>
      <c r="H52" s="21">
        <v>0</v>
      </c>
      <c r="I52" s="21">
        <v>521000</v>
      </c>
      <c r="J52" s="20" t="s">
        <v>16</v>
      </c>
      <c r="K52" s="114" t="s">
        <v>16</v>
      </c>
      <c r="L52" s="4"/>
      <c r="M52" s="4"/>
      <c r="N52" s="4"/>
      <c r="O52" s="4"/>
      <c r="P52" s="43"/>
    </row>
    <row r="53" spans="1:16" hidden="1" x14ac:dyDescent="0.15">
      <c r="A53" s="40" t="s">
        <v>59</v>
      </c>
      <c r="B53" s="141" t="s">
        <v>16</v>
      </c>
      <c r="C53" s="141" t="s">
        <v>16</v>
      </c>
      <c r="D53" s="12">
        <v>-51651000</v>
      </c>
      <c r="E53" s="12">
        <v>-80831000</v>
      </c>
      <c r="F53" s="12">
        <v>-5180000</v>
      </c>
      <c r="G53" s="21">
        <v>2756000</v>
      </c>
      <c r="H53" s="21">
        <v>0</v>
      </c>
      <c r="I53" s="20" t="s">
        <v>16</v>
      </c>
      <c r="J53" s="20" t="s">
        <v>16</v>
      </c>
      <c r="K53" s="114" t="s">
        <v>16</v>
      </c>
      <c r="L53" s="4"/>
      <c r="M53" s="4"/>
      <c r="N53" s="4"/>
      <c r="O53" s="4"/>
      <c r="P53" s="43"/>
    </row>
    <row r="54" spans="1:16" hidden="1" x14ac:dyDescent="0.15">
      <c r="A54" s="40" t="s">
        <v>60</v>
      </c>
      <c r="B54" s="12">
        <v>0</v>
      </c>
      <c r="C54" s="141" t="s">
        <v>16</v>
      </c>
      <c r="D54" s="141" t="s">
        <v>16</v>
      </c>
      <c r="E54" s="141" t="s">
        <v>16</v>
      </c>
      <c r="F54" s="12">
        <v>0</v>
      </c>
      <c r="G54" s="20" t="s">
        <v>16</v>
      </c>
      <c r="H54" s="20" t="s">
        <v>16</v>
      </c>
      <c r="I54" s="20" t="s">
        <v>16</v>
      </c>
      <c r="J54" s="20" t="s">
        <v>16</v>
      </c>
      <c r="K54" s="114" t="s">
        <v>16</v>
      </c>
      <c r="L54" s="4"/>
      <c r="M54" s="4"/>
      <c r="N54" s="4"/>
      <c r="O54" s="4"/>
      <c r="P54" s="43"/>
    </row>
    <row r="55" spans="1:16" hidden="1" x14ac:dyDescent="0.15">
      <c r="A55" s="40" t="s">
        <v>61</v>
      </c>
      <c r="B55" s="141" t="s">
        <v>16</v>
      </c>
      <c r="C55" s="141" t="s">
        <v>16</v>
      </c>
      <c r="D55" s="141" t="s">
        <v>16</v>
      </c>
      <c r="E55" s="141" t="s">
        <v>16</v>
      </c>
      <c r="F55" s="12">
        <v>18386000</v>
      </c>
      <c r="G55" s="20" t="s">
        <v>16</v>
      </c>
      <c r="H55" s="20" t="s">
        <v>16</v>
      </c>
      <c r="I55" s="20" t="s">
        <v>16</v>
      </c>
      <c r="J55" s="20" t="s">
        <v>16</v>
      </c>
      <c r="K55" s="114" t="s">
        <v>16</v>
      </c>
      <c r="L55" s="4"/>
      <c r="M55" s="4"/>
      <c r="N55" s="4"/>
      <c r="O55" s="4"/>
      <c r="P55" s="43"/>
    </row>
    <row r="56" spans="1:16" hidden="1" x14ac:dyDescent="0.15">
      <c r="A56" s="40" t="s">
        <v>62</v>
      </c>
      <c r="B56" s="141" t="s">
        <v>16</v>
      </c>
      <c r="C56" s="12">
        <v>3078000</v>
      </c>
      <c r="D56" s="141" t="s">
        <v>16</v>
      </c>
      <c r="E56" s="141" t="s">
        <v>16</v>
      </c>
      <c r="F56" s="141" t="s">
        <v>16</v>
      </c>
      <c r="G56" s="20" t="s">
        <v>16</v>
      </c>
      <c r="H56" s="20" t="s">
        <v>16</v>
      </c>
      <c r="I56" s="20" t="s">
        <v>16</v>
      </c>
      <c r="J56" s="20" t="s">
        <v>16</v>
      </c>
      <c r="K56" s="114" t="s">
        <v>16</v>
      </c>
      <c r="L56" s="4"/>
      <c r="M56" s="4"/>
      <c r="N56" s="4"/>
      <c r="O56" s="4"/>
      <c r="P56" s="43"/>
    </row>
    <row r="57" spans="1:16" hidden="1" x14ac:dyDescent="0.15">
      <c r="A57" s="40" t="s">
        <v>63</v>
      </c>
      <c r="B57" s="12">
        <v>818000</v>
      </c>
      <c r="C57" s="141" t="s">
        <v>16</v>
      </c>
      <c r="D57" s="12">
        <v>9282000</v>
      </c>
      <c r="E57" s="12">
        <v>-5047000</v>
      </c>
      <c r="F57" s="12">
        <v>15566000</v>
      </c>
      <c r="G57" s="21">
        <v>-56180000</v>
      </c>
      <c r="H57" s="21">
        <v>-1962000</v>
      </c>
      <c r="I57" s="21">
        <v>-267723000</v>
      </c>
      <c r="J57" s="21">
        <v>5396000</v>
      </c>
      <c r="K57" s="112">
        <v>977169000</v>
      </c>
      <c r="L57" s="4"/>
      <c r="M57" s="4"/>
      <c r="N57" s="4"/>
      <c r="O57" s="4"/>
      <c r="P57" s="43"/>
    </row>
    <row r="58" spans="1:16" hidden="1" x14ac:dyDescent="0.15">
      <c r="A58" s="40" t="s">
        <v>64</v>
      </c>
      <c r="B58" s="12">
        <v>818000</v>
      </c>
      <c r="C58" s="141" t="s">
        <v>16</v>
      </c>
      <c r="D58" s="12">
        <v>9282000</v>
      </c>
      <c r="E58" s="12">
        <v>-5047000</v>
      </c>
      <c r="F58" s="12">
        <v>15566000</v>
      </c>
      <c r="G58" s="21">
        <v>-1021000</v>
      </c>
      <c r="H58" s="21">
        <v>-1962000</v>
      </c>
      <c r="I58" s="21">
        <v>13212000</v>
      </c>
      <c r="J58" s="21">
        <v>5396000</v>
      </c>
      <c r="K58" s="112">
        <v>-10277000</v>
      </c>
      <c r="L58" s="4"/>
      <c r="M58" s="4"/>
      <c r="N58" s="4"/>
      <c r="O58" s="4"/>
      <c r="P58" s="43"/>
    </row>
    <row r="59" spans="1:16" hidden="1" x14ac:dyDescent="0.15">
      <c r="A59" s="40" t="s">
        <v>65</v>
      </c>
      <c r="B59" s="141" t="s">
        <v>16</v>
      </c>
      <c r="C59" s="141" t="s">
        <v>16</v>
      </c>
      <c r="D59" s="141" t="s">
        <v>16</v>
      </c>
      <c r="E59" s="141" t="s">
        <v>16</v>
      </c>
      <c r="F59" s="141" t="s">
        <v>16</v>
      </c>
      <c r="G59" s="21">
        <v>-55159000</v>
      </c>
      <c r="H59" s="21">
        <v>0</v>
      </c>
      <c r="I59" s="21">
        <v>-102849000</v>
      </c>
      <c r="J59" s="20" t="s">
        <v>16</v>
      </c>
      <c r="K59" s="112">
        <v>987446000</v>
      </c>
      <c r="L59" s="4"/>
      <c r="M59" s="4"/>
      <c r="N59" s="4"/>
      <c r="O59" s="4"/>
      <c r="P59" s="43"/>
    </row>
    <row r="60" spans="1:16" hidden="1" x14ac:dyDescent="0.15">
      <c r="A60" s="40" t="s">
        <v>66</v>
      </c>
      <c r="B60" s="141" t="s">
        <v>16</v>
      </c>
      <c r="C60" s="141" t="s">
        <v>16</v>
      </c>
      <c r="D60" s="141" t="s">
        <v>16</v>
      </c>
      <c r="E60" s="141" t="s">
        <v>16</v>
      </c>
      <c r="F60" s="141" t="s">
        <v>16</v>
      </c>
      <c r="G60" s="20" t="s">
        <v>16</v>
      </c>
      <c r="H60" s="20" t="s">
        <v>16</v>
      </c>
      <c r="I60" s="21">
        <v>-178086000</v>
      </c>
      <c r="J60" s="20" t="s">
        <v>16</v>
      </c>
      <c r="K60" s="114" t="s">
        <v>16</v>
      </c>
      <c r="L60" s="4"/>
      <c r="M60" s="4"/>
      <c r="N60" s="4"/>
      <c r="O60" s="4"/>
      <c r="P60" s="43"/>
    </row>
    <row r="61" spans="1:16" hidden="1" x14ac:dyDescent="0.15">
      <c r="A61" s="40" t="s">
        <v>67</v>
      </c>
      <c r="B61" s="12">
        <v>19717000</v>
      </c>
      <c r="C61" s="12">
        <v>29282000</v>
      </c>
      <c r="D61" s="12">
        <v>48008000</v>
      </c>
      <c r="E61" s="12">
        <v>8919000</v>
      </c>
      <c r="F61" s="12">
        <v>9499000</v>
      </c>
      <c r="G61" s="21">
        <v>2274000</v>
      </c>
      <c r="H61" s="21">
        <v>26691000</v>
      </c>
      <c r="I61" s="21">
        <v>406000</v>
      </c>
      <c r="J61" s="21">
        <v>10787000</v>
      </c>
      <c r="K61" s="112">
        <v>72255000</v>
      </c>
      <c r="L61" s="4"/>
      <c r="M61" s="4"/>
      <c r="N61" s="4"/>
      <c r="O61" s="4"/>
      <c r="P61" s="43"/>
    </row>
    <row r="62" spans="1:16" hidden="1" x14ac:dyDescent="0.15">
      <c r="A62" s="40" t="s">
        <v>68</v>
      </c>
      <c r="B62" s="12">
        <v>1537257000</v>
      </c>
      <c r="C62" s="12">
        <v>922938000</v>
      </c>
      <c r="D62" s="12">
        <v>765993000</v>
      </c>
      <c r="E62" s="12">
        <v>-1431666000</v>
      </c>
      <c r="F62" s="12">
        <v>-729041000</v>
      </c>
      <c r="G62" s="21">
        <v>2083313000</v>
      </c>
      <c r="H62" s="21">
        <v>4135783000</v>
      </c>
      <c r="I62" s="21">
        <v>2725967000</v>
      </c>
      <c r="J62" s="21">
        <v>9705666000</v>
      </c>
      <c r="K62" s="112">
        <v>19330662000</v>
      </c>
      <c r="L62" s="4"/>
      <c r="M62" s="4"/>
      <c r="N62" s="4"/>
      <c r="O62" s="4"/>
      <c r="P62" s="43"/>
    </row>
    <row r="63" spans="1:16" hidden="1" x14ac:dyDescent="0.15">
      <c r="A63" s="40" t="s">
        <v>69</v>
      </c>
      <c r="B63" s="12">
        <v>45644000</v>
      </c>
      <c r="C63" s="12">
        <v>-223210000</v>
      </c>
      <c r="D63" s="12">
        <v>-58722000</v>
      </c>
      <c r="E63" s="12">
        <v>396262000</v>
      </c>
      <c r="F63" s="12">
        <v>-7185000</v>
      </c>
      <c r="G63" s="21">
        <v>63630000</v>
      </c>
      <c r="H63" s="21">
        <v>-1529148000</v>
      </c>
      <c r="I63" s="21">
        <v>-953602000</v>
      </c>
      <c r="J63" s="21">
        <v>-3160537000</v>
      </c>
      <c r="K63" s="112">
        <v>-4511470000</v>
      </c>
      <c r="L63" s="4"/>
      <c r="M63" s="4"/>
      <c r="N63" s="4"/>
      <c r="O63" s="4"/>
      <c r="P63" s="43"/>
    </row>
    <row r="64" spans="1:16" hidden="1" x14ac:dyDescent="0.15">
      <c r="A64" s="40" t="s">
        <v>70</v>
      </c>
      <c r="B64" s="12">
        <v>-316253000</v>
      </c>
      <c r="C64" s="12">
        <v>-266512000</v>
      </c>
      <c r="D64" s="12">
        <v>-179598000</v>
      </c>
      <c r="E64" s="12">
        <v>-11448000</v>
      </c>
      <c r="F64" s="12">
        <v>-20792000</v>
      </c>
      <c r="G64" s="21">
        <v>-439769000</v>
      </c>
      <c r="H64" s="21">
        <v>-905977000</v>
      </c>
      <c r="I64" s="21">
        <v>-495225000</v>
      </c>
      <c r="J64" s="21">
        <v>-1757864000</v>
      </c>
      <c r="K64" s="112">
        <v>-4610111000</v>
      </c>
      <c r="L64" s="4"/>
      <c r="M64" s="4"/>
      <c r="N64" s="4"/>
      <c r="O64" s="4"/>
      <c r="P64" s="43"/>
    </row>
    <row r="65" spans="1:16" hidden="1" x14ac:dyDescent="0.15">
      <c r="A65" s="40" t="s">
        <v>71</v>
      </c>
      <c r="B65" s="12">
        <v>-183835000</v>
      </c>
      <c r="C65" s="12">
        <v>-54473000</v>
      </c>
      <c r="D65" s="12">
        <v>-17335000</v>
      </c>
      <c r="E65" s="12">
        <v>418663000</v>
      </c>
      <c r="F65" s="12">
        <v>13607000</v>
      </c>
      <c r="G65" s="21">
        <v>503399000</v>
      </c>
      <c r="H65" s="21">
        <v>-623171000</v>
      </c>
      <c r="I65" s="21">
        <v>-458377000</v>
      </c>
      <c r="J65" s="21">
        <v>-1402673000</v>
      </c>
      <c r="K65" s="112">
        <v>98641000</v>
      </c>
      <c r="L65" s="4"/>
      <c r="M65" s="4"/>
      <c r="N65" s="4"/>
      <c r="O65" s="4"/>
      <c r="P65" s="43"/>
    </row>
    <row r="66" spans="1:16" hidden="1" x14ac:dyDescent="0.15">
      <c r="A66" s="40" t="s">
        <v>72</v>
      </c>
      <c r="B66" s="12">
        <v>1582901000</v>
      </c>
      <c r="C66" s="12">
        <v>687849000</v>
      </c>
      <c r="D66" s="12">
        <v>706720000</v>
      </c>
      <c r="E66" s="12">
        <v>-1078505000</v>
      </c>
      <c r="F66" s="12">
        <v>-736226000</v>
      </c>
      <c r="G66" s="21">
        <v>2146943000</v>
      </c>
      <c r="H66" s="21">
        <v>2606635000</v>
      </c>
      <c r="I66" s="21">
        <v>1772365000</v>
      </c>
      <c r="J66" s="21">
        <v>6545129000</v>
      </c>
      <c r="K66" s="112">
        <v>14819193000</v>
      </c>
      <c r="L66" s="4"/>
      <c r="M66" s="4"/>
      <c r="N66" s="4"/>
      <c r="O66" s="4"/>
      <c r="P66" s="43"/>
    </row>
    <row r="67" spans="1:16" hidden="1" x14ac:dyDescent="0.15">
      <c r="A67" s="40" t="s">
        <v>73</v>
      </c>
      <c r="B67" s="141" t="s">
        <v>16</v>
      </c>
      <c r="C67" s="141" t="s">
        <v>16</v>
      </c>
      <c r="D67" s="141" t="s">
        <v>16</v>
      </c>
      <c r="E67" s="141" t="s">
        <v>16</v>
      </c>
      <c r="F67" s="141" t="s">
        <v>16</v>
      </c>
      <c r="G67" s="20" t="s">
        <v>16</v>
      </c>
      <c r="H67" s="20" t="s">
        <v>16</v>
      </c>
      <c r="I67" s="20" t="s">
        <v>16</v>
      </c>
      <c r="J67" s="20" t="s">
        <v>16</v>
      </c>
      <c r="K67" s="112">
        <v>-146085000</v>
      </c>
      <c r="L67" s="4"/>
      <c r="M67" s="4"/>
      <c r="N67" s="4"/>
      <c r="O67" s="4"/>
      <c r="P67" s="43"/>
    </row>
    <row r="68" spans="1:16" s="6" customFormat="1" x14ac:dyDescent="0.15">
      <c r="A68" s="40" t="s">
        <v>74</v>
      </c>
      <c r="B68" s="12">
        <v>1582901000</v>
      </c>
      <c r="C68" s="12">
        <v>687849000</v>
      </c>
      <c r="D68" s="12">
        <v>706720000</v>
      </c>
      <c r="E68" s="12">
        <v>-1078505000</v>
      </c>
      <c r="F68" s="12">
        <v>-736226000</v>
      </c>
      <c r="G68" s="21">
        <v>2146943000</v>
      </c>
      <c r="H68" s="21">
        <v>2606635000</v>
      </c>
      <c r="I68" s="21">
        <v>1772365000</v>
      </c>
      <c r="J68" s="21">
        <v>6545128000</v>
      </c>
      <c r="K68" s="112">
        <v>14673108000</v>
      </c>
      <c r="L68" s="32">
        <f>L41*(1-'Assumptions+DCF'!L14)</f>
        <v>8008176268.0727663</v>
      </c>
      <c r="M68" s="32">
        <f>M41*(1-'Assumptions+DCF'!M14)</f>
        <v>10168357638.114601</v>
      </c>
      <c r="N68" s="32">
        <f>N41*(1-'Assumptions+DCF'!N14)</f>
        <v>12808887781.402676</v>
      </c>
      <c r="O68" s="32">
        <f>O41*(1-'Assumptions+DCF'!O14)</f>
        <v>15095578893.430063</v>
      </c>
      <c r="P68" s="105">
        <f>P41*(1-'Assumptions+DCF'!P14)</f>
        <v>17488962973.79792</v>
      </c>
    </row>
    <row r="69" spans="1:16" hidden="1" x14ac:dyDescent="0.15">
      <c r="A69" s="40" t="s">
        <v>75</v>
      </c>
      <c r="B69" s="12">
        <v>-94770000</v>
      </c>
      <c r="C69" s="12">
        <v>-109461000</v>
      </c>
      <c r="D69" s="12">
        <v>-44654000</v>
      </c>
      <c r="E69" s="12">
        <v>109669000</v>
      </c>
      <c r="F69" s="12">
        <v>-8837000</v>
      </c>
      <c r="G69" s="21">
        <v>-70668000</v>
      </c>
      <c r="H69" s="21">
        <v>-85523000</v>
      </c>
      <c r="I69" s="21">
        <v>-104614000</v>
      </c>
      <c r="J69" s="21">
        <v>-161254000</v>
      </c>
      <c r="K69" s="112">
        <v>-6450000</v>
      </c>
      <c r="L69" s="4"/>
      <c r="M69" s="4"/>
      <c r="N69" s="4"/>
      <c r="O69" s="4"/>
      <c r="P69" s="43"/>
    </row>
    <row r="70" spans="1:16" hidden="1" x14ac:dyDescent="0.15">
      <c r="A70" s="40" t="s">
        <v>76</v>
      </c>
      <c r="B70" s="12">
        <v>1488131000</v>
      </c>
      <c r="C70" s="12">
        <v>578388000</v>
      </c>
      <c r="D70" s="12">
        <v>662066000</v>
      </c>
      <c r="E70" s="12">
        <v>-968837000</v>
      </c>
      <c r="F70" s="12">
        <v>-745064000</v>
      </c>
      <c r="G70" s="21">
        <v>2076275000</v>
      </c>
      <c r="H70" s="21">
        <v>2521112000</v>
      </c>
      <c r="I70" s="21">
        <v>1667751000</v>
      </c>
      <c r="J70" s="21">
        <v>6383875000</v>
      </c>
      <c r="K70" s="112">
        <v>14666657000</v>
      </c>
      <c r="L70" s="4"/>
      <c r="M70" s="4"/>
      <c r="N70" s="4"/>
      <c r="O70" s="4"/>
      <c r="P70" s="43"/>
    </row>
    <row r="71" spans="1:16" hidden="1" x14ac:dyDescent="0.15">
      <c r="A71" s="40" t="s">
        <v>77</v>
      </c>
      <c r="B71" s="12">
        <v>1488131000</v>
      </c>
      <c r="C71" s="12">
        <v>578388000</v>
      </c>
      <c r="D71" s="12">
        <v>662066000</v>
      </c>
      <c r="E71" s="12">
        <v>-968837000</v>
      </c>
      <c r="F71" s="12">
        <v>-736226000</v>
      </c>
      <c r="G71" s="21">
        <v>2076275000</v>
      </c>
      <c r="H71" s="21">
        <v>2521112000</v>
      </c>
      <c r="I71" s="21">
        <v>1667751000</v>
      </c>
      <c r="J71" s="21">
        <v>6383875000</v>
      </c>
      <c r="K71" s="112">
        <v>14666657000</v>
      </c>
      <c r="L71" s="4"/>
      <c r="M71" s="4"/>
      <c r="N71" s="4"/>
      <c r="O71" s="4"/>
      <c r="P71" s="43"/>
    </row>
    <row r="72" spans="1:16" hidden="1" x14ac:dyDescent="0.15">
      <c r="A72" s="103" t="s">
        <v>78</v>
      </c>
      <c r="B72" s="12">
        <v>1488131000</v>
      </c>
      <c r="C72" s="12">
        <v>578388000</v>
      </c>
      <c r="D72" s="12">
        <v>662066000</v>
      </c>
      <c r="E72" s="12">
        <v>-968837000</v>
      </c>
      <c r="F72" s="12">
        <v>-736226000</v>
      </c>
      <c r="G72" s="21">
        <v>2076275000</v>
      </c>
      <c r="H72" s="21">
        <v>2521112000</v>
      </c>
      <c r="I72" s="21">
        <v>1667751000</v>
      </c>
      <c r="J72" s="21">
        <v>6383875000</v>
      </c>
      <c r="K72" s="112">
        <v>14666657000</v>
      </c>
      <c r="L72" s="4"/>
      <c r="M72" s="4"/>
      <c r="N72" s="4"/>
      <c r="O72" s="4"/>
      <c r="P72" s="43"/>
    </row>
    <row r="73" spans="1:16" hidden="1" x14ac:dyDescent="0.15">
      <c r="A73" s="103" t="s">
        <v>79</v>
      </c>
      <c r="B73" s="141" t="s">
        <v>16</v>
      </c>
      <c r="C73" s="141" t="s">
        <v>16</v>
      </c>
      <c r="D73" s="141" t="s">
        <v>16</v>
      </c>
      <c r="E73" s="141" t="s">
        <v>16</v>
      </c>
      <c r="F73" s="141" t="s">
        <v>16</v>
      </c>
      <c r="G73" s="20" t="s">
        <v>16</v>
      </c>
      <c r="H73" s="20" t="s">
        <v>16</v>
      </c>
      <c r="I73" s="20" t="s">
        <v>16</v>
      </c>
      <c r="J73" s="20" t="s">
        <v>16</v>
      </c>
      <c r="K73" s="114" t="s">
        <v>16</v>
      </c>
      <c r="L73" s="4"/>
      <c r="M73" s="4"/>
      <c r="N73" s="4"/>
      <c r="O73" s="4"/>
      <c r="P73" s="43"/>
    </row>
    <row r="74" spans="1:16" hidden="1" x14ac:dyDescent="0.15">
      <c r="A74" s="103" t="s">
        <v>80</v>
      </c>
      <c r="B74" s="141" t="s">
        <v>16</v>
      </c>
      <c r="C74" s="141" t="s">
        <v>16</v>
      </c>
      <c r="D74" s="141" t="s">
        <v>16</v>
      </c>
      <c r="E74" s="141" t="s">
        <v>16</v>
      </c>
      <c r="F74" s="141" t="s">
        <v>16</v>
      </c>
      <c r="G74" s="20" t="s">
        <v>16</v>
      </c>
      <c r="H74" s="20" t="s">
        <v>16</v>
      </c>
      <c r="I74" s="20" t="s">
        <v>16</v>
      </c>
      <c r="J74" s="20" t="s">
        <v>16</v>
      </c>
      <c r="K74" s="114" t="s">
        <v>16</v>
      </c>
      <c r="L74" s="4"/>
      <c r="M74" s="4"/>
      <c r="N74" s="4"/>
      <c r="O74" s="4"/>
      <c r="P74" s="43"/>
    </row>
    <row r="75" spans="1:16" hidden="1" x14ac:dyDescent="0.15">
      <c r="A75" s="103" t="s">
        <v>81</v>
      </c>
      <c r="B75" s="12">
        <v>23567126000</v>
      </c>
      <c r="C75" s="12">
        <v>21180537000</v>
      </c>
      <c r="D75" s="12">
        <v>23949798000</v>
      </c>
      <c r="E75" s="12">
        <v>18034789000</v>
      </c>
      <c r="F75" s="12">
        <v>18044120000</v>
      </c>
      <c r="G75" s="21">
        <v>25974929000</v>
      </c>
      <c r="H75" s="21">
        <v>33274693000</v>
      </c>
      <c r="I75" s="21">
        <v>32931804000</v>
      </c>
      <c r="J75" s="21">
        <v>40759558000</v>
      </c>
      <c r="K75" s="112">
        <v>54285520000</v>
      </c>
      <c r="L75" s="4"/>
      <c r="M75" s="4"/>
      <c r="N75" s="4"/>
      <c r="O75" s="4"/>
      <c r="P75" s="43"/>
    </row>
    <row r="76" spans="1:16" hidden="1" x14ac:dyDescent="0.15">
      <c r="A76" s="103" t="s">
        <v>82</v>
      </c>
      <c r="B76" s="12">
        <v>-6983781000</v>
      </c>
      <c r="C76" s="12">
        <v>-8111638000</v>
      </c>
      <c r="D76" s="12">
        <v>-9042458000</v>
      </c>
      <c r="E76" s="12">
        <v>-7054885000</v>
      </c>
      <c r="F76" s="12">
        <v>-6447407000</v>
      </c>
      <c r="G76" s="20" t="s">
        <v>16</v>
      </c>
      <c r="H76" s="20" t="s">
        <v>16</v>
      </c>
      <c r="I76" s="20" t="s">
        <v>16</v>
      </c>
      <c r="J76" s="20" t="s">
        <v>16</v>
      </c>
      <c r="K76" s="114" t="s">
        <v>16</v>
      </c>
      <c r="L76" s="4"/>
      <c r="M76" s="4"/>
      <c r="N76" s="4"/>
      <c r="O76" s="4"/>
      <c r="P76" s="43"/>
    </row>
    <row r="77" spans="1:16" hidden="1" x14ac:dyDescent="0.15">
      <c r="A77" s="103" t="s">
        <v>83</v>
      </c>
      <c r="B77" s="12">
        <v>1517540000</v>
      </c>
      <c r="C77" s="12">
        <v>893657000</v>
      </c>
      <c r="D77" s="12">
        <v>717985000</v>
      </c>
      <c r="E77" s="12">
        <v>-1440584000</v>
      </c>
      <c r="F77" s="12">
        <v>-747542000</v>
      </c>
      <c r="G77" s="20" t="s">
        <v>16</v>
      </c>
      <c r="H77" s="20" t="s">
        <v>16</v>
      </c>
      <c r="I77" s="20" t="s">
        <v>16</v>
      </c>
      <c r="J77" s="20" t="s">
        <v>16</v>
      </c>
      <c r="K77" s="114" t="s">
        <v>16</v>
      </c>
      <c r="L77" s="4"/>
      <c r="M77" s="4"/>
      <c r="N77" s="4"/>
      <c r="O77" s="4"/>
      <c r="P77" s="43"/>
    </row>
    <row r="78" spans="1:16" hidden="1" x14ac:dyDescent="0.15">
      <c r="A78" s="103" t="s">
        <v>84</v>
      </c>
      <c r="B78" s="141" t="s">
        <v>16</v>
      </c>
      <c r="C78" s="141" t="s">
        <v>16</v>
      </c>
      <c r="D78" s="141" t="s">
        <v>16</v>
      </c>
      <c r="E78" s="141" t="s">
        <v>16</v>
      </c>
      <c r="F78" s="141" t="s">
        <v>16</v>
      </c>
      <c r="G78" s="20" t="s">
        <v>16</v>
      </c>
      <c r="H78" s="20" t="s">
        <v>16</v>
      </c>
      <c r="I78" s="20" t="s">
        <v>16</v>
      </c>
      <c r="J78" s="20" t="s">
        <v>16</v>
      </c>
      <c r="K78" s="114" t="s">
        <v>16</v>
      </c>
      <c r="L78" s="4"/>
      <c r="M78" s="4"/>
      <c r="N78" s="4"/>
      <c r="O78" s="4"/>
      <c r="P78" s="43"/>
    </row>
    <row r="79" spans="1:16" hidden="1" x14ac:dyDescent="0.15">
      <c r="A79" s="103" t="s">
        <v>85</v>
      </c>
      <c r="B79" s="141" t="s">
        <v>16</v>
      </c>
      <c r="C79" s="141" t="s">
        <v>16</v>
      </c>
      <c r="D79" s="141" t="s">
        <v>16</v>
      </c>
      <c r="E79" s="141" t="s">
        <v>16</v>
      </c>
      <c r="F79" s="141" t="s">
        <v>16</v>
      </c>
      <c r="G79" s="20" t="s">
        <v>16</v>
      </c>
      <c r="H79" s="20" t="s">
        <v>16</v>
      </c>
      <c r="I79" s="20" t="s">
        <v>16</v>
      </c>
      <c r="J79" s="20" t="s">
        <v>16</v>
      </c>
      <c r="K79" s="112">
        <v>-1046969000</v>
      </c>
      <c r="L79" s="4"/>
      <c r="M79" s="4"/>
      <c r="N79" s="4"/>
      <c r="O79" s="4"/>
      <c r="P79" s="43"/>
    </row>
    <row r="80" spans="1:16" hidden="1" x14ac:dyDescent="0.15">
      <c r="A80" s="103" t="s">
        <v>86</v>
      </c>
      <c r="B80" s="141" t="s">
        <v>16</v>
      </c>
      <c r="C80" s="141" t="s">
        <v>16</v>
      </c>
      <c r="D80" s="141" t="s">
        <v>16</v>
      </c>
      <c r="E80" s="141" t="s">
        <v>16</v>
      </c>
      <c r="F80" s="141" t="s">
        <v>16</v>
      </c>
      <c r="G80" s="20" t="s">
        <v>16</v>
      </c>
      <c r="H80" s="20" t="s">
        <v>16</v>
      </c>
      <c r="I80" s="20" t="s">
        <v>16</v>
      </c>
      <c r="J80" s="20" t="s">
        <v>16</v>
      </c>
      <c r="K80" s="112">
        <v>-1046969000</v>
      </c>
      <c r="L80" s="4"/>
      <c r="M80" s="4"/>
      <c r="N80" s="4"/>
      <c r="O80" s="4"/>
      <c r="P80" s="43"/>
    </row>
    <row r="81" spans="1:16" hidden="1" x14ac:dyDescent="0.15">
      <c r="A81" s="103" t="s">
        <v>87</v>
      </c>
      <c r="B81" s="141" t="s">
        <v>16</v>
      </c>
      <c r="C81" s="141" t="s">
        <v>16</v>
      </c>
      <c r="D81" s="141" t="s">
        <v>16</v>
      </c>
      <c r="E81" s="141" t="s">
        <v>16</v>
      </c>
      <c r="F81" s="141" t="s">
        <v>16</v>
      </c>
      <c r="G81" s="20" t="s">
        <v>16</v>
      </c>
      <c r="H81" s="20" t="s">
        <v>16</v>
      </c>
      <c r="I81" s="20" t="s">
        <v>16</v>
      </c>
      <c r="J81" s="20" t="s">
        <v>16</v>
      </c>
      <c r="K81" s="112">
        <v>-944715000</v>
      </c>
      <c r="L81" s="4"/>
      <c r="M81" s="4"/>
      <c r="N81" s="4"/>
      <c r="O81" s="4"/>
      <c r="P81" s="43"/>
    </row>
    <row r="82" spans="1:16" hidden="1" x14ac:dyDescent="0.15">
      <c r="A82" s="103" t="s">
        <v>88</v>
      </c>
      <c r="B82" s="141" t="s">
        <v>16</v>
      </c>
      <c r="C82" s="141" t="s">
        <v>16</v>
      </c>
      <c r="D82" s="141" t="s">
        <v>16</v>
      </c>
      <c r="E82" s="141" t="s">
        <v>16</v>
      </c>
      <c r="F82" s="141" t="s">
        <v>16</v>
      </c>
      <c r="G82" s="20" t="s">
        <v>16</v>
      </c>
      <c r="H82" s="20" t="s">
        <v>16</v>
      </c>
      <c r="I82" s="20" t="s">
        <v>16</v>
      </c>
      <c r="J82" s="20" t="s">
        <v>16</v>
      </c>
      <c r="K82" s="112">
        <v>-102254000</v>
      </c>
      <c r="L82" s="4"/>
      <c r="M82" s="4"/>
      <c r="N82" s="4"/>
      <c r="O82" s="4"/>
      <c r="P82" s="43"/>
    </row>
    <row r="83" spans="1:16" hidden="1" x14ac:dyDescent="0.15">
      <c r="A83" s="103" t="s">
        <v>89</v>
      </c>
      <c r="B83" s="141" t="s">
        <v>16</v>
      </c>
      <c r="C83" s="141" t="s">
        <v>16</v>
      </c>
      <c r="D83" s="141" t="s">
        <v>16</v>
      </c>
      <c r="E83" s="141" t="s">
        <v>16</v>
      </c>
      <c r="F83" s="141" t="s">
        <v>16</v>
      </c>
      <c r="G83" s="20" t="s">
        <v>16</v>
      </c>
      <c r="H83" s="20" t="s">
        <v>16</v>
      </c>
      <c r="I83" s="20" t="s">
        <v>16</v>
      </c>
      <c r="J83" s="20" t="s">
        <v>16</v>
      </c>
      <c r="K83" s="114" t="s">
        <v>16</v>
      </c>
      <c r="L83" s="4"/>
      <c r="M83" s="4"/>
      <c r="N83" s="4"/>
      <c r="O83" s="4"/>
      <c r="P83" s="43"/>
    </row>
    <row r="84" spans="1:16" hidden="1" x14ac:dyDescent="0.15">
      <c r="A84" s="103" t="s">
        <v>90</v>
      </c>
      <c r="B84" s="141" t="s">
        <v>16</v>
      </c>
      <c r="C84" s="141" t="s">
        <v>16</v>
      </c>
      <c r="D84" s="141" t="s">
        <v>16</v>
      </c>
      <c r="E84" s="141" t="s">
        <v>16</v>
      </c>
      <c r="F84" s="141" t="s">
        <v>16</v>
      </c>
      <c r="G84" s="21">
        <v>-55200000</v>
      </c>
      <c r="H84" s="20" t="s">
        <v>16</v>
      </c>
      <c r="I84" s="20" t="s">
        <v>16</v>
      </c>
      <c r="J84" s="20" t="s">
        <v>16</v>
      </c>
      <c r="K84" s="114" t="s">
        <v>16</v>
      </c>
      <c r="L84" s="4"/>
      <c r="M84" s="4"/>
      <c r="N84" s="4"/>
      <c r="O84" s="4"/>
      <c r="P84" s="43"/>
    </row>
    <row r="85" spans="1:16" hidden="1" x14ac:dyDescent="0.15">
      <c r="A85" s="103" t="s">
        <v>91</v>
      </c>
      <c r="B85" s="141" t="s">
        <v>16</v>
      </c>
      <c r="C85" s="141" t="s">
        <v>16</v>
      </c>
      <c r="D85" s="141" t="s">
        <v>16</v>
      </c>
      <c r="E85" s="141" t="s">
        <v>16</v>
      </c>
      <c r="F85" s="141" t="s">
        <v>16</v>
      </c>
      <c r="G85" s="21">
        <v>-55200000</v>
      </c>
      <c r="H85" s="20" t="s">
        <v>16</v>
      </c>
      <c r="I85" s="20" t="s">
        <v>16</v>
      </c>
      <c r="J85" s="20" t="s">
        <v>16</v>
      </c>
      <c r="K85" s="114" t="s">
        <v>16</v>
      </c>
      <c r="L85" s="4"/>
      <c r="M85" s="4"/>
      <c r="N85" s="4"/>
      <c r="O85" s="4"/>
      <c r="P85" s="43"/>
    </row>
    <row r="86" spans="1:16" hidden="1" x14ac:dyDescent="0.15">
      <c r="A86" s="103" t="s">
        <v>92</v>
      </c>
      <c r="B86" s="141" t="s">
        <v>16</v>
      </c>
      <c r="C86" s="141" t="s">
        <v>16</v>
      </c>
      <c r="D86" s="141" t="s">
        <v>16</v>
      </c>
      <c r="E86" s="141" t="s">
        <v>16</v>
      </c>
      <c r="F86" s="12">
        <v>8838000</v>
      </c>
      <c r="G86" s="20" t="s">
        <v>16</v>
      </c>
      <c r="H86" s="20" t="s">
        <v>16</v>
      </c>
      <c r="I86" s="20" t="s">
        <v>16</v>
      </c>
      <c r="J86" s="20" t="s">
        <v>16</v>
      </c>
      <c r="K86" s="114" t="s">
        <v>16</v>
      </c>
      <c r="L86" s="4"/>
      <c r="M86" s="4"/>
      <c r="N86" s="4"/>
      <c r="O86" s="4"/>
      <c r="P86" s="43"/>
    </row>
    <row r="87" spans="1:16" hidden="1" x14ac:dyDescent="0.15">
      <c r="A87" s="103" t="s">
        <v>93</v>
      </c>
      <c r="B87" s="141" t="s">
        <v>16</v>
      </c>
      <c r="C87" s="12">
        <v>-11879000</v>
      </c>
      <c r="D87" s="12">
        <v>-551000</v>
      </c>
      <c r="E87" s="12">
        <v>-43101000</v>
      </c>
      <c r="F87" s="141" t="s">
        <v>16</v>
      </c>
      <c r="G87" s="20" t="s">
        <v>16</v>
      </c>
      <c r="H87" s="20" t="s">
        <v>16</v>
      </c>
      <c r="I87" s="20" t="s">
        <v>16</v>
      </c>
      <c r="J87" s="20" t="s">
        <v>16</v>
      </c>
      <c r="K87" s="114" t="s">
        <v>16</v>
      </c>
      <c r="L87" s="4"/>
      <c r="M87" s="4"/>
      <c r="N87" s="4"/>
      <c r="O87" s="4"/>
      <c r="P87" s="43"/>
    </row>
    <row r="88" spans="1:16" x14ac:dyDescent="0.15">
      <c r="A88" s="103" t="s">
        <v>94</v>
      </c>
      <c r="B88" s="12">
        <v>11.71</v>
      </c>
      <c r="C88" s="12">
        <v>4.42</v>
      </c>
      <c r="D88" s="12">
        <v>5.05</v>
      </c>
      <c r="E88" s="12">
        <v>-7.39</v>
      </c>
      <c r="F88" s="12">
        <v>-5.61</v>
      </c>
      <c r="G88" s="21">
        <v>14.73</v>
      </c>
      <c r="H88" s="21">
        <v>17.89</v>
      </c>
      <c r="I88" s="21">
        <v>11.83</v>
      </c>
      <c r="J88" s="21">
        <v>45.29</v>
      </c>
      <c r="K88" s="112">
        <v>112.52</v>
      </c>
      <c r="L88" s="4"/>
      <c r="M88" s="4"/>
      <c r="N88" s="4"/>
      <c r="O88" s="4"/>
      <c r="P88" s="43"/>
    </row>
    <row r="89" spans="1:16" hidden="1" x14ac:dyDescent="0.15">
      <c r="A89" s="103" t="s">
        <v>95</v>
      </c>
      <c r="B89" s="12">
        <v>11.71</v>
      </c>
      <c r="C89" s="12">
        <v>4.42</v>
      </c>
      <c r="D89" s="12">
        <v>5.05</v>
      </c>
      <c r="E89" s="12">
        <v>-7.39</v>
      </c>
      <c r="F89" s="12">
        <v>-5.61</v>
      </c>
      <c r="G89" s="21">
        <v>14.73</v>
      </c>
      <c r="H89" s="21">
        <v>17.89</v>
      </c>
      <c r="I89" s="21">
        <v>11.83</v>
      </c>
      <c r="J89" s="21">
        <v>45.29</v>
      </c>
      <c r="K89" s="112">
        <v>113.63</v>
      </c>
      <c r="L89" s="4"/>
      <c r="M89" s="4"/>
      <c r="N89" s="4"/>
      <c r="O89" s="4"/>
      <c r="P89" s="43"/>
    </row>
    <row r="90" spans="1:16" hidden="1" x14ac:dyDescent="0.15">
      <c r="A90" s="103" t="s">
        <v>96</v>
      </c>
      <c r="B90" s="141" t="s">
        <v>16</v>
      </c>
      <c r="C90" s="141" t="s">
        <v>16</v>
      </c>
      <c r="D90" s="141" t="s">
        <v>16</v>
      </c>
      <c r="E90" s="141" t="s">
        <v>16</v>
      </c>
      <c r="F90" s="141" t="s">
        <v>16</v>
      </c>
      <c r="G90" s="20" t="s">
        <v>16</v>
      </c>
      <c r="H90" s="20" t="s">
        <v>16</v>
      </c>
      <c r="I90" s="20" t="s">
        <v>16</v>
      </c>
      <c r="J90" s="20" t="s">
        <v>16</v>
      </c>
      <c r="K90" s="112">
        <v>-1.1100000000000001</v>
      </c>
      <c r="L90" s="4"/>
      <c r="M90" s="4"/>
      <c r="N90" s="4"/>
      <c r="O90" s="4"/>
      <c r="P90" s="43"/>
    </row>
    <row r="91" spans="1:16" x14ac:dyDescent="0.15">
      <c r="A91" s="103" t="s">
        <v>97</v>
      </c>
      <c r="B91" s="12">
        <v>11.35</v>
      </c>
      <c r="C91" s="12">
        <v>4.42</v>
      </c>
      <c r="D91" s="12">
        <v>5.05</v>
      </c>
      <c r="E91" s="12">
        <v>-7.39</v>
      </c>
      <c r="F91" s="12">
        <v>-5.61</v>
      </c>
      <c r="G91" s="21">
        <v>14.73</v>
      </c>
      <c r="H91" s="21">
        <v>17.89</v>
      </c>
      <c r="I91" s="21">
        <v>11.83</v>
      </c>
      <c r="J91" s="21">
        <v>45.29</v>
      </c>
      <c r="K91" s="112">
        <v>112.52</v>
      </c>
      <c r="L91" s="4"/>
      <c r="M91" s="4"/>
      <c r="N91" s="4"/>
      <c r="O91" s="4"/>
      <c r="P91" s="43"/>
    </row>
    <row r="92" spans="1:16" hidden="1" x14ac:dyDescent="0.15">
      <c r="A92" s="103" t="s">
        <v>98</v>
      </c>
      <c r="B92" s="12">
        <v>11.35</v>
      </c>
      <c r="C92" s="12">
        <v>4.42</v>
      </c>
      <c r="D92" s="12">
        <v>5.05</v>
      </c>
      <c r="E92" s="12">
        <v>-7.39</v>
      </c>
      <c r="F92" s="12">
        <v>-5.61</v>
      </c>
      <c r="G92" s="21">
        <v>14.73</v>
      </c>
      <c r="H92" s="21">
        <v>17.89</v>
      </c>
      <c r="I92" s="21">
        <v>11.83</v>
      </c>
      <c r="J92" s="21">
        <v>45.29</v>
      </c>
      <c r="K92" s="112">
        <v>113.63</v>
      </c>
      <c r="L92" s="4"/>
      <c r="M92" s="4"/>
      <c r="N92" s="4"/>
      <c r="O92" s="4"/>
      <c r="P92" s="43"/>
    </row>
    <row r="93" spans="1:16" hidden="1" x14ac:dyDescent="0.15">
      <c r="A93" s="103" t="s">
        <v>99</v>
      </c>
      <c r="B93" s="141" t="s">
        <v>16</v>
      </c>
      <c r="C93" s="141" t="s">
        <v>16</v>
      </c>
      <c r="D93" s="141" t="s">
        <v>16</v>
      </c>
      <c r="E93" s="141" t="s">
        <v>16</v>
      </c>
      <c r="F93" s="141" t="s">
        <v>16</v>
      </c>
      <c r="G93" s="20" t="s">
        <v>16</v>
      </c>
      <c r="H93" s="20" t="s">
        <v>16</v>
      </c>
      <c r="I93" s="20" t="s">
        <v>16</v>
      </c>
      <c r="J93" s="20" t="s">
        <v>16</v>
      </c>
      <c r="K93" s="112">
        <v>-1.1100000000000001</v>
      </c>
      <c r="L93" s="4"/>
      <c r="M93" s="4"/>
      <c r="N93" s="4"/>
      <c r="O93" s="4"/>
      <c r="P93" s="43"/>
    </row>
    <row r="94" spans="1:16" x14ac:dyDescent="0.15">
      <c r="A94" s="103" t="s">
        <v>100</v>
      </c>
      <c r="B94" s="12">
        <v>127144000</v>
      </c>
      <c r="C94" s="12">
        <v>131024988</v>
      </c>
      <c r="D94" s="12">
        <v>131024000</v>
      </c>
      <c r="E94" s="12">
        <v>131024988</v>
      </c>
      <c r="F94" s="12">
        <v>131323948</v>
      </c>
      <c r="G94" s="21">
        <v>140944988</v>
      </c>
      <c r="H94" s="21">
        <v>140944988</v>
      </c>
      <c r="I94" s="21">
        <v>140944988</v>
      </c>
      <c r="J94" s="21">
        <v>140944988</v>
      </c>
      <c r="K94" s="112">
        <v>131644988</v>
      </c>
      <c r="L94" s="4"/>
      <c r="M94" s="4"/>
      <c r="N94" s="4"/>
      <c r="O94" s="4"/>
      <c r="P94" s="43"/>
    </row>
    <row r="95" spans="1:16" x14ac:dyDescent="0.15">
      <c r="A95" s="103" t="s">
        <v>101</v>
      </c>
      <c r="B95" s="12">
        <v>131144000</v>
      </c>
      <c r="C95" s="12">
        <v>131024988</v>
      </c>
      <c r="D95" s="12">
        <v>131024000</v>
      </c>
      <c r="E95" s="12">
        <v>131024988</v>
      </c>
      <c r="F95" s="12">
        <v>131323948</v>
      </c>
      <c r="G95" s="21">
        <v>140944988</v>
      </c>
      <c r="H95" s="21">
        <v>140944988</v>
      </c>
      <c r="I95" s="21">
        <v>140944988</v>
      </c>
      <c r="J95" s="21">
        <v>140944988</v>
      </c>
      <c r="K95" s="112">
        <v>131644988</v>
      </c>
      <c r="L95" s="4"/>
      <c r="M95" s="4"/>
      <c r="N95" s="4"/>
      <c r="O95" s="4"/>
      <c r="P95" s="43"/>
    </row>
    <row r="96" spans="1:16" ht="14" thickBot="1" x14ac:dyDescent="0.2">
      <c r="A96" s="143" t="s">
        <v>102</v>
      </c>
      <c r="B96" s="144">
        <v>0.62</v>
      </c>
      <c r="C96" s="144">
        <v>1</v>
      </c>
      <c r="D96" s="144">
        <v>0.25</v>
      </c>
      <c r="E96" s="144">
        <v>0.25</v>
      </c>
      <c r="F96" s="45" t="s">
        <v>16</v>
      </c>
      <c r="G96" s="145" t="s">
        <v>16</v>
      </c>
      <c r="H96" s="145" t="s">
        <v>16</v>
      </c>
      <c r="I96" s="145" t="s">
        <v>16</v>
      </c>
      <c r="J96" s="110">
        <v>1.25</v>
      </c>
      <c r="K96" s="119">
        <v>4.62</v>
      </c>
      <c r="L96" s="146"/>
      <c r="M96" s="146"/>
      <c r="N96" s="146"/>
      <c r="O96" s="146"/>
      <c r="P96" s="147"/>
    </row>
    <row r="97" spans="1:11" hidden="1" x14ac:dyDescent="0.15">
      <c r="A97" t="s">
        <v>103</v>
      </c>
      <c r="B97" s="2">
        <v>0.62</v>
      </c>
      <c r="C97" s="2">
        <v>1</v>
      </c>
      <c r="D97" s="2">
        <v>0.25</v>
      </c>
      <c r="E97" s="2">
        <v>0.25</v>
      </c>
      <c r="F97" t="s">
        <v>16</v>
      </c>
      <c r="G97" t="s">
        <v>16</v>
      </c>
      <c r="H97" t="s">
        <v>16</v>
      </c>
      <c r="I97" t="s">
        <v>16</v>
      </c>
      <c r="J97" s="2">
        <v>1.25</v>
      </c>
      <c r="K97" s="2">
        <v>4.62</v>
      </c>
    </row>
    <row r="98" spans="1:11" hidden="1" x14ac:dyDescent="0.15">
      <c r="A98" t="s">
        <v>94</v>
      </c>
      <c r="B98" s="2">
        <v>11.71</v>
      </c>
      <c r="C98" s="2">
        <v>4.42</v>
      </c>
      <c r="D98" s="2">
        <v>5.05</v>
      </c>
      <c r="E98" s="2">
        <v>-7.39</v>
      </c>
      <c r="F98" s="2">
        <v>-5.61</v>
      </c>
      <c r="G98" s="2">
        <v>14.73</v>
      </c>
      <c r="H98" s="2">
        <v>17.89</v>
      </c>
      <c r="I98" s="2">
        <v>11.83</v>
      </c>
      <c r="J98" s="2">
        <v>45.29</v>
      </c>
      <c r="K98" s="2">
        <v>112.52</v>
      </c>
    </row>
    <row r="99" spans="1:11" hidden="1" x14ac:dyDescent="0.15">
      <c r="A99" t="s">
        <v>97</v>
      </c>
      <c r="B99" s="2">
        <v>11.35</v>
      </c>
      <c r="C99" s="2">
        <v>4.42</v>
      </c>
      <c r="D99" s="2">
        <v>5.05</v>
      </c>
      <c r="E99" s="2">
        <v>-7.39</v>
      </c>
      <c r="F99" s="2">
        <v>-5.61</v>
      </c>
      <c r="G99" s="2">
        <v>14.73</v>
      </c>
      <c r="H99" s="2">
        <v>17.89</v>
      </c>
      <c r="I99" s="2">
        <v>11.83</v>
      </c>
      <c r="J99" s="2">
        <v>45.29</v>
      </c>
      <c r="K99" s="2">
        <v>112.52</v>
      </c>
    </row>
    <row r="100" spans="1:11" hidden="1" x14ac:dyDescent="0.15">
      <c r="A100" t="s">
        <v>104</v>
      </c>
      <c r="B100" s="2">
        <v>127144000</v>
      </c>
      <c r="C100" s="2">
        <v>131024988</v>
      </c>
      <c r="D100" s="2">
        <v>131024000</v>
      </c>
      <c r="E100" s="2">
        <v>131024988</v>
      </c>
      <c r="F100" s="2">
        <v>131323948</v>
      </c>
      <c r="G100" s="2">
        <v>140944988</v>
      </c>
      <c r="H100" s="2">
        <v>140944988</v>
      </c>
      <c r="I100" s="2">
        <v>140944988</v>
      </c>
      <c r="J100" s="2">
        <v>140944988</v>
      </c>
      <c r="K100" s="2">
        <v>131644988</v>
      </c>
    </row>
    <row r="101" spans="1:11" hidden="1" x14ac:dyDescent="0.15">
      <c r="A101" t="s">
        <v>105</v>
      </c>
      <c r="B101" s="2">
        <v>131144000</v>
      </c>
      <c r="C101" s="2">
        <v>131024988</v>
      </c>
      <c r="D101" s="2">
        <v>131024000</v>
      </c>
      <c r="E101" s="2">
        <v>131024988</v>
      </c>
      <c r="F101" s="2">
        <v>131323948</v>
      </c>
      <c r="G101" s="2">
        <v>140944988</v>
      </c>
      <c r="H101" s="2">
        <v>140944988</v>
      </c>
      <c r="I101" s="2">
        <v>140944988</v>
      </c>
      <c r="J101" s="2">
        <v>140944988</v>
      </c>
      <c r="K101" s="2">
        <v>131644988</v>
      </c>
    </row>
    <row r="102" spans="1:11" x14ac:dyDescent="0.15">
      <c r="A102" t="s">
        <v>106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8"/>
  <sheetViews>
    <sheetView showGridLines="0" zoomScale="125" workbookViewId="0">
      <pane xSplit="1" topLeftCell="J1" activePane="topRight" state="frozen"/>
      <selection pane="topRight"/>
    </sheetView>
  </sheetViews>
  <sheetFormatPr baseColWidth="10" defaultRowHeight="13" x14ac:dyDescent="0.15"/>
  <cols>
    <col min="1" max="1" width="57.1640625" customWidth="1"/>
    <col min="2" max="2" width="20.1640625" hidden="1" customWidth="1"/>
    <col min="3" max="3" width="17.5" hidden="1" customWidth="1"/>
    <col min="4" max="4" width="19.83203125" hidden="1" customWidth="1"/>
    <col min="5" max="6" width="16.5" hidden="1" customWidth="1"/>
    <col min="7" max="7" width="16.6640625" hidden="1" customWidth="1"/>
    <col min="8" max="8" width="14.5" hidden="1" customWidth="1"/>
    <col min="9" max="9" width="17.83203125" hidden="1" customWidth="1"/>
    <col min="10" max="10" width="17.6640625" customWidth="1"/>
    <col min="11" max="11" width="14.1640625" customWidth="1"/>
    <col min="12" max="12" width="18.33203125" customWidth="1"/>
    <col min="13" max="13" width="15.83203125" customWidth="1"/>
    <col min="14" max="14" width="17" customWidth="1"/>
    <col min="15" max="15" width="15.83203125" customWidth="1"/>
    <col min="16" max="16" width="16.1640625" customWidth="1"/>
  </cols>
  <sheetData>
    <row r="1" spans="1:16" x14ac:dyDescent="0.15">
      <c r="A1" s="148" t="s">
        <v>107</v>
      </c>
      <c r="B1" s="102"/>
      <c r="C1" s="102"/>
      <c r="D1" s="102"/>
      <c r="E1" s="102"/>
      <c r="F1" s="102"/>
      <c r="G1" s="102"/>
      <c r="H1" s="102"/>
      <c r="I1" s="102"/>
      <c r="J1" s="102"/>
      <c r="K1" s="111"/>
      <c r="L1" s="51" t="s">
        <v>349</v>
      </c>
      <c r="M1" s="52"/>
      <c r="N1" s="52"/>
      <c r="O1" s="52"/>
      <c r="P1" s="53"/>
    </row>
    <row r="2" spans="1:16" s="157" customFormat="1" x14ac:dyDescent="0.15">
      <c r="A2" s="169"/>
      <c r="B2" s="170" t="s">
        <v>1</v>
      </c>
      <c r="C2" s="170" t="s">
        <v>2</v>
      </c>
      <c r="D2" s="170" t="s">
        <v>3</v>
      </c>
      <c r="E2" s="170" t="s">
        <v>4</v>
      </c>
      <c r="F2" s="170" t="s">
        <v>5</v>
      </c>
      <c r="G2" s="170" t="s">
        <v>6</v>
      </c>
      <c r="H2" s="170" t="s">
        <v>7</v>
      </c>
      <c r="I2" s="170" t="s">
        <v>8</v>
      </c>
      <c r="J2" s="170" t="s">
        <v>9</v>
      </c>
      <c r="K2" s="171" t="s">
        <v>10</v>
      </c>
      <c r="L2" s="155">
        <v>2023</v>
      </c>
      <c r="M2" s="155">
        <v>2024</v>
      </c>
      <c r="N2" s="155">
        <v>2025</v>
      </c>
      <c r="O2" s="155">
        <v>2026</v>
      </c>
      <c r="P2" s="156">
        <v>2027</v>
      </c>
    </row>
    <row r="3" spans="1:16" x14ac:dyDescent="0.15">
      <c r="A3" s="40" t="s">
        <v>108</v>
      </c>
      <c r="B3" s="21">
        <v>31163275000</v>
      </c>
      <c r="C3" s="21">
        <v>35136892000</v>
      </c>
      <c r="D3" s="21">
        <v>37481122000</v>
      </c>
      <c r="E3" s="21">
        <v>34815620000</v>
      </c>
      <c r="F3" s="21">
        <v>32532279000</v>
      </c>
      <c r="G3" s="21">
        <v>34517356000</v>
      </c>
      <c r="H3" s="21">
        <v>35111067000</v>
      </c>
      <c r="I3" s="21">
        <v>34815023000</v>
      </c>
      <c r="J3" s="21">
        <v>34735542000</v>
      </c>
      <c r="K3" s="112">
        <v>48899277000</v>
      </c>
      <c r="L3" s="4"/>
      <c r="M3" s="4"/>
      <c r="N3" s="4"/>
      <c r="O3" s="4"/>
      <c r="P3" s="43"/>
    </row>
    <row r="4" spans="1:16" x14ac:dyDescent="0.15">
      <c r="A4" s="40" t="s">
        <v>109</v>
      </c>
      <c r="B4" s="21">
        <v>8195900000</v>
      </c>
      <c r="C4" s="21">
        <v>8867713000</v>
      </c>
      <c r="D4" s="21">
        <v>10537217000</v>
      </c>
      <c r="E4" s="21">
        <v>8555475000</v>
      </c>
      <c r="F4" s="21">
        <v>6579000000</v>
      </c>
      <c r="G4" s="21">
        <v>8081769000</v>
      </c>
      <c r="H4" s="21">
        <v>9849921000</v>
      </c>
      <c r="I4" s="21">
        <v>9332011000</v>
      </c>
      <c r="J4" s="21">
        <v>10278273000</v>
      </c>
      <c r="K4" s="112">
        <v>23810490000</v>
      </c>
      <c r="L4" s="4"/>
      <c r="M4" s="4"/>
      <c r="N4" s="4"/>
      <c r="O4" s="4"/>
      <c r="P4" s="43"/>
    </row>
    <row r="5" spans="1:16" hidden="1" x14ac:dyDescent="0.15">
      <c r="A5" s="40" t="s">
        <v>110</v>
      </c>
      <c r="B5" s="21">
        <v>810603000</v>
      </c>
      <c r="C5" s="21">
        <v>359877000</v>
      </c>
      <c r="D5" s="21">
        <v>1058784000</v>
      </c>
      <c r="E5" s="21">
        <v>983688000</v>
      </c>
      <c r="F5" s="21">
        <v>511303000</v>
      </c>
      <c r="G5" s="21">
        <v>84067000</v>
      </c>
      <c r="H5" s="21">
        <v>16785000</v>
      </c>
      <c r="I5" s="21">
        <v>22509000</v>
      </c>
      <c r="J5" s="21">
        <v>85948000</v>
      </c>
      <c r="K5" s="112">
        <v>2319380000</v>
      </c>
      <c r="L5" s="4"/>
      <c r="M5" s="4"/>
      <c r="N5" s="4"/>
      <c r="O5" s="4"/>
      <c r="P5" s="43"/>
    </row>
    <row r="6" spans="1:16" hidden="1" x14ac:dyDescent="0.15">
      <c r="A6" s="40" t="s">
        <v>111</v>
      </c>
      <c r="B6" s="21">
        <v>799013000</v>
      </c>
      <c r="C6" s="21">
        <v>348731000</v>
      </c>
      <c r="D6" s="21">
        <v>1052585000</v>
      </c>
      <c r="E6" s="21">
        <v>981424000</v>
      </c>
      <c r="F6" s="21">
        <v>511303000</v>
      </c>
      <c r="G6" s="21">
        <v>84067000</v>
      </c>
      <c r="H6" s="21">
        <v>16785000</v>
      </c>
      <c r="I6" s="21">
        <v>22509000</v>
      </c>
      <c r="J6" s="21">
        <v>85948000</v>
      </c>
      <c r="K6" s="112">
        <v>109969000</v>
      </c>
      <c r="L6" s="4"/>
      <c r="M6" s="4"/>
      <c r="N6" s="4"/>
      <c r="O6" s="4"/>
      <c r="P6" s="43"/>
    </row>
    <row r="7" spans="1:16" hidden="1" x14ac:dyDescent="0.15">
      <c r="A7" s="40" t="s">
        <v>112</v>
      </c>
      <c r="B7" s="20" t="s">
        <v>16</v>
      </c>
      <c r="C7" s="20" t="s">
        <v>16</v>
      </c>
      <c r="D7" s="20" t="s">
        <v>16</v>
      </c>
      <c r="E7" s="20" t="s">
        <v>16</v>
      </c>
      <c r="F7" s="20" t="s">
        <v>16</v>
      </c>
      <c r="G7" s="21">
        <v>84067000</v>
      </c>
      <c r="H7" s="21">
        <v>16785000</v>
      </c>
      <c r="I7" s="21">
        <v>22509000</v>
      </c>
      <c r="J7" s="21">
        <v>74648000</v>
      </c>
      <c r="K7" s="112">
        <v>81769000</v>
      </c>
      <c r="L7" s="4"/>
      <c r="M7" s="4"/>
      <c r="N7" s="4"/>
      <c r="O7" s="4"/>
      <c r="P7" s="43"/>
    </row>
    <row r="8" spans="1:16" hidden="1" x14ac:dyDescent="0.15">
      <c r="A8" s="40" t="s">
        <v>113</v>
      </c>
      <c r="B8" s="20" t="s">
        <v>16</v>
      </c>
      <c r="C8" s="20" t="s">
        <v>16</v>
      </c>
      <c r="D8" s="20" t="s">
        <v>16</v>
      </c>
      <c r="E8" s="20" t="s">
        <v>16</v>
      </c>
      <c r="F8" s="21">
        <v>511303000</v>
      </c>
      <c r="G8" s="20" t="s">
        <v>16</v>
      </c>
      <c r="H8" s="20" t="s">
        <v>16</v>
      </c>
      <c r="I8" s="20" t="s">
        <v>16</v>
      </c>
      <c r="J8" s="21">
        <v>11300000</v>
      </c>
      <c r="K8" s="112">
        <v>28200000</v>
      </c>
      <c r="L8" s="4"/>
      <c r="M8" s="4"/>
      <c r="N8" s="4"/>
      <c r="O8" s="4"/>
      <c r="P8" s="43"/>
    </row>
    <row r="9" spans="1:16" hidden="1" x14ac:dyDescent="0.15">
      <c r="A9" s="40" t="s">
        <v>114</v>
      </c>
      <c r="B9" s="21">
        <v>11590000</v>
      </c>
      <c r="C9" s="21">
        <v>11146000</v>
      </c>
      <c r="D9" s="21">
        <v>6199000</v>
      </c>
      <c r="E9" s="21">
        <v>2264000</v>
      </c>
      <c r="F9" s="21">
        <v>0</v>
      </c>
      <c r="G9" s="20" t="s">
        <v>16</v>
      </c>
      <c r="H9" s="21">
        <v>0</v>
      </c>
      <c r="I9" s="20" t="s">
        <v>16</v>
      </c>
      <c r="J9" s="20" t="s">
        <v>16</v>
      </c>
      <c r="K9" s="112">
        <v>2209411000</v>
      </c>
      <c r="L9" s="4"/>
      <c r="M9" s="4"/>
      <c r="N9" s="4"/>
      <c r="O9" s="4"/>
      <c r="P9" s="43"/>
    </row>
    <row r="10" spans="1:16" hidden="1" x14ac:dyDescent="0.15">
      <c r="A10" s="40" t="s">
        <v>115</v>
      </c>
      <c r="B10" s="20" t="s">
        <v>16</v>
      </c>
      <c r="C10" s="20" t="s">
        <v>16</v>
      </c>
      <c r="D10" s="20" t="s">
        <v>16</v>
      </c>
      <c r="E10" s="20" t="s">
        <v>16</v>
      </c>
      <c r="F10" s="20" t="s">
        <v>16</v>
      </c>
      <c r="G10" s="20" t="s">
        <v>16</v>
      </c>
      <c r="H10" s="21">
        <v>0</v>
      </c>
      <c r="I10" s="20" t="s">
        <v>16</v>
      </c>
      <c r="J10" s="20" t="s">
        <v>16</v>
      </c>
      <c r="K10" s="112">
        <v>2209411000</v>
      </c>
      <c r="L10" s="4"/>
      <c r="M10" s="4"/>
      <c r="N10" s="4"/>
      <c r="O10" s="4"/>
      <c r="P10" s="43"/>
    </row>
    <row r="11" spans="1:16" hidden="1" x14ac:dyDescent="0.15">
      <c r="A11" s="40" t="s">
        <v>116</v>
      </c>
      <c r="B11" s="20" t="s">
        <v>16</v>
      </c>
      <c r="C11" s="20" t="s">
        <v>16</v>
      </c>
      <c r="D11" s="20" t="s">
        <v>16</v>
      </c>
      <c r="E11" s="20" t="s">
        <v>16</v>
      </c>
      <c r="F11" s="20" t="s">
        <v>16</v>
      </c>
      <c r="G11" s="21">
        <v>437964000</v>
      </c>
      <c r="H11" s="21">
        <v>371778000</v>
      </c>
      <c r="I11" s="21">
        <v>267093000</v>
      </c>
      <c r="J11" s="21">
        <v>516203000</v>
      </c>
      <c r="K11" s="112">
        <v>3427705000</v>
      </c>
      <c r="L11" s="4"/>
      <c r="M11" s="4"/>
      <c r="N11" s="4"/>
      <c r="O11" s="4"/>
      <c r="P11" s="43"/>
    </row>
    <row r="12" spans="1:16" s="19" customFormat="1" x14ac:dyDescent="0.15">
      <c r="A12" s="104" t="s">
        <v>344</v>
      </c>
      <c r="B12" s="15">
        <f>-1*B13/IS!B9</f>
        <v>0.22874537775584677</v>
      </c>
      <c r="C12" s="15">
        <f>-1*C13/IS!C9</f>
        <v>0.32697570055653674</v>
      </c>
      <c r="D12" s="15">
        <f>-1*D13/IS!D9</f>
        <v>0.28552290278189735</v>
      </c>
      <c r="E12" s="15">
        <f>-1*E13/IS!E9</f>
        <v>0.34477593808365181</v>
      </c>
      <c r="F12" s="15">
        <f>-1*F13/IS!F9</f>
        <v>0.24389653062408506</v>
      </c>
      <c r="G12" s="15">
        <f>-1*G13/IS!G9</f>
        <v>0.27932237233648621</v>
      </c>
      <c r="H12" s="15">
        <f>-1*H13/IS!H9</f>
        <v>0.30328874929833394</v>
      </c>
      <c r="I12" s="15">
        <f>-1*I13/IS!I9</f>
        <v>0.27356402000535446</v>
      </c>
      <c r="J12" s="15">
        <f>-1*J13/IS!J9</f>
        <v>0.24054641222956266</v>
      </c>
      <c r="K12" s="113">
        <f>-1*K13/IS!K9</f>
        <v>0.32564426693776993</v>
      </c>
      <c r="L12" s="30">
        <f>'Assumptions+DCF'!L10</f>
        <v>0.28729118421646344</v>
      </c>
      <c r="M12" s="30">
        <f>'Assumptions+DCF'!M10</f>
        <v>0.27907907652115077</v>
      </c>
      <c r="N12" s="30">
        <f>'Assumptions+DCF'!N10</f>
        <v>0.28410515450644591</v>
      </c>
      <c r="O12" s="30">
        <f>'Assumptions+DCF'!O10</f>
        <v>0.28478840910215447</v>
      </c>
      <c r="P12" s="58">
        <f>'Assumptions+DCF'!P10</f>
        <v>0.28214550335984312</v>
      </c>
    </row>
    <row r="13" spans="1:16" s="6" customFormat="1" x14ac:dyDescent="0.15">
      <c r="A13" s="40" t="s">
        <v>117</v>
      </c>
      <c r="B13" s="21">
        <v>3475353000</v>
      </c>
      <c r="C13" s="21">
        <v>4022270000</v>
      </c>
      <c r="D13" s="21">
        <v>4192220000</v>
      </c>
      <c r="E13" s="21">
        <v>4310978000</v>
      </c>
      <c r="F13" s="21">
        <v>3043617000</v>
      </c>
      <c r="G13" s="21">
        <v>4323038000</v>
      </c>
      <c r="H13" s="21">
        <v>6164295000</v>
      </c>
      <c r="I13" s="21">
        <v>5574016000</v>
      </c>
      <c r="J13" s="21">
        <v>5036746000</v>
      </c>
      <c r="K13" s="112">
        <v>8736274000</v>
      </c>
      <c r="L13" s="32">
        <f>-1*BS!L12*IS!L9</f>
        <v>10252580450.651512</v>
      </c>
      <c r="M13" s="32">
        <f>-1*BS!M12*IS!M9</f>
        <v>11212150093.683334</v>
      </c>
      <c r="N13" s="32">
        <f>-1*BS!N12*IS!N9</f>
        <v>13047442346.800287</v>
      </c>
      <c r="O13" s="32">
        <f>-1*BS!O12*IS!O9</f>
        <v>14972764173.034279</v>
      </c>
      <c r="P13" s="105">
        <f>-1*BS!P12*IS!P9</f>
        <v>16776493982.115271</v>
      </c>
    </row>
    <row r="14" spans="1:16" s="6" customFormat="1" hidden="1" x14ac:dyDescent="0.15">
      <c r="A14" s="40" t="s">
        <v>118</v>
      </c>
      <c r="B14" s="21">
        <v>1919733000</v>
      </c>
      <c r="C14" s="21">
        <v>2225448000</v>
      </c>
      <c r="D14" s="21">
        <v>2723922000</v>
      </c>
      <c r="E14" s="21">
        <v>1719651000</v>
      </c>
      <c r="F14" s="21">
        <v>1145016000</v>
      </c>
      <c r="G14" s="21">
        <v>3459422000</v>
      </c>
      <c r="H14" s="21">
        <v>4614843000</v>
      </c>
      <c r="I14" s="21">
        <v>4473678000</v>
      </c>
      <c r="J14" s="21">
        <v>3734259000</v>
      </c>
      <c r="K14" s="112">
        <v>6933267000</v>
      </c>
      <c r="L14" s="4"/>
      <c r="M14" s="4"/>
      <c r="N14" s="4"/>
      <c r="O14" s="4"/>
      <c r="P14" s="43"/>
    </row>
    <row r="15" spans="1:16" s="6" customFormat="1" hidden="1" x14ac:dyDescent="0.15">
      <c r="A15" s="40" t="s">
        <v>119</v>
      </c>
      <c r="B15" s="21">
        <v>30183000</v>
      </c>
      <c r="C15" s="21">
        <v>78404000</v>
      </c>
      <c r="D15" s="21">
        <v>32126000</v>
      </c>
      <c r="E15" s="21">
        <v>32660000</v>
      </c>
      <c r="F15" s="21">
        <v>36936000</v>
      </c>
      <c r="G15" s="21">
        <v>141104000</v>
      </c>
      <c r="H15" s="21">
        <v>491141000</v>
      </c>
      <c r="I15" s="21">
        <v>181975000</v>
      </c>
      <c r="J15" s="21">
        <v>180897000</v>
      </c>
      <c r="K15" s="112">
        <v>333781000</v>
      </c>
      <c r="L15" s="4"/>
      <c r="M15" s="4"/>
      <c r="N15" s="4"/>
      <c r="O15" s="4"/>
      <c r="P15" s="43"/>
    </row>
    <row r="16" spans="1:16" s="6" customFormat="1" hidden="1" x14ac:dyDescent="0.15">
      <c r="A16" s="40" t="s">
        <v>120</v>
      </c>
      <c r="B16" s="21">
        <v>752354000</v>
      </c>
      <c r="C16" s="21">
        <v>835045000</v>
      </c>
      <c r="D16" s="21">
        <v>1427074000</v>
      </c>
      <c r="E16" s="21">
        <v>1155594000</v>
      </c>
      <c r="F16" s="21">
        <v>1016629000</v>
      </c>
      <c r="G16" s="21">
        <v>722513000</v>
      </c>
      <c r="H16" s="21">
        <v>1058311000</v>
      </c>
      <c r="I16" s="21">
        <v>918364000</v>
      </c>
      <c r="J16" s="21">
        <v>1121590000</v>
      </c>
      <c r="K16" s="112">
        <v>1469225000</v>
      </c>
      <c r="L16" s="4"/>
      <c r="M16" s="4"/>
      <c r="N16" s="4"/>
      <c r="O16" s="4"/>
      <c r="P16" s="43"/>
    </row>
    <row r="17" spans="1:18" s="6" customFormat="1" hidden="1" x14ac:dyDescent="0.15">
      <c r="A17" s="40" t="s">
        <v>121</v>
      </c>
      <c r="B17" s="21">
        <v>773083000</v>
      </c>
      <c r="C17" s="21">
        <v>883373000</v>
      </c>
      <c r="D17" s="21">
        <v>9098000</v>
      </c>
      <c r="E17" s="21">
        <v>1403073000</v>
      </c>
      <c r="F17" s="21">
        <v>845036000</v>
      </c>
      <c r="G17" s="20" t="s">
        <v>16</v>
      </c>
      <c r="H17" s="20" t="s">
        <v>16</v>
      </c>
      <c r="I17" s="20" t="s">
        <v>16</v>
      </c>
      <c r="J17" s="20" t="s">
        <v>16</v>
      </c>
      <c r="K17" s="114" t="s">
        <v>16</v>
      </c>
      <c r="L17" s="4"/>
      <c r="M17" s="4"/>
      <c r="N17" s="4"/>
      <c r="O17" s="4"/>
      <c r="P17" s="43"/>
    </row>
    <row r="18" spans="1:18" s="6" customFormat="1" x14ac:dyDescent="0.15">
      <c r="A18" s="39" t="s">
        <v>356</v>
      </c>
      <c r="B18" s="13">
        <f>B19/IS!B5</f>
        <v>0.16509993624169531</v>
      </c>
      <c r="C18" s="13">
        <f>C19/IS!C5</f>
        <v>0.21156923452885071</v>
      </c>
      <c r="D18" s="13">
        <f>D19/IS!D5</f>
        <v>0.22000031064980172</v>
      </c>
      <c r="E18" s="13">
        <f>E19/IS!E5</f>
        <v>0.18058486850054081</v>
      </c>
      <c r="F18" s="13">
        <f>F19/IS!F5</f>
        <v>6.4297344508903731E-2</v>
      </c>
      <c r="G18" s="13">
        <f>G19/IS!G5</f>
        <v>6.2512790502525561E-2</v>
      </c>
      <c r="H18" s="13">
        <f>H19/IS!H5</f>
        <v>5.3199683680987715E-2</v>
      </c>
      <c r="I18" s="13">
        <f>I19/IS!I5</f>
        <v>5.9980845885059683E-2</v>
      </c>
      <c r="J18" s="13">
        <f>J19/IS!J5</f>
        <v>7.2127254860737983E-2</v>
      </c>
      <c r="K18" s="115">
        <f>K19/IS!K5</f>
        <v>0.11286852223212245</v>
      </c>
      <c r="L18" s="29">
        <f>'Assumptions+DCF'!L11</f>
        <v>8.6510187167268285E-2</v>
      </c>
      <c r="M18" s="29">
        <f>'Assumptions+DCF'!M11</f>
        <v>7.3070946976800763E-2</v>
      </c>
      <c r="N18" s="29">
        <f>'Assumptions+DCF'!N11</f>
        <v>7.4324318757928914E-2</v>
      </c>
      <c r="O18" s="29">
        <f>'Assumptions+DCF'!O11</f>
        <v>7.6011679937272245E-2</v>
      </c>
      <c r="P18" s="55">
        <f>'Assumptions+DCF'!P11</f>
        <v>7.9270536545312895E-2</v>
      </c>
    </row>
    <row r="19" spans="1:18" s="6" customFormat="1" x14ac:dyDescent="0.15">
      <c r="A19" s="40" t="s">
        <v>122</v>
      </c>
      <c r="B19" s="21">
        <v>3890931000</v>
      </c>
      <c r="C19" s="21">
        <v>4481150000</v>
      </c>
      <c r="D19" s="21">
        <v>5268963000</v>
      </c>
      <c r="E19" s="21">
        <v>3256810000</v>
      </c>
      <c r="F19" s="21">
        <v>1160189000</v>
      </c>
      <c r="G19" s="21">
        <v>1578948000</v>
      </c>
      <c r="H19" s="21">
        <v>1751599000</v>
      </c>
      <c r="I19" s="21">
        <v>1957492000</v>
      </c>
      <c r="J19" s="21">
        <v>2934681000</v>
      </c>
      <c r="K19" s="112">
        <v>6088051000</v>
      </c>
      <c r="L19" s="32">
        <f>IS!L5*BS!L18</f>
        <v>5083411991.9465704</v>
      </c>
      <c r="M19" s="32">
        <f>IS!M5*BS!M18</f>
        <v>4933524216.3649864</v>
      </c>
      <c r="N19" s="32">
        <f>IS!N5*BS!N18</f>
        <v>5872363609.0524435</v>
      </c>
      <c r="O19" s="32">
        <f>IS!O5*BS!O18</f>
        <v>6929007967.8743353</v>
      </c>
      <c r="P19" s="105">
        <f>IS!P5*BS!P18</f>
        <v>8255352330.9568453</v>
      </c>
    </row>
    <row r="20" spans="1:18" s="6" customFormat="1" hidden="1" x14ac:dyDescent="0.15">
      <c r="A20" s="40" t="s">
        <v>123</v>
      </c>
      <c r="B20" s="21">
        <v>1067055000</v>
      </c>
      <c r="C20" s="21">
        <v>1018568000</v>
      </c>
      <c r="D20" s="21">
        <v>1559192000</v>
      </c>
      <c r="E20" s="21">
        <v>1039100000</v>
      </c>
      <c r="F20" s="21">
        <v>1135589000</v>
      </c>
      <c r="G20" s="21">
        <v>1558356000</v>
      </c>
      <c r="H20" s="21">
        <v>1668574000</v>
      </c>
      <c r="I20" s="21">
        <v>1767811000</v>
      </c>
      <c r="J20" s="21">
        <v>2752330000</v>
      </c>
      <c r="K20" s="112">
        <v>3499241000</v>
      </c>
      <c r="L20" s="4"/>
      <c r="M20" s="4"/>
      <c r="N20" s="4"/>
      <c r="O20" s="4"/>
      <c r="P20" s="43"/>
    </row>
    <row r="21" spans="1:18" s="6" customFormat="1" hidden="1" x14ac:dyDescent="0.15">
      <c r="A21" s="40" t="s">
        <v>124</v>
      </c>
      <c r="B21" s="20" t="s">
        <v>16</v>
      </c>
      <c r="C21" s="20" t="s">
        <v>16</v>
      </c>
      <c r="D21" s="20" t="s">
        <v>16</v>
      </c>
      <c r="E21" s="20" t="s">
        <v>16</v>
      </c>
      <c r="F21" s="20" t="s">
        <v>16</v>
      </c>
      <c r="G21" s="21">
        <v>1603679000</v>
      </c>
      <c r="H21" s="21">
        <v>1716672000</v>
      </c>
      <c r="I21" s="21">
        <v>1776152000</v>
      </c>
      <c r="J21" s="21">
        <v>2831634000</v>
      </c>
      <c r="K21" s="112">
        <v>3578520000</v>
      </c>
      <c r="L21" s="4"/>
      <c r="M21" s="4"/>
      <c r="N21" s="4"/>
      <c r="O21" s="4"/>
      <c r="P21" s="43"/>
    </row>
    <row r="22" spans="1:18" s="6" customFormat="1" hidden="1" x14ac:dyDescent="0.15">
      <c r="A22" s="40" t="s">
        <v>125</v>
      </c>
      <c r="B22" s="20" t="s">
        <v>16</v>
      </c>
      <c r="C22" s="20" t="s">
        <v>16</v>
      </c>
      <c r="D22" s="20" t="s">
        <v>16</v>
      </c>
      <c r="E22" s="20" t="s">
        <v>16</v>
      </c>
      <c r="F22" s="20" t="s">
        <v>16</v>
      </c>
      <c r="G22" s="21">
        <v>-45323000</v>
      </c>
      <c r="H22" s="21">
        <v>-48098000</v>
      </c>
      <c r="I22" s="21">
        <v>-8342000</v>
      </c>
      <c r="J22" s="21">
        <v>-79303000</v>
      </c>
      <c r="K22" s="112">
        <v>-79279000</v>
      </c>
      <c r="L22" s="4"/>
      <c r="M22" s="4"/>
      <c r="N22" s="4"/>
      <c r="O22" s="4"/>
      <c r="P22" s="43"/>
    </row>
    <row r="23" spans="1:18" s="6" customFormat="1" hidden="1" x14ac:dyDescent="0.15">
      <c r="A23" s="40" t="s">
        <v>126</v>
      </c>
      <c r="B23" s="21">
        <v>2823876000</v>
      </c>
      <c r="C23" s="21">
        <v>3462582000</v>
      </c>
      <c r="D23" s="21">
        <v>3709771000</v>
      </c>
      <c r="E23" s="21">
        <v>2217710000</v>
      </c>
      <c r="F23" s="21">
        <v>0</v>
      </c>
      <c r="G23" s="20" t="s">
        <v>16</v>
      </c>
      <c r="H23" s="20" t="s">
        <v>16</v>
      </c>
      <c r="I23" s="20" t="s">
        <v>16</v>
      </c>
      <c r="J23" s="20" t="s">
        <v>16</v>
      </c>
      <c r="K23" s="112">
        <v>2472351000</v>
      </c>
      <c r="L23" s="4"/>
      <c r="M23" s="4"/>
      <c r="N23" s="4"/>
      <c r="O23" s="4"/>
      <c r="P23" s="43"/>
    </row>
    <row r="24" spans="1:18" s="6" customFormat="1" hidden="1" x14ac:dyDescent="0.15">
      <c r="A24" s="40" t="s">
        <v>127</v>
      </c>
      <c r="B24" s="20" t="s">
        <v>16</v>
      </c>
      <c r="C24" s="20" t="s">
        <v>16</v>
      </c>
      <c r="D24" s="20" t="s">
        <v>16</v>
      </c>
      <c r="E24" s="20" t="s">
        <v>16</v>
      </c>
      <c r="F24" s="21">
        <v>24600000</v>
      </c>
      <c r="G24" s="21">
        <v>19620000</v>
      </c>
      <c r="H24" s="21">
        <v>23932000</v>
      </c>
      <c r="I24" s="21">
        <v>5251000</v>
      </c>
      <c r="J24" s="21">
        <v>1185000</v>
      </c>
      <c r="K24" s="112">
        <v>0</v>
      </c>
      <c r="L24" s="4"/>
      <c r="M24" s="4"/>
      <c r="N24" s="4"/>
      <c r="O24" s="4"/>
      <c r="P24" s="43"/>
    </row>
    <row r="25" spans="1:18" s="6" customFormat="1" hidden="1" x14ac:dyDescent="0.15">
      <c r="A25" s="40" t="s">
        <v>128</v>
      </c>
      <c r="B25" s="20" t="s">
        <v>16</v>
      </c>
      <c r="C25" s="20" t="s">
        <v>16</v>
      </c>
      <c r="D25" s="20" t="s">
        <v>16</v>
      </c>
      <c r="E25" s="20" t="s">
        <v>16</v>
      </c>
      <c r="F25" s="20" t="s">
        <v>16</v>
      </c>
      <c r="G25" s="21">
        <v>972000</v>
      </c>
      <c r="H25" s="21">
        <v>7809000</v>
      </c>
      <c r="I25" s="21">
        <v>6072000</v>
      </c>
      <c r="J25" s="21">
        <v>2808000</v>
      </c>
      <c r="K25" s="112">
        <v>16459000</v>
      </c>
      <c r="L25" s="4"/>
      <c r="M25" s="4"/>
      <c r="N25" s="4"/>
      <c r="O25" s="4"/>
      <c r="P25" s="43"/>
    </row>
    <row r="26" spans="1:18" s="6" customFormat="1" hidden="1" x14ac:dyDescent="0.15">
      <c r="A26" s="40" t="s">
        <v>129</v>
      </c>
      <c r="B26" s="20" t="s">
        <v>16</v>
      </c>
      <c r="C26" s="20" t="s">
        <v>16</v>
      </c>
      <c r="D26" s="20" t="s">
        <v>16</v>
      </c>
      <c r="E26" s="20" t="s">
        <v>16</v>
      </c>
      <c r="F26" s="20" t="s">
        <v>16</v>
      </c>
      <c r="G26" s="20" t="s">
        <v>16</v>
      </c>
      <c r="H26" s="21">
        <v>51284000</v>
      </c>
      <c r="I26" s="21">
        <v>178358000</v>
      </c>
      <c r="J26" s="21">
        <v>178358000</v>
      </c>
      <c r="K26" s="112">
        <v>100000000</v>
      </c>
      <c r="L26" s="4"/>
      <c r="M26" s="4"/>
      <c r="N26" s="4"/>
      <c r="O26" s="4"/>
      <c r="P26" s="43"/>
    </row>
    <row r="27" spans="1:18" s="6" customFormat="1" hidden="1" x14ac:dyDescent="0.15">
      <c r="A27" s="40" t="s">
        <v>130</v>
      </c>
      <c r="B27" s="20" t="s">
        <v>16</v>
      </c>
      <c r="C27" s="20" t="s">
        <v>16</v>
      </c>
      <c r="D27" s="20" t="s">
        <v>16</v>
      </c>
      <c r="E27" s="20" t="s">
        <v>16</v>
      </c>
      <c r="F27" s="20" t="s">
        <v>16</v>
      </c>
      <c r="G27" s="21">
        <v>1657751000</v>
      </c>
      <c r="H27" s="21">
        <v>1545461000</v>
      </c>
      <c r="I27" s="21">
        <v>1510902000</v>
      </c>
      <c r="J27" s="21">
        <v>1704695000</v>
      </c>
      <c r="K27" s="112">
        <v>3239080000</v>
      </c>
      <c r="L27" s="4"/>
      <c r="M27" s="4"/>
      <c r="N27" s="4"/>
      <c r="O27" s="4"/>
      <c r="P27" s="43"/>
    </row>
    <row r="28" spans="1:18" s="6" customFormat="1" x14ac:dyDescent="0.15">
      <c r="A28" s="40" t="s">
        <v>131</v>
      </c>
      <c r="B28" s="21">
        <v>19013000</v>
      </c>
      <c r="C28" s="21">
        <v>4416000</v>
      </c>
      <c r="D28" s="21">
        <v>17250000</v>
      </c>
      <c r="E28" s="21">
        <v>3999000</v>
      </c>
      <c r="F28" s="21">
        <v>1863891000</v>
      </c>
      <c r="G28" s="21">
        <v>-1000</v>
      </c>
      <c r="H28" s="20" t="s">
        <v>16</v>
      </c>
      <c r="I28" s="20" t="s">
        <v>16</v>
      </c>
      <c r="J28" s="20" t="s">
        <v>16</v>
      </c>
      <c r="K28" s="114" t="s">
        <v>16</v>
      </c>
      <c r="L28" s="4"/>
      <c r="M28" s="4"/>
      <c r="N28" s="4"/>
      <c r="O28" s="4"/>
      <c r="P28" s="43"/>
    </row>
    <row r="29" spans="1:18" s="6" customFormat="1" hidden="1" x14ac:dyDescent="0.15">
      <c r="A29" s="40" t="s">
        <v>132</v>
      </c>
      <c r="B29" s="21">
        <v>22967375000</v>
      </c>
      <c r="C29" s="21">
        <v>26269179000</v>
      </c>
      <c r="D29" s="21">
        <v>26943905000</v>
      </c>
      <c r="E29" s="21">
        <v>26260145000</v>
      </c>
      <c r="F29" s="21">
        <v>25953278000</v>
      </c>
      <c r="G29" s="21">
        <v>26435587000</v>
      </c>
      <c r="H29" s="21">
        <v>25261147000</v>
      </c>
      <c r="I29" s="21">
        <v>25483012000</v>
      </c>
      <c r="J29" s="21">
        <v>24457269000</v>
      </c>
      <c r="K29" s="112">
        <v>25088787000</v>
      </c>
      <c r="L29" s="4"/>
      <c r="M29" s="4"/>
      <c r="N29" s="4"/>
      <c r="O29" s="4"/>
      <c r="P29" s="43"/>
    </row>
    <row r="30" spans="1:18" s="6" customFormat="1" x14ac:dyDescent="0.15">
      <c r="A30" s="39" t="s">
        <v>341</v>
      </c>
      <c r="B30" s="9">
        <f>IS!B5/BS!B33</f>
        <v>1.0528680616881692</v>
      </c>
      <c r="C30" s="9">
        <f>IS!C5/BS!C33</f>
        <v>0.86984046347604571</v>
      </c>
      <c r="D30" s="9">
        <f>IS!D5/BS!D33</f>
        <v>0.94422965940658987</v>
      </c>
      <c r="E30" s="9">
        <f>IS!E5/BS!E33</f>
        <v>0.74742627062294842</v>
      </c>
      <c r="F30" s="9">
        <f>IS!F5/BS!F33</f>
        <v>0.76537092035707688</v>
      </c>
      <c r="G30" s="9">
        <f>IS!G5/BS!G33</f>
        <v>1.0940290217003077</v>
      </c>
      <c r="H30" s="9">
        <f>IS!H5/BS!H33</f>
        <v>1.455051081701024</v>
      </c>
      <c r="I30" s="9">
        <f>IS!I5/BS!I33</f>
        <v>1.417645547400358</v>
      </c>
      <c r="J30" s="9">
        <f>IS!J5/BS!J33</f>
        <v>1.9712735800996044</v>
      </c>
      <c r="K30" s="116">
        <f>IS!K5/BS!K33</f>
        <v>2.6239938918642025</v>
      </c>
      <c r="L30" s="99">
        <f>IS!L5/BS!L33</f>
        <v>2.6239938918642025</v>
      </c>
      <c r="M30" s="99">
        <f>IS!M5/BS!M33</f>
        <v>2.6239938918642025</v>
      </c>
      <c r="N30" s="99">
        <f>IS!N5/BS!N33</f>
        <v>2.6239938918642025</v>
      </c>
      <c r="O30" s="99">
        <f>IS!O5/BS!O33</f>
        <v>2.6239938918642021</v>
      </c>
      <c r="P30" s="106">
        <f>IS!P5/BS!P33</f>
        <v>2.6239938918642021</v>
      </c>
    </row>
    <row r="31" spans="1:18" s="6" customFormat="1" x14ac:dyDescent="0.15">
      <c r="A31" s="39" t="s">
        <v>348</v>
      </c>
      <c r="B31" s="9"/>
      <c r="C31" s="23">
        <f>C32/C33</f>
        <v>8.0746458611140659E-2</v>
      </c>
      <c r="D31" s="23">
        <f t="shared" ref="D31:K31" si="0">D32/D33</f>
        <v>3.9995776754312685E-2</v>
      </c>
      <c r="E31" s="23">
        <f t="shared" si="0"/>
        <v>-5.1190698999071166E-2</v>
      </c>
      <c r="F31" s="23">
        <f t="shared" si="0"/>
        <v>-2.3479051737016501E-2</v>
      </c>
      <c r="G31" s="23">
        <f t="shared" si="0"/>
        <v>-2.1159660413516825E-2</v>
      </c>
      <c r="H31" s="23">
        <f t="shared" si="0"/>
        <v>-2.0287816050016474E-2</v>
      </c>
      <c r="I31" s="23">
        <f t="shared" si="0"/>
        <v>1.7058555612726161E-2</v>
      </c>
      <c r="J31" s="23">
        <f t="shared" si="0"/>
        <v>-0.11533455072915116</v>
      </c>
      <c r="K31" s="117">
        <f t="shared" si="0"/>
        <v>-4.0884521888540628E-3</v>
      </c>
      <c r="L31" s="100">
        <f t="shared" ref="L31" si="1">L32/L33</f>
        <v>8.2053467879992029E-2</v>
      </c>
      <c r="M31" s="100">
        <f t="shared" ref="M31" si="2">M32/M33</f>
        <v>0.12968688337354184</v>
      </c>
      <c r="N31" s="100">
        <f t="shared" ref="N31" si="3">N32/N33</f>
        <v>0.14546367792375267</v>
      </c>
      <c r="O31" s="100">
        <f t="shared" ref="O31" si="4">O32/O33</f>
        <v>0.13325514631366192</v>
      </c>
      <c r="P31" s="107">
        <f t="shared" ref="P31" si="5">P32/P33</f>
        <v>0.12467987400848951</v>
      </c>
      <c r="R31" s="7"/>
    </row>
    <row r="32" spans="1:18" s="35" customFormat="1" x14ac:dyDescent="0.15">
      <c r="A32" s="108" t="s">
        <v>347</v>
      </c>
      <c r="B32" s="21"/>
      <c r="C32" s="21">
        <f>C33-B33</f>
        <v>1966169000</v>
      </c>
      <c r="D32" s="21">
        <f t="shared" ref="D32:K32" si="6">D33-C33</f>
        <v>1014468000</v>
      </c>
      <c r="E32" s="21">
        <f t="shared" si="6"/>
        <v>-1235190000</v>
      </c>
      <c r="F32" s="21">
        <f t="shared" si="6"/>
        <v>-553534000</v>
      </c>
      <c r="G32" s="21">
        <f t="shared" si="6"/>
        <v>-488516000</v>
      </c>
      <c r="H32" s="21">
        <f t="shared" si="6"/>
        <v>-459074000</v>
      </c>
      <c r="I32" s="21">
        <f t="shared" si="6"/>
        <v>392701000</v>
      </c>
      <c r="J32" s="21">
        <f t="shared" si="6"/>
        <v>-2380532000</v>
      </c>
      <c r="K32" s="112">
        <f t="shared" si="6"/>
        <v>-84043000</v>
      </c>
      <c r="L32" s="101">
        <f t="shared" ref="L32" si="7">L33-K33</f>
        <v>1837478128.4968147</v>
      </c>
      <c r="M32" s="101">
        <f t="shared" ref="M32" si="8">M33-L33</f>
        <v>3336919749.2316399</v>
      </c>
      <c r="N32" s="101">
        <f t="shared" ref="N32" si="9">N33-M33</f>
        <v>4379996322.1466713</v>
      </c>
      <c r="O32" s="101">
        <f t="shared" ref="O32" si="10">O33-N33</f>
        <v>4629263486.3410683</v>
      </c>
      <c r="P32" s="109">
        <f t="shared" ref="P32" si="11">P33-O33</f>
        <v>4948315140.9151535</v>
      </c>
    </row>
    <row r="33" spans="1:16" s="6" customFormat="1" x14ac:dyDescent="0.15">
      <c r="A33" s="40" t="s">
        <v>133</v>
      </c>
      <c r="B33" s="21">
        <v>22383741000</v>
      </c>
      <c r="C33" s="21">
        <v>24349910000</v>
      </c>
      <c r="D33" s="21">
        <v>25364378000</v>
      </c>
      <c r="E33" s="21">
        <v>24129188000</v>
      </c>
      <c r="F33" s="21">
        <v>23575654000</v>
      </c>
      <c r="G33" s="21">
        <v>23087138000</v>
      </c>
      <c r="H33" s="21">
        <v>22628064000</v>
      </c>
      <c r="I33" s="21">
        <v>23020765000</v>
      </c>
      <c r="J33" s="21">
        <v>20640233000</v>
      </c>
      <c r="K33" s="112">
        <v>20556190000</v>
      </c>
      <c r="L33" s="32">
        <f>K33*(1+'Assumptions+DCF'!L12)</f>
        <v>22393668128.496815</v>
      </c>
      <c r="M33" s="32">
        <f>L33*(1+'Assumptions+DCF'!M12)</f>
        <v>25730587877.728455</v>
      </c>
      <c r="N33" s="32">
        <f>M33*(1+'Assumptions+DCF'!N12)</f>
        <v>30110584199.875126</v>
      </c>
      <c r="O33" s="32">
        <f>N33*(1+'Assumptions+DCF'!O12)</f>
        <v>34739847686.216194</v>
      </c>
      <c r="P33" s="105">
        <f>O33*(1+'Assumptions+DCF'!P12)</f>
        <v>39688162827.131348</v>
      </c>
    </row>
    <row r="34" spans="1:16" s="6" customFormat="1" hidden="1" x14ac:dyDescent="0.15">
      <c r="A34" s="40" t="s">
        <v>134</v>
      </c>
      <c r="B34" s="21">
        <v>25642710000</v>
      </c>
      <c r="C34" s="21">
        <v>28603965000</v>
      </c>
      <c r="D34" s="21">
        <v>30798335000</v>
      </c>
      <c r="E34" s="21">
        <v>30025387000</v>
      </c>
      <c r="F34" s="21">
        <v>25813254000</v>
      </c>
      <c r="G34" s="21">
        <v>26535057000</v>
      </c>
      <c r="H34" s="21">
        <v>27242054000</v>
      </c>
      <c r="I34" s="21">
        <v>28874690000</v>
      </c>
      <c r="J34" s="21">
        <v>26889862000</v>
      </c>
      <c r="K34" s="112">
        <v>26279763000</v>
      </c>
      <c r="L34" s="4"/>
      <c r="M34" s="4"/>
      <c r="N34" s="4"/>
      <c r="O34" s="4"/>
      <c r="P34" s="43"/>
    </row>
    <row r="35" spans="1:16" s="6" customFormat="1" hidden="1" x14ac:dyDescent="0.15">
      <c r="A35" s="40" t="s">
        <v>135</v>
      </c>
      <c r="B35" s="21">
        <v>1909900000</v>
      </c>
      <c r="C35" s="21">
        <v>3260221000</v>
      </c>
      <c r="D35" s="21">
        <v>4154415000</v>
      </c>
      <c r="E35" s="21">
        <v>3286594000</v>
      </c>
      <c r="F35" s="21">
        <v>3187752000</v>
      </c>
      <c r="G35" s="21">
        <v>3870319000</v>
      </c>
      <c r="H35" s="21">
        <v>4435921000</v>
      </c>
      <c r="I35" s="21">
        <v>4708242000</v>
      </c>
      <c r="J35" s="21">
        <v>4503877000</v>
      </c>
      <c r="K35" s="112">
        <v>4267139000</v>
      </c>
      <c r="L35" s="4"/>
      <c r="M35" s="4"/>
      <c r="N35" s="4"/>
      <c r="O35" s="4"/>
      <c r="P35" s="43"/>
    </row>
    <row r="36" spans="1:16" s="6" customFormat="1" hidden="1" x14ac:dyDescent="0.15">
      <c r="A36" s="40" t="s">
        <v>136</v>
      </c>
      <c r="B36" s="21">
        <v>517169000</v>
      </c>
      <c r="C36" s="21">
        <v>543992000</v>
      </c>
      <c r="D36" s="21">
        <v>1222668000</v>
      </c>
      <c r="E36" s="21">
        <v>517623000</v>
      </c>
      <c r="F36" s="21">
        <v>520395000</v>
      </c>
      <c r="G36" s="21">
        <v>1231589000</v>
      </c>
      <c r="H36" s="21">
        <v>1278462000</v>
      </c>
      <c r="I36" s="21">
        <v>1309624000</v>
      </c>
      <c r="J36" s="21">
        <v>1307237000</v>
      </c>
      <c r="K36" s="112">
        <v>1011535000</v>
      </c>
      <c r="L36" s="4"/>
      <c r="M36" s="4"/>
      <c r="N36" s="4"/>
      <c r="O36" s="4"/>
      <c r="P36" s="43"/>
    </row>
    <row r="37" spans="1:16" s="6" customFormat="1" hidden="1" x14ac:dyDescent="0.15">
      <c r="A37" s="40" t="s">
        <v>137</v>
      </c>
      <c r="B37" s="21">
        <v>1392731000</v>
      </c>
      <c r="C37" s="21">
        <v>2682466000</v>
      </c>
      <c r="D37" s="21">
        <v>2896648000</v>
      </c>
      <c r="E37" s="21">
        <v>2732586000</v>
      </c>
      <c r="F37" s="21">
        <v>2632188000</v>
      </c>
      <c r="G37" s="21">
        <v>2638730000</v>
      </c>
      <c r="H37" s="21">
        <v>3157459000</v>
      </c>
      <c r="I37" s="21">
        <v>3398618000</v>
      </c>
      <c r="J37" s="21">
        <v>3196640000</v>
      </c>
      <c r="K37" s="112">
        <v>3255604000</v>
      </c>
      <c r="L37" s="4"/>
      <c r="M37" s="4"/>
      <c r="N37" s="4"/>
      <c r="O37" s="4"/>
      <c r="P37" s="43"/>
    </row>
    <row r="38" spans="1:16" s="6" customFormat="1" hidden="1" x14ac:dyDescent="0.15">
      <c r="A38" s="40" t="s">
        <v>138</v>
      </c>
      <c r="B38" s="20" t="s">
        <v>16</v>
      </c>
      <c r="C38" s="21">
        <v>33763000</v>
      </c>
      <c r="D38" s="21">
        <v>35099000</v>
      </c>
      <c r="E38" s="21">
        <v>36385000</v>
      </c>
      <c r="F38" s="21">
        <v>35169000</v>
      </c>
      <c r="G38" s="20" t="s">
        <v>16</v>
      </c>
      <c r="H38" s="20" t="s">
        <v>16</v>
      </c>
      <c r="I38" s="20" t="s">
        <v>16</v>
      </c>
      <c r="J38" s="20" t="s">
        <v>16</v>
      </c>
      <c r="K38" s="114" t="s">
        <v>16</v>
      </c>
      <c r="L38" s="4"/>
      <c r="M38" s="4"/>
      <c r="N38" s="4"/>
      <c r="O38" s="4"/>
      <c r="P38" s="43"/>
    </row>
    <row r="39" spans="1:16" s="6" customFormat="1" hidden="1" x14ac:dyDescent="0.15">
      <c r="A39" s="40" t="s">
        <v>139</v>
      </c>
      <c r="B39" s="21">
        <v>11144204000</v>
      </c>
      <c r="C39" s="21">
        <v>23304621000</v>
      </c>
      <c r="D39" s="21">
        <v>24829450000</v>
      </c>
      <c r="E39" s="21">
        <v>23749740000</v>
      </c>
      <c r="F39" s="21">
        <v>20620448000</v>
      </c>
      <c r="G39" s="21">
        <v>20954367000</v>
      </c>
      <c r="H39" s="21">
        <v>21503729000</v>
      </c>
      <c r="I39" s="21">
        <v>22791881000</v>
      </c>
      <c r="J39" s="21">
        <v>20944243000</v>
      </c>
      <c r="K39" s="112">
        <v>15585218000</v>
      </c>
      <c r="L39" s="4"/>
      <c r="M39" s="4"/>
      <c r="N39" s="4"/>
      <c r="O39" s="4"/>
      <c r="P39" s="43"/>
    </row>
    <row r="40" spans="1:16" s="6" customFormat="1" hidden="1" x14ac:dyDescent="0.15">
      <c r="A40" s="40" t="s">
        <v>140</v>
      </c>
      <c r="B40" s="21">
        <v>10977182000</v>
      </c>
      <c r="C40" s="21">
        <v>23096884000</v>
      </c>
      <c r="D40" s="21">
        <v>24591126000</v>
      </c>
      <c r="E40" s="21">
        <v>23561976000</v>
      </c>
      <c r="F40" s="21">
        <v>20490418000</v>
      </c>
      <c r="G40" s="21">
        <v>20818602000</v>
      </c>
      <c r="H40" s="21">
        <v>21354721000</v>
      </c>
      <c r="I40" s="21">
        <v>22640426000</v>
      </c>
      <c r="J40" s="21">
        <v>20798421000</v>
      </c>
      <c r="K40" s="112">
        <v>15413772000</v>
      </c>
      <c r="L40" s="4"/>
      <c r="M40" s="4"/>
      <c r="N40" s="4"/>
      <c r="O40" s="4"/>
      <c r="P40" s="43"/>
    </row>
    <row r="41" spans="1:16" s="6" customFormat="1" hidden="1" x14ac:dyDescent="0.15">
      <c r="A41" s="40" t="s">
        <v>141</v>
      </c>
      <c r="B41" s="21">
        <v>48759000</v>
      </c>
      <c r="C41" s="21">
        <v>85686000</v>
      </c>
      <c r="D41" s="21">
        <v>95503000</v>
      </c>
      <c r="E41" s="21">
        <v>82191000</v>
      </c>
      <c r="F41" s="21">
        <v>63155000</v>
      </c>
      <c r="G41" s="21">
        <v>64014000</v>
      </c>
      <c r="H41" s="21">
        <v>64828000</v>
      </c>
      <c r="I41" s="21">
        <v>66002000</v>
      </c>
      <c r="J41" s="21">
        <v>59994000</v>
      </c>
      <c r="K41" s="112">
        <v>24105000</v>
      </c>
      <c r="L41" s="4"/>
      <c r="M41" s="4"/>
      <c r="N41" s="4"/>
      <c r="O41" s="4"/>
      <c r="P41" s="43"/>
    </row>
    <row r="42" spans="1:16" s="6" customFormat="1" hidden="1" x14ac:dyDescent="0.15">
      <c r="A42" s="40" t="s">
        <v>142</v>
      </c>
      <c r="B42" s="21">
        <v>118263000</v>
      </c>
      <c r="C42" s="21">
        <v>122051000</v>
      </c>
      <c r="D42" s="21">
        <v>142821000</v>
      </c>
      <c r="E42" s="21">
        <v>105573000</v>
      </c>
      <c r="F42" s="21">
        <v>66875000</v>
      </c>
      <c r="G42" s="21">
        <v>71751000</v>
      </c>
      <c r="H42" s="21">
        <v>84180000</v>
      </c>
      <c r="I42" s="21">
        <v>85453000</v>
      </c>
      <c r="J42" s="21">
        <v>85828000</v>
      </c>
      <c r="K42" s="112">
        <v>147341000</v>
      </c>
      <c r="L42" s="4"/>
      <c r="M42" s="4"/>
      <c r="N42" s="4"/>
      <c r="O42" s="4"/>
      <c r="P42" s="43"/>
    </row>
    <row r="43" spans="1:16" s="6" customFormat="1" hidden="1" x14ac:dyDescent="0.15">
      <c r="A43" s="40" t="s">
        <v>143</v>
      </c>
      <c r="B43" s="21">
        <v>11886977000</v>
      </c>
      <c r="C43" s="21">
        <v>1369851000</v>
      </c>
      <c r="D43" s="21">
        <v>1814469000</v>
      </c>
      <c r="E43" s="21">
        <v>2343495000</v>
      </c>
      <c r="F43" s="21">
        <v>1354941000</v>
      </c>
      <c r="G43" s="21">
        <v>1710371000</v>
      </c>
      <c r="H43" s="21">
        <v>1302404000</v>
      </c>
      <c r="I43" s="21">
        <v>1374567000</v>
      </c>
      <c r="J43" s="21">
        <v>1441742000</v>
      </c>
      <c r="K43" s="112">
        <v>6427406000</v>
      </c>
      <c r="L43" s="4"/>
      <c r="M43" s="4"/>
      <c r="N43" s="4"/>
      <c r="O43" s="4"/>
      <c r="P43" s="43"/>
    </row>
    <row r="44" spans="1:16" s="6" customFormat="1" hidden="1" x14ac:dyDescent="0.15">
      <c r="A44" s="40" t="s">
        <v>144</v>
      </c>
      <c r="B44" s="21">
        <v>667866000</v>
      </c>
      <c r="C44" s="21">
        <v>669272000</v>
      </c>
      <c r="D44" s="21">
        <v>1000</v>
      </c>
      <c r="E44" s="21">
        <v>645558000</v>
      </c>
      <c r="F44" s="21">
        <v>650113000</v>
      </c>
      <c r="G44" s="20" t="s">
        <v>16</v>
      </c>
      <c r="H44" s="20" t="s">
        <v>16</v>
      </c>
      <c r="I44" s="20" t="s">
        <v>16</v>
      </c>
      <c r="J44" s="20" t="s">
        <v>16</v>
      </c>
      <c r="K44" s="114" t="s">
        <v>16</v>
      </c>
      <c r="L44" s="4"/>
      <c r="M44" s="4"/>
      <c r="N44" s="4"/>
      <c r="O44" s="4"/>
      <c r="P44" s="43"/>
    </row>
    <row r="45" spans="1:16" s="6" customFormat="1" hidden="1" x14ac:dyDescent="0.15">
      <c r="A45" s="40" t="s">
        <v>145</v>
      </c>
      <c r="B45" s="21">
        <v>33763000</v>
      </c>
      <c r="C45" s="20" t="s">
        <v>16</v>
      </c>
      <c r="D45" s="20" t="s">
        <v>16</v>
      </c>
      <c r="E45" s="20" t="s">
        <v>16</v>
      </c>
      <c r="F45" s="20" t="s">
        <v>16</v>
      </c>
      <c r="G45" s="20" t="s">
        <v>16</v>
      </c>
      <c r="H45" s="20" t="s">
        <v>16</v>
      </c>
      <c r="I45" s="20" t="s">
        <v>16</v>
      </c>
      <c r="J45" s="20" t="s">
        <v>16</v>
      </c>
      <c r="K45" s="114" t="s">
        <v>16</v>
      </c>
      <c r="L45" s="4"/>
      <c r="M45" s="4"/>
      <c r="N45" s="4"/>
      <c r="O45" s="4"/>
      <c r="P45" s="43"/>
    </row>
    <row r="46" spans="1:16" s="6" customFormat="1" hidden="1" x14ac:dyDescent="0.15">
      <c r="A46" s="40" t="s">
        <v>146</v>
      </c>
      <c r="B46" s="21">
        <v>-3258969000</v>
      </c>
      <c r="C46" s="21">
        <v>-4254055000</v>
      </c>
      <c r="D46" s="21">
        <v>-5433957000</v>
      </c>
      <c r="E46" s="21">
        <v>-5896199000</v>
      </c>
      <c r="F46" s="21">
        <v>-2237600000</v>
      </c>
      <c r="G46" s="21">
        <v>-3447919000</v>
      </c>
      <c r="H46" s="21">
        <v>-4613990000</v>
      </c>
      <c r="I46" s="21">
        <v>-5853925000</v>
      </c>
      <c r="J46" s="21">
        <v>-6249629000</v>
      </c>
      <c r="K46" s="112">
        <v>-5723573000</v>
      </c>
      <c r="L46" s="4"/>
      <c r="M46" s="4"/>
      <c r="N46" s="4"/>
      <c r="O46" s="4"/>
      <c r="P46" s="43"/>
    </row>
    <row r="47" spans="1:16" s="6" customFormat="1" hidden="1" x14ac:dyDescent="0.15">
      <c r="A47" s="40" t="s">
        <v>147</v>
      </c>
      <c r="B47" s="21">
        <v>-3258969000</v>
      </c>
      <c r="C47" s="21">
        <v>-4254055000</v>
      </c>
      <c r="D47" s="21">
        <v>-5433957000</v>
      </c>
      <c r="E47" s="21">
        <v>-5896199000</v>
      </c>
      <c r="F47" s="21">
        <v>-2237600000</v>
      </c>
      <c r="G47" s="21">
        <v>-3447919000</v>
      </c>
      <c r="H47" s="21">
        <v>-4613990000</v>
      </c>
      <c r="I47" s="21">
        <v>-5853925000</v>
      </c>
      <c r="J47" s="21">
        <v>-6249629000</v>
      </c>
      <c r="K47" s="112">
        <v>-5723573000</v>
      </c>
      <c r="L47" s="4"/>
      <c r="M47" s="4"/>
      <c r="N47" s="4"/>
      <c r="O47" s="4"/>
      <c r="P47" s="43"/>
    </row>
    <row r="48" spans="1:16" s="6" customFormat="1" hidden="1" x14ac:dyDescent="0.15">
      <c r="A48" s="40" t="s">
        <v>148</v>
      </c>
      <c r="B48" s="21">
        <v>-178895000</v>
      </c>
      <c r="C48" s="21">
        <v>-231599000</v>
      </c>
      <c r="D48" s="21">
        <v>-403332000</v>
      </c>
      <c r="E48" s="21">
        <v>-532499000</v>
      </c>
      <c r="F48" s="21">
        <v>-309954000</v>
      </c>
      <c r="G48" s="21">
        <v>-443985000</v>
      </c>
      <c r="H48" s="21">
        <v>-570815000</v>
      </c>
      <c r="I48" s="21">
        <v>-704364000</v>
      </c>
      <c r="J48" s="21">
        <v>-713240000</v>
      </c>
      <c r="K48" s="112">
        <v>-814179000</v>
      </c>
      <c r="L48" s="4"/>
      <c r="M48" s="4"/>
      <c r="N48" s="4"/>
      <c r="O48" s="4"/>
      <c r="P48" s="43"/>
    </row>
    <row r="49" spans="1:16" s="6" customFormat="1" hidden="1" x14ac:dyDescent="0.15">
      <c r="A49" s="40" t="s">
        <v>149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-743000</v>
      </c>
      <c r="H49" s="21">
        <v>-1321000</v>
      </c>
      <c r="I49" s="21">
        <v>-1911000</v>
      </c>
      <c r="J49" s="21">
        <v>-2501000</v>
      </c>
      <c r="K49" s="112">
        <v>-3125000</v>
      </c>
      <c r="L49" s="4"/>
      <c r="M49" s="4"/>
      <c r="N49" s="4"/>
      <c r="O49" s="4"/>
      <c r="P49" s="43"/>
    </row>
    <row r="50" spans="1:16" s="6" customFormat="1" hidden="1" x14ac:dyDescent="0.15">
      <c r="A50" s="40" t="s">
        <v>150</v>
      </c>
      <c r="B50" s="21">
        <v>-178895000</v>
      </c>
      <c r="C50" s="21">
        <v>-230497000</v>
      </c>
      <c r="D50" s="21">
        <v>-402115000</v>
      </c>
      <c r="E50" s="21">
        <v>-531072000</v>
      </c>
      <c r="F50" s="21">
        <v>-309477000</v>
      </c>
      <c r="G50" s="21">
        <v>-443242000</v>
      </c>
      <c r="H50" s="21">
        <v>-569494000</v>
      </c>
      <c r="I50" s="21">
        <v>-702453000</v>
      </c>
      <c r="J50" s="21">
        <v>-710739000</v>
      </c>
      <c r="K50" s="112">
        <v>-811054000</v>
      </c>
      <c r="L50" s="4"/>
      <c r="M50" s="4"/>
      <c r="N50" s="4"/>
      <c r="O50" s="4"/>
      <c r="P50" s="43"/>
    </row>
    <row r="51" spans="1:16" s="6" customFormat="1" hidden="1" x14ac:dyDescent="0.15">
      <c r="A51" s="40" t="s">
        <v>151</v>
      </c>
      <c r="B51" s="20" t="s">
        <v>16</v>
      </c>
      <c r="C51" s="21">
        <v>-1102000</v>
      </c>
      <c r="D51" s="21">
        <v>-1217000</v>
      </c>
      <c r="E51" s="21">
        <v>-1427000</v>
      </c>
      <c r="F51" s="21">
        <v>-477000</v>
      </c>
      <c r="G51" s="20" t="s">
        <v>16</v>
      </c>
      <c r="H51" s="20" t="s">
        <v>16</v>
      </c>
      <c r="I51" s="20" t="s">
        <v>16</v>
      </c>
      <c r="J51" s="20" t="s">
        <v>16</v>
      </c>
      <c r="K51" s="114" t="s">
        <v>16</v>
      </c>
      <c r="L51" s="4"/>
      <c r="M51" s="4"/>
      <c r="N51" s="4"/>
      <c r="O51" s="4"/>
      <c r="P51" s="43"/>
    </row>
    <row r="52" spans="1:16" s="6" customFormat="1" hidden="1" x14ac:dyDescent="0.15">
      <c r="A52" s="40" t="s">
        <v>152</v>
      </c>
      <c r="B52" s="21">
        <v>-3079324000</v>
      </c>
      <c r="C52" s="21">
        <v>-4022456000</v>
      </c>
      <c r="D52" s="21">
        <v>-5030624000</v>
      </c>
      <c r="E52" s="21">
        <v>-5465003000</v>
      </c>
      <c r="F52" s="21">
        <v>-1927644000</v>
      </c>
      <c r="G52" s="21">
        <v>-3003934000</v>
      </c>
      <c r="H52" s="21">
        <v>-4043175000</v>
      </c>
      <c r="I52" s="21">
        <v>-5149561000</v>
      </c>
      <c r="J52" s="21">
        <v>-5536389000</v>
      </c>
      <c r="K52" s="112">
        <v>-4909394000</v>
      </c>
      <c r="L52" s="4"/>
      <c r="M52" s="4"/>
      <c r="N52" s="4"/>
      <c r="O52" s="4"/>
      <c r="P52" s="43"/>
    </row>
    <row r="53" spans="1:16" s="6" customFormat="1" hidden="1" x14ac:dyDescent="0.15">
      <c r="A53" s="40" t="s">
        <v>153</v>
      </c>
      <c r="B53" s="21">
        <v>-3031641000</v>
      </c>
      <c r="C53" s="21">
        <v>-3962147000</v>
      </c>
      <c r="D53" s="21">
        <v>-4947929000</v>
      </c>
      <c r="E53" s="21">
        <v>-5370597000</v>
      </c>
      <c r="F53" s="21">
        <v>-1889961000</v>
      </c>
      <c r="G53" s="21">
        <v>-2952248000</v>
      </c>
      <c r="H53" s="21">
        <v>-3976763000</v>
      </c>
      <c r="I53" s="21">
        <v>-5073376000</v>
      </c>
      <c r="J53" s="21">
        <v>-5462328000</v>
      </c>
      <c r="K53" s="112">
        <v>-4852334000</v>
      </c>
      <c r="L53" s="4"/>
      <c r="M53" s="4"/>
      <c r="N53" s="4"/>
      <c r="O53" s="4"/>
      <c r="P53" s="43"/>
    </row>
    <row r="54" spans="1:16" s="6" customFormat="1" hidden="1" x14ac:dyDescent="0.15">
      <c r="A54" s="40" t="s">
        <v>154</v>
      </c>
      <c r="B54" s="21">
        <v>-11929000</v>
      </c>
      <c r="C54" s="21">
        <v>-14849000</v>
      </c>
      <c r="D54" s="21">
        <v>-25801000</v>
      </c>
      <c r="E54" s="21">
        <v>-29667000</v>
      </c>
      <c r="F54" s="21">
        <v>-17331000</v>
      </c>
      <c r="G54" s="21">
        <v>-25467000</v>
      </c>
      <c r="H54" s="21">
        <v>-33086000</v>
      </c>
      <c r="I54" s="21">
        <v>-39712000</v>
      </c>
      <c r="J54" s="21">
        <v>-40674000</v>
      </c>
      <c r="K54" s="112">
        <v>-11993000</v>
      </c>
      <c r="L54" s="4"/>
      <c r="M54" s="4"/>
      <c r="N54" s="4"/>
      <c r="O54" s="4"/>
      <c r="P54" s="43"/>
    </row>
    <row r="55" spans="1:16" s="6" customFormat="1" hidden="1" x14ac:dyDescent="0.15">
      <c r="A55" s="40" t="s">
        <v>155</v>
      </c>
      <c r="B55" s="21">
        <v>-35754000</v>
      </c>
      <c r="C55" s="21">
        <v>-45460000</v>
      </c>
      <c r="D55" s="21">
        <v>-56894000</v>
      </c>
      <c r="E55" s="21">
        <v>-64739000</v>
      </c>
      <c r="F55" s="21">
        <v>-20352000</v>
      </c>
      <c r="G55" s="21">
        <v>-26219000</v>
      </c>
      <c r="H55" s="21">
        <v>-33326000</v>
      </c>
      <c r="I55" s="21">
        <v>-36473000</v>
      </c>
      <c r="J55" s="21">
        <v>-33387000</v>
      </c>
      <c r="K55" s="112">
        <v>-45067000</v>
      </c>
      <c r="L55" s="4"/>
      <c r="M55" s="4"/>
      <c r="N55" s="4"/>
      <c r="O55" s="4"/>
      <c r="P55" s="43"/>
    </row>
    <row r="56" spans="1:16" s="6" customFormat="1" hidden="1" x14ac:dyDescent="0.15">
      <c r="A56" s="40" t="s">
        <v>156</v>
      </c>
      <c r="B56" s="20" t="s">
        <v>16</v>
      </c>
      <c r="C56" s="20" t="s">
        <v>16</v>
      </c>
      <c r="D56" s="21">
        <v>-1000</v>
      </c>
      <c r="E56" s="21">
        <v>101303000</v>
      </c>
      <c r="F56" s="21">
        <v>-2000</v>
      </c>
      <c r="G56" s="20" t="s">
        <v>16</v>
      </c>
      <c r="H56" s="20" t="s">
        <v>16</v>
      </c>
      <c r="I56" s="20" t="s">
        <v>16</v>
      </c>
      <c r="J56" s="20" t="s">
        <v>16</v>
      </c>
      <c r="K56" s="114" t="s">
        <v>16</v>
      </c>
      <c r="L56" s="4"/>
      <c r="M56" s="4"/>
      <c r="N56" s="4"/>
      <c r="O56" s="4"/>
      <c r="P56" s="43"/>
    </row>
    <row r="57" spans="1:16" s="6" customFormat="1" hidden="1" x14ac:dyDescent="0.15">
      <c r="A57" s="40" t="s">
        <v>157</v>
      </c>
      <c r="B57" s="21">
        <v>-750000</v>
      </c>
      <c r="C57" s="20" t="s">
        <v>16</v>
      </c>
      <c r="D57" s="20" t="s">
        <v>16</v>
      </c>
      <c r="E57" s="20" t="s">
        <v>16</v>
      </c>
      <c r="F57" s="20" t="s">
        <v>16</v>
      </c>
      <c r="G57" s="20" t="s">
        <v>16</v>
      </c>
      <c r="H57" s="20" t="s">
        <v>16</v>
      </c>
      <c r="I57" s="20" t="s">
        <v>16</v>
      </c>
      <c r="J57" s="20" t="s">
        <v>16</v>
      </c>
      <c r="K57" s="114" t="s">
        <v>16</v>
      </c>
      <c r="L57" s="4"/>
      <c r="M57" s="4"/>
      <c r="N57" s="4"/>
      <c r="O57" s="4"/>
      <c r="P57" s="43"/>
    </row>
    <row r="58" spans="1:16" s="6" customFormat="1" hidden="1" x14ac:dyDescent="0.15">
      <c r="A58" s="40" t="s">
        <v>158</v>
      </c>
      <c r="B58" s="20" t="s">
        <v>16</v>
      </c>
      <c r="C58" s="20" t="s">
        <v>16</v>
      </c>
      <c r="D58" s="20" t="s">
        <v>16</v>
      </c>
      <c r="E58" s="20" t="s">
        <v>16</v>
      </c>
      <c r="F58" s="20" t="s">
        <v>16</v>
      </c>
      <c r="G58" s="21">
        <v>1162716000</v>
      </c>
      <c r="H58" s="21">
        <v>1068096000</v>
      </c>
      <c r="I58" s="21">
        <v>973476000</v>
      </c>
      <c r="J58" s="21">
        <v>878856000</v>
      </c>
      <c r="K58" s="112">
        <v>784236000</v>
      </c>
      <c r="L58" s="4"/>
      <c r="M58" s="4"/>
      <c r="N58" s="4"/>
      <c r="O58" s="4"/>
      <c r="P58" s="43"/>
    </row>
    <row r="59" spans="1:16" s="6" customFormat="1" hidden="1" x14ac:dyDescent="0.15">
      <c r="A59" s="40" t="s">
        <v>159</v>
      </c>
      <c r="B59" s="20" t="s">
        <v>16</v>
      </c>
      <c r="C59" s="20" t="s">
        <v>16</v>
      </c>
      <c r="D59" s="20" t="s">
        <v>16</v>
      </c>
      <c r="E59" s="20" t="s">
        <v>16</v>
      </c>
      <c r="F59" s="20" t="s">
        <v>16</v>
      </c>
      <c r="G59" s="21">
        <v>1353455000</v>
      </c>
      <c r="H59" s="21">
        <v>1353455000</v>
      </c>
      <c r="I59" s="21">
        <v>1353455000</v>
      </c>
      <c r="J59" s="21">
        <v>1353455000</v>
      </c>
      <c r="K59" s="112">
        <v>1353455000</v>
      </c>
      <c r="L59" s="4"/>
      <c r="M59" s="4"/>
      <c r="N59" s="4"/>
      <c r="O59" s="4"/>
      <c r="P59" s="43"/>
    </row>
    <row r="60" spans="1:16" s="6" customFormat="1" hidden="1" x14ac:dyDescent="0.15">
      <c r="A60" s="40" t="s">
        <v>160</v>
      </c>
      <c r="B60" s="20" t="s">
        <v>16</v>
      </c>
      <c r="C60" s="20" t="s">
        <v>16</v>
      </c>
      <c r="D60" s="20" t="s">
        <v>16</v>
      </c>
      <c r="E60" s="20" t="s">
        <v>16</v>
      </c>
      <c r="F60" s="20" t="s">
        <v>16</v>
      </c>
      <c r="G60" s="21">
        <v>-190739000</v>
      </c>
      <c r="H60" s="21">
        <v>-285359000</v>
      </c>
      <c r="I60" s="21">
        <v>-379979000</v>
      </c>
      <c r="J60" s="21">
        <v>-474599000</v>
      </c>
      <c r="K60" s="112">
        <v>-569219000</v>
      </c>
      <c r="L60" s="4"/>
      <c r="M60" s="4"/>
      <c r="N60" s="4"/>
      <c r="O60" s="4"/>
      <c r="P60" s="43"/>
    </row>
    <row r="61" spans="1:16" s="6" customFormat="1" hidden="1" x14ac:dyDescent="0.15">
      <c r="A61" s="40" t="s">
        <v>161</v>
      </c>
      <c r="B61" s="21">
        <v>213901000</v>
      </c>
      <c r="C61" s="21">
        <v>300826000</v>
      </c>
      <c r="D61" s="21">
        <v>533031000</v>
      </c>
      <c r="E61" s="21">
        <v>993944000</v>
      </c>
      <c r="F61" s="21">
        <v>1046801000</v>
      </c>
      <c r="G61" s="21">
        <v>104736000</v>
      </c>
      <c r="H61" s="21">
        <v>87921000</v>
      </c>
      <c r="I61" s="21">
        <v>73423000</v>
      </c>
      <c r="J61" s="21">
        <v>50471000</v>
      </c>
      <c r="K61" s="112">
        <v>382541000</v>
      </c>
      <c r="L61" s="4"/>
      <c r="M61" s="4"/>
      <c r="N61" s="4"/>
      <c r="O61" s="4"/>
      <c r="P61" s="43"/>
    </row>
    <row r="62" spans="1:16" s="6" customFormat="1" hidden="1" x14ac:dyDescent="0.15">
      <c r="A62" s="40" t="s">
        <v>162</v>
      </c>
      <c r="B62" s="20" t="s">
        <v>16</v>
      </c>
      <c r="C62" s="20" t="s">
        <v>16</v>
      </c>
      <c r="D62" s="20" t="s">
        <v>16</v>
      </c>
      <c r="E62" s="20" t="s">
        <v>16</v>
      </c>
      <c r="F62" s="20" t="s">
        <v>16</v>
      </c>
      <c r="G62" s="21">
        <v>138919000</v>
      </c>
      <c r="H62" s="21">
        <v>138919000</v>
      </c>
      <c r="I62" s="21">
        <v>138919000</v>
      </c>
      <c r="J62" s="21">
        <v>99297000</v>
      </c>
      <c r="K62" s="112">
        <v>436167000</v>
      </c>
      <c r="L62" s="4"/>
      <c r="M62" s="4"/>
      <c r="N62" s="4"/>
      <c r="O62" s="4"/>
      <c r="P62" s="43"/>
    </row>
    <row r="63" spans="1:16" s="6" customFormat="1" hidden="1" x14ac:dyDescent="0.15">
      <c r="A63" s="40" t="s">
        <v>163</v>
      </c>
      <c r="B63" s="20" t="s">
        <v>16</v>
      </c>
      <c r="C63" s="20" t="s">
        <v>16</v>
      </c>
      <c r="D63" s="20" t="s">
        <v>16</v>
      </c>
      <c r="E63" s="20" t="s">
        <v>16</v>
      </c>
      <c r="F63" s="20" t="s">
        <v>16</v>
      </c>
      <c r="G63" s="20" t="s">
        <v>16</v>
      </c>
      <c r="H63" s="20" t="s">
        <v>16</v>
      </c>
      <c r="I63" s="20" t="s">
        <v>16</v>
      </c>
      <c r="J63" s="20" t="s">
        <v>16</v>
      </c>
      <c r="K63" s="112">
        <v>341311000</v>
      </c>
      <c r="L63" s="4"/>
      <c r="M63" s="4"/>
      <c r="N63" s="4"/>
      <c r="O63" s="4"/>
      <c r="P63" s="43"/>
    </row>
    <row r="64" spans="1:16" s="6" customFormat="1" hidden="1" x14ac:dyDescent="0.15">
      <c r="A64" s="40" t="s">
        <v>164</v>
      </c>
      <c r="B64" s="20" t="s">
        <v>16</v>
      </c>
      <c r="C64" s="20" t="s">
        <v>16</v>
      </c>
      <c r="D64" s="20" t="s">
        <v>16</v>
      </c>
      <c r="E64" s="20" t="s">
        <v>16</v>
      </c>
      <c r="F64" s="20" t="s">
        <v>16</v>
      </c>
      <c r="G64" s="21">
        <v>138919000</v>
      </c>
      <c r="H64" s="21">
        <v>138919000</v>
      </c>
      <c r="I64" s="21">
        <v>138919000</v>
      </c>
      <c r="J64" s="21">
        <v>99297000</v>
      </c>
      <c r="K64" s="112">
        <v>94856000</v>
      </c>
      <c r="L64" s="4"/>
      <c r="M64" s="4"/>
      <c r="N64" s="4"/>
      <c r="O64" s="4"/>
      <c r="P64" s="43"/>
    </row>
    <row r="65" spans="1:16" s="6" customFormat="1" hidden="1" x14ac:dyDescent="0.15">
      <c r="A65" s="40" t="s">
        <v>165</v>
      </c>
      <c r="B65" s="20" t="s">
        <v>16</v>
      </c>
      <c r="C65" s="20" t="s">
        <v>16</v>
      </c>
      <c r="D65" s="20" t="s">
        <v>16</v>
      </c>
      <c r="E65" s="20" t="s">
        <v>16</v>
      </c>
      <c r="F65" s="20" t="s">
        <v>16</v>
      </c>
      <c r="G65" s="21">
        <v>40000000</v>
      </c>
      <c r="H65" s="21">
        <v>40000000</v>
      </c>
      <c r="I65" s="21">
        <v>40000000</v>
      </c>
      <c r="J65" s="21">
        <v>0</v>
      </c>
      <c r="K65" s="112">
        <v>0</v>
      </c>
      <c r="L65" s="4"/>
      <c r="M65" s="4"/>
      <c r="N65" s="4"/>
      <c r="O65" s="4"/>
      <c r="P65" s="43"/>
    </row>
    <row r="66" spans="1:16" s="6" customFormat="1" hidden="1" x14ac:dyDescent="0.15">
      <c r="A66" s="40" t="s">
        <v>166</v>
      </c>
      <c r="B66" s="20" t="s">
        <v>16</v>
      </c>
      <c r="C66" s="20" t="s">
        <v>16</v>
      </c>
      <c r="D66" s="20" t="s">
        <v>16</v>
      </c>
      <c r="E66" s="20" t="s">
        <v>16</v>
      </c>
      <c r="F66" s="20" t="s">
        <v>16</v>
      </c>
      <c r="G66" s="21">
        <v>98919000</v>
      </c>
      <c r="H66" s="21">
        <v>98919000</v>
      </c>
      <c r="I66" s="21">
        <v>98919000</v>
      </c>
      <c r="J66" s="21">
        <v>99297000</v>
      </c>
      <c r="K66" s="112">
        <v>94856000</v>
      </c>
      <c r="L66" s="4"/>
      <c r="M66" s="4"/>
      <c r="N66" s="4"/>
      <c r="O66" s="4"/>
      <c r="P66" s="43"/>
    </row>
    <row r="67" spans="1:16" s="6" customFormat="1" hidden="1" x14ac:dyDescent="0.15">
      <c r="A67" s="40" t="s">
        <v>167</v>
      </c>
      <c r="B67" s="20" t="s">
        <v>16</v>
      </c>
      <c r="C67" s="20" t="s">
        <v>16</v>
      </c>
      <c r="D67" s="20" t="s">
        <v>16</v>
      </c>
      <c r="E67" s="20" t="s">
        <v>16</v>
      </c>
      <c r="F67" s="20" t="s">
        <v>16</v>
      </c>
      <c r="G67" s="21">
        <v>0</v>
      </c>
      <c r="H67" s="20" t="s">
        <v>16</v>
      </c>
      <c r="I67" s="20" t="s">
        <v>16</v>
      </c>
      <c r="J67" s="20" t="s">
        <v>16</v>
      </c>
      <c r="K67" s="114" t="s">
        <v>16</v>
      </c>
      <c r="L67" s="4"/>
      <c r="M67" s="4"/>
      <c r="N67" s="4"/>
      <c r="O67" s="4"/>
      <c r="P67" s="43"/>
    </row>
    <row r="68" spans="1:16" s="6" customFormat="1" hidden="1" x14ac:dyDescent="0.15">
      <c r="A68" s="40" t="s">
        <v>168</v>
      </c>
      <c r="B68" s="20" t="s">
        <v>16</v>
      </c>
      <c r="C68" s="20" t="s">
        <v>16</v>
      </c>
      <c r="D68" s="20" t="s">
        <v>16</v>
      </c>
      <c r="E68" s="20" t="s">
        <v>16</v>
      </c>
      <c r="F68" s="20" t="s">
        <v>16</v>
      </c>
      <c r="G68" s="21">
        <v>-34183000</v>
      </c>
      <c r="H68" s="21">
        <v>-50998000</v>
      </c>
      <c r="I68" s="21">
        <v>-65496000</v>
      </c>
      <c r="J68" s="21">
        <v>-48826000</v>
      </c>
      <c r="K68" s="112">
        <v>-53626000</v>
      </c>
      <c r="L68" s="4"/>
      <c r="M68" s="4"/>
      <c r="N68" s="4"/>
      <c r="O68" s="4"/>
      <c r="P68" s="43"/>
    </row>
    <row r="69" spans="1:16" s="6" customFormat="1" hidden="1" x14ac:dyDescent="0.15">
      <c r="A69" s="40" t="s">
        <v>169</v>
      </c>
      <c r="B69" s="20" t="s">
        <v>16</v>
      </c>
      <c r="C69" s="20" t="s">
        <v>16</v>
      </c>
      <c r="D69" s="20" t="s">
        <v>16</v>
      </c>
      <c r="E69" s="20" t="s">
        <v>16</v>
      </c>
      <c r="F69" s="20" t="s">
        <v>16</v>
      </c>
      <c r="G69" s="21">
        <v>-34183000</v>
      </c>
      <c r="H69" s="21">
        <v>-50998000</v>
      </c>
      <c r="I69" s="21">
        <v>-65496000</v>
      </c>
      <c r="J69" s="21">
        <v>-48826000</v>
      </c>
      <c r="K69" s="112">
        <v>-53626000</v>
      </c>
      <c r="L69" s="4"/>
      <c r="M69" s="4"/>
      <c r="N69" s="4"/>
      <c r="O69" s="4"/>
      <c r="P69" s="43"/>
    </row>
    <row r="70" spans="1:16" s="6" customFormat="1" hidden="1" x14ac:dyDescent="0.15">
      <c r="A70" s="40" t="s">
        <v>170</v>
      </c>
      <c r="B70" s="20" t="s">
        <v>16</v>
      </c>
      <c r="C70" s="20" t="s">
        <v>16</v>
      </c>
      <c r="D70" s="20" t="s">
        <v>16</v>
      </c>
      <c r="E70" s="20" t="s">
        <v>16</v>
      </c>
      <c r="F70" s="20" t="s">
        <v>16</v>
      </c>
      <c r="G70" s="21">
        <v>-34183000</v>
      </c>
      <c r="H70" s="21">
        <v>-50998000</v>
      </c>
      <c r="I70" s="21">
        <v>-65496000</v>
      </c>
      <c r="J70" s="21">
        <v>-48826000</v>
      </c>
      <c r="K70" s="112">
        <v>-53626000</v>
      </c>
      <c r="L70" s="4"/>
      <c r="M70" s="4"/>
      <c r="N70" s="4"/>
      <c r="O70" s="4"/>
      <c r="P70" s="43"/>
    </row>
    <row r="71" spans="1:16" s="6" customFormat="1" hidden="1" x14ac:dyDescent="0.15">
      <c r="A71" s="40" t="s">
        <v>171</v>
      </c>
      <c r="B71" s="20" t="s">
        <v>16</v>
      </c>
      <c r="C71" s="20" t="s">
        <v>16</v>
      </c>
      <c r="D71" s="20" t="s">
        <v>16</v>
      </c>
      <c r="E71" s="20" t="s">
        <v>16</v>
      </c>
      <c r="F71" s="20" t="s">
        <v>16</v>
      </c>
      <c r="G71" s="21">
        <v>-15000000</v>
      </c>
      <c r="H71" s="21">
        <v>-20000000</v>
      </c>
      <c r="I71" s="21">
        <v>-25000000</v>
      </c>
      <c r="J71" s="21">
        <v>0</v>
      </c>
      <c r="K71" s="112">
        <v>0</v>
      </c>
      <c r="L71" s="4"/>
      <c r="M71" s="4"/>
      <c r="N71" s="4"/>
      <c r="O71" s="4"/>
      <c r="P71" s="43"/>
    </row>
    <row r="72" spans="1:16" s="6" customFormat="1" hidden="1" x14ac:dyDescent="0.15">
      <c r="A72" s="40" t="s">
        <v>172</v>
      </c>
      <c r="B72" s="20" t="s">
        <v>16</v>
      </c>
      <c r="C72" s="20" t="s">
        <v>16</v>
      </c>
      <c r="D72" s="20" t="s">
        <v>16</v>
      </c>
      <c r="E72" s="20" t="s">
        <v>16</v>
      </c>
      <c r="F72" s="20" t="s">
        <v>16</v>
      </c>
      <c r="G72" s="21">
        <v>-19183000</v>
      </c>
      <c r="H72" s="21">
        <v>-30998000</v>
      </c>
      <c r="I72" s="21">
        <v>-40496000</v>
      </c>
      <c r="J72" s="21">
        <v>-48826000</v>
      </c>
      <c r="K72" s="112">
        <v>-53626000</v>
      </c>
      <c r="L72" s="4"/>
      <c r="M72" s="4"/>
      <c r="N72" s="4"/>
      <c r="O72" s="4"/>
      <c r="P72" s="43"/>
    </row>
    <row r="73" spans="1:16" s="6" customFormat="1" hidden="1" x14ac:dyDescent="0.15">
      <c r="A73" s="40" t="s">
        <v>173</v>
      </c>
      <c r="B73" s="21">
        <v>166431000</v>
      </c>
      <c r="C73" s="21">
        <v>496665000</v>
      </c>
      <c r="D73" s="21">
        <v>663886000</v>
      </c>
      <c r="E73" s="21">
        <v>1080691000</v>
      </c>
      <c r="F73" s="21">
        <v>1099219000</v>
      </c>
      <c r="G73" s="21">
        <v>1310735000</v>
      </c>
      <c r="H73" s="21">
        <v>1320349000</v>
      </c>
      <c r="I73" s="21">
        <v>1234771000</v>
      </c>
      <c r="J73" s="21">
        <v>2774843000</v>
      </c>
      <c r="K73" s="112">
        <v>2732009000</v>
      </c>
      <c r="L73" s="4"/>
      <c r="M73" s="4"/>
      <c r="N73" s="4"/>
      <c r="O73" s="4"/>
      <c r="P73" s="43"/>
    </row>
    <row r="74" spans="1:16" s="6" customFormat="1" hidden="1" x14ac:dyDescent="0.15">
      <c r="A74" s="40" t="s">
        <v>174</v>
      </c>
      <c r="B74" s="20" t="s">
        <v>16</v>
      </c>
      <c r="C74" s="20" t="s">
        <v>16</v>
      </c>
      <c r="D74" s="20" t="s">
        <v>16</v>
      </c>
      <c r="E74" s="20" t="s">
        <v>16</v>
      </c>
      <c r="F74" s="21">
        <v>1026877000</v>
      </c>
      <c r="G74" s="21">
        <v>1240728000</v>
      </c>
      <c r="H74" s="21">
        <v>1164547000</v>
      </c>
      <c r="I74" s="21">
        <v>1115784000</v>
      </c>
      <c r="J74" s="21">
        <v>2734688000</v>
      </c>
      <c r="K74" s="112">
        <v>2074341000</v>
      </c>
      <c r="L74" s="4"/>
      <c r="M74" s="4"/>
      <c r="N74" s="4"/>
      <c r="O74" s="4"/>
      <c r="P74" s="43"/>
    </row>
    <row r="75" spans="1:16" s="6" customFormat="1" hidden="1" x14ac:dyDescent="0.15">
      <c r="A75" s="40" t="s">
        <v>175</v>
      </c>
      <c r="B75" s="20" t="s">
        <v>16</v>
      </c>
      <c r="C75" s="20" t="s">
        <v>16</v>
      </c>
      <c r="D75" s="20" t="s">
        <v>16</v>
      </c>
      <c r="E75" s="20" t="s">
        <v>16</v>
      </c>
      <c r="F75" s="21">
        <v>1026877000</v>
      </c>
      <c r="G75" s="20" t="s">
        <v>16</v>
      </c>
      <c r="H75" s="20" t="s">
        <v>16</v>
      </c>
      <c r="I75" s="20" t="s">
        <v>16</v>
      </c>
      <c r="J75" s="21">
        <v>2641020000</v>
      </c>
      <c r="K75" s="112">
        <v>1963667000</v>
      </c>
      <c r="L75" s="4"/>
      <c r="M75" s="4"/>
      <c r="N75" s="4"/>
      <c r="O75" s="4"/>
      <c r="P75" s="43"/>
    </row>
    <row r="76" spans="1:16" s="6" customFormat="1" hidden="1" x14ac:dyDescent="0.15">
      <c r="A76" s="40" t="s">
        <v>176</v>
      </c>
      <c r="B76" s="20" t="s">
        <v>16</v>
      </c>
      <c r="C76" s="20" t="s">
        <v>16</v>
      </c>
      <c r="D76" s="20" t="s">
        <v>16</v>
      </c>
      <c r="E76" s="20" t="s">
        <v>16</v>
      </c>
      <c r="F76" s="20" t="s">
        <v>16</v>
      </c>
      <c r="G76" s="20" t="s">
        <v>16</v>
      </c>
      <c r="H76" s="20" t="s">
        <v>16</v>
      </c>
      <c r="I76" s="20" t="s">
        <v>16</v>
      </c>
      <c r="J76" s="21">
        <v>93668000</v>
      </c>
      <c r="K76" s="112">
        <v>110674000</v>
      </c>
      <c r="L76" s="4"/>
      <c r="M76" s="4"/>
      <c r="N76" s="4"/>
      <c r="O76" s="4"/>
      <c r="P76" s="43"/>
    </row>
    <row r="77" spans="1:16" s="6" customFormat="1" hidden="1" x14ac:dyDescent="0.15">
      <c r="A77" s="40" t="s">
        <v>177</v>
      </c>
      <c r="B77" s="20" t="s">
        <v>16</v>
      </c>
      <c r="C77" s="20" t="s">
        <v>16</v>
      </c>
      <c r="D77" s="20" t="s">
        <v>16</v>
      </c>
      <c r="E77" s="20" t="s">
        <v>16</v>
      </c>
      <c r="F77" s="20" t="s">
        <v>16</v>
      </c>
      <c r="G77" s="21">
        <v>70007000</v>
      </c>
      <c r="H77" s="21">
        <v>155802000</v>
      </c>
      <c r="I77" s="21">
        <v>118987000</v>
      </c>
      <c r="J77" s="21">
        <v>40155000</v>
      </c>
      <c r="K77" s="112">
        <v>657668000</v>
      </c>
      <c r="L77" s="4"/>
      <c r="M77" s="4"/>
      <c r="N77" s="4"/>
      <c r="O77" s="4"/>
      <c r="P77" s="43"/>
    </row>
    <row r="78" spans="1:16" s="6" customFormat="1" hidden="1" x14ac:dyDescent="0.15">
      <c r="A78" s="40" t="s">
        <v>178</v>
      </c>
      <c r="B78" s="20" t="s">
        <v>16</v>
      </c>
      <c r="C78" s="20" t="s">
        <v>16</v>
      </c>
      <c r="D78" s="20" t="s">
        <v>16</v>
      </c>
      <c r="E78" s="20" t="s">
        <v>16</v>
      </c>
      <c r="F78" s="20" t="s">
        <v>16</v>
      </c>
      <c r="G78" s="21">
        <v>70007000</v>
      </c>
      <c r="H78" s="21">
        <v>155802000</v>
      </c>
      <c r="I78" s="21">
        <v>118987000</v>
      </c>
      <c r="J78" s="21">
        <v>40155000</v>
      </c>
      <c r="K78" s="112">
        <v>319371000</v>
      </c>
      <c r="L78" s="4"/>
      <c r="M78" s="4"/>
      <c r="N78" s="4"/>
      <c r="O78" s="4"/>
      <c r="P78" s="43"/>
    </row>
    <row r="79" spans="1:16" s="6" customFormat="1" hidden="1" x14ac:dyDescent="0.15">
      <c r="A79" s="40" t="s">
        <v>179</v>
      </c>
      <c r="B79" s="20" t="s">
        <v>16</v>
      </c>
      <c r="C79" s="20" t="s">
        <v>16</v>
      </c>
      <c r="D79" s="20" t="s">
        <v>16</v>
      </c>
      <c r="E79" s="20" t="s">
        <v>16</v>
      </c>
      <c r="F79" s="20" t="s">
        <v>16</v>
      </c>
      <c r="G79" s="21">
        <v>70007000</v>
      </c>
      <c r="H79" s="21">
        <v>155802000</v>
      </c>
      <c r="I79" s="21">
        <v>118987000</v>
      </c>
      <c r="J79" s="21">
        <v>40155000</v>
      </c>
      <c r="K79" s="112">
        <v>319371000</v>
      </c>
      <c r="L79" s="4"/>
      <c r="M79" s="4"/>
      <c r="N79" s="4"/>
      <c r="O79" s="4"/>
      <c r="P79" s="43"/>
    </row>
    <row r="80" spans="1:16" s="6" customFormat="1" hidden="1" x14ac:dyDescent="0.15">
      <c r="A80" s="40" t="s">
        <v>180</v>
      </c>
      <c r="B80" s="20" t="s">
        <v>16</v>
      </c>
      <c r="C80" s="20" t="s">
        <v>16</v>
      </c>
      <c r="D80" s="20" t="s">
        <v>16</v>
      </c>
      <c r="E80" s="20" t="s">
        <v>16</v>
      </c>
      <c r="F80" s="20" t="s">
        <v>16</v>
      </c>
      <c r="G80" s="20" t="s">
        <v>16</v>
      </c>
      <c r="H80" s="20" t="s">
        <v>16</v>
      </c>
      <c r="I80" s="20" t="s">
        <v>16</v>
      </c>
      <c r="J80" s="20" t="s">
        <v>16</v>
      </c>
      <c r="K80" s="112">
        <v>338297000</v>
      </c>
      <c r="L80" s="4"/>
      <c r="M80" s="4"/>
      <c r="N80" s="4"/>
      <c r="O80" s="4"/>
      <c r="P80" s="43"/>
    </row>
    <row r="81" spans="1:16" s="6" customFormat="1" hidden="1" x14ac:dyDescent="0.15">
      <c r="A81" s="40" t="s">
        <v>181</v>
      </c>
      <c r="B81" s="20" t="s">
        <v>16</v>
      </c>
      <c r="C81" s="20" t="s">
        <v>16</v>
      </c>
      <c r="D81" s="20" t="s">
        <v>16</v>
      </c>
      <c r="E81" s="20" t="s">
        <v>16</v>
      </c>
      <c r="F81" s="21">
        <v>72342000</v>
      </c>
      <c r="G81" s="20" t="s">
        <v>16</v>
      </c>
      <c r="H81" s="20" t="s">
        <v>16</v>
      </c>
      <c r="I81" s="20" t="s">
        <v>16</v>
      </c>
      <c r="J81" s="20" t="s">
        <v>16</v>
      </c>
      <c r="K81" s="114" t="s">
        <v>16</v>
      </c>
      <c r="L81" s="4"/>
      <c r="M81" s="4"/>
      <c r="N81" s="4"/>
      <c r="O81" s="4"/>
      <c r="P81" s="43"/>
    </row>
    <row r="82" spans="1:16" s="6" customFormat="1" hidden="1" x14ac:dyDescent="0.15">
      <c r="A82" s="40" t="s">
        <v>182</v>
      </c>
      <c r="B82" s="20" t="s">
        <v>16</v>
      </c>
      <c r="C82" s="20" t="s">
        <v>16</v>
      </c>
      <c r="D82" s="20" t="s">
        <v>16</v>
      </c>
      <c r="E82" s="20" t="s">
        <v>16</v>
      </c>
      <c r="F82" s="20" t="s">
        <v>16</v>
      </c>
      <c r="G82" s="21">
        <v>110252000</v>
      </c>
      <c r="H82" s="21">
        <v>150846000</v>
      </c>
      <c r="I82" s="21">
        <v>180577000</v>
      </c>
      <c r="J82" s="21">
        <v>112867000</v>
      </c>
      <c r="K82" s="112">
        <v>633813000</v>
      </c>
      <c r="L82" s="4"/>
      <c r="M82" s="4"/>
      <c r="N82" s="4"/>
      <c r="O82" s="4"/>
      <c r="P82" s="43"/>
    </row>
    <row r="83" spans="1:16" s="6" customFormat="1" hidden="1" x14ac:dyDescent="0.15">
      <c r="A83" s="40" t="s">
        <v>183</v>
      </c>
      <c r="B83" s="20" t="s">
        <v>16</v>
      </c>
      <c r="C83" s="20" t="s">
        <v>16</v>
      </c>
      <c r="D83" s="20" t="s">
        <v>16</v>
      </c>
      <c r="E83" s="20" t="s">
        <v>16</v>
      </c>
      <c r="F83" s="20" t="s">
        <v>16</v>
      </c>
      <c r="G83" s="21">
        <v>26705000</v>
      </c>
      <c r="H83" s="21">
        <v>30397000</v>
      </c>
      <c r="I83" s="21">
        <v>22915000</v>
      </c>
      <c r="J83" s="21">
        <v>0</v>
      </c>
      <c r="K83" s="112">
        <v>231481000</v>
      </c>
      <c r="L83" s="4"/>
      <c r="M83" s="4"/>
      <c r="N83" s="4"/>
      <c r="O83" s="4"/>
      <c r="P83" s="43"/>
    </row>
    <row r="84" spans="1:16" s="6" customFormat="1" hidden="1" x14ac:dyDescent="0.15">
      <c r="A84" s="40" t="s">
        <v>184</v>
      </c>
      <c r="B84" s="20" t="s">
        <v>16</v>
      </c>
      <c r="C84" s="20" t="s">
        <v>16</v>
      </c>
      <c r="D84" s="20" t="s">
        <v>16</v>
      </c>
      <c r="E84" s="20" t="s">
        <v>16</v>
      </c>
      <c r="F84" s="20" t="s">
        <v>16</v>
      </c>
      <c r="G84" s="21">
        <v>83547000</v>
      </c>
      <c r="H84" s="21">
        <v>120449000</v>
      </c>
      <c r="I84" s="21">
        <v>157662000</v>
      </c>
      <c r="J84" s="21">
        <v>112867000</v>
      </c>
      <c r="K84" s="112">
        <v>402332000</v>
      </c>
      <c r="L84" s="4"/>
      <c r="M84" s="4"/>
      <c r="N84" s="4"/>
      <c r="O84" s="4"/>
      <c r="P84" s="43"/>
    </row>
    <row r="85" spans="1:16" s="6" customFormat="1" hidden="1" x14ac:dyDescent="0.15">
      <c r="A85" s="40" t="s">
        <v>185</v>
      </c>
      <c r="B85" s="20" t="s">
        <v>16</v>
      </c>
      <c r="C85" s="20" t="s">
        <v>16</v>
      </c>
      <c r="D85" s="20" t="s">
        <v>16</v>
      </c>
      <c r="E85" s="20" t="s">
        <v>16</v>
      </c>
      <c r="F85" s="20" t="s">
        <v>16</v>
      </c>
      <c r="G85" s="21">
        <v>5096000</v>
      </c>
      <c r="H85" s="21">
        <v>0</v>
      </c>
      <c r="I85" s="20" t="s">
        <v>16</v>
      </c>
      <c r="J85" s="20" t="s">
        <v>16</v>
      </c>
      <c r="K85" s="114" t="s">
        <v>16</v>
      </c>
      <c r="L85" s="4"/>
      <c r="M85" s="4"/>
      <c r="N85" s="4"/>
      <c r="O85" s="4"/>
      <c r="P85" s="43"/>
    </row>
    <row r="86" spans="1:16" s="6" customFormat="1" hidden="1" x14ac:dyDescent="0.15">
      <c r="A86" s="40" t="s">
        <v>186</v>
      </c>
      <c r="B86" s="20" t="s">
        <v>16</v>
      </c>
      <c r="C86" s="20" t="s">
        <v>16</v>
      </c>
      <c r="D86" s="20" t="s">
        <v>16</v>
      </c>
      <c r="E86" s="20" t="s">
        <v>16</v>
      </c>
      <c r="F86" s="21">
        <v>150696000</v>
      </c>
      <c r="G86" s="21">
        <v>654913000</v>
      </c>
      <c r="H86" s="21">
        <v>0</v>
      </c>
      <c r="I86" s="20" t="s">
        <v>16</v>
      </c>
      <c r="J86" s="20" t="s">
        <v>16</v>
      </c>
      <c r="K86" s="114" t="s">
        <v>16</v>
      </c>
      <c r="L86" s="4"/>
      <c r="M86" s="4"/>
      <c r="N86" s="4"/>
      <c r="O86" s="4"/>
      <c r="P86" s="43"/>
    </row>
    <row r="87" spans="1:16" s="6" customFormat="1" hidden="1" x14ac:dyDescent="0.15">
      <c r="A87" s="40" t="s">
        <v>187</v>
      </c>
      <c r="B87" s="21">
        <v>100773000</v>
      </c>
      <c r="C87" s="21">
        <v>229199000</v>
      </c>
      <c r="D87" s="21">
        <v>176049000</v>
      </c>
      <c r="E87" s="21">
        <v>6350000</v>
      </c>
      <c r="F87" s="21">
        <v>80908000</v>
      </c>
      <c r="G87" s="21">
        <v>2000</v>
      </c>
      <c r="H87" s="21">
        <v>0</v>
      </c>
      <c r="I87" s="20" t="s">
        <v>16</v>
      </c>
      <c r="J87" s="20" t="s">
        <v>16</v>
      </c>
      <c r="K87" s="114" t="s">
        <v>16</v>
      </c>
      <c r="L87" s="4"/>
      <c r="M87" s="4"/>
      <c r="N87" s="4"/>
      <c r="O87" s="4"/>
      <c r="P87" s="43"/>
    </row>
    <row r="88" spans="1:16" s="6" customFormat="1" hidden="1" x14ac:dyDescent="0.15">
      <c r="A88" s="40" t="s">
        <v>188</v>
      </c>
      <c r="B88" s="20" t="s">
        <v>16</v>
      </c>
      <c r="C88" s="20" t="s">
        <v>16</v>
      </c>
      <c r="D88" s="20" t="s">
        <v>16</v>
      </c>
      <c r="E88" s="20" t="s">
        <v>16</v>
      </c>
      <c r="F88" s="21">
        <v>0</v>
      </c>
      <c r="G88" s="20" t="s">
        <v>16</v>
      </c>
      <c r="H88" s="20" t="s">
        <v>16</v>
      </c>
      <c r="I88" s="20" t="s">
        <v>16</v>
      </c>
      <c r="J88" s="20" t="s">
        <v>16</v>
      </c>
      <c r="K88" s="114" t="s">
        <v>16</v>
      </c>
      <c r="L88" s="4"/>
      <c r="M88" s="4"/>
      <c r="N88" s="4"/>
      <c r="O88" s="4"/>
      <c r="P88" s="43"/>
    </row>
    <row r="89" spans="1:16" s="6" customFormat="1" hidden="1" x14ac:dyDescent="0.15">
      <c r="A89" s="40" t="s">
        <v>189</v>
      </c>
      <c r="B89" s="21">
        <v>102529000</v>
      </c>
      <c r="C89" s="21">
        <v>892579000</v>
      </c>
      <c r="D89" s="21">
        <v>206561000</v>
      </c>
      <c r="E89" s="21">
        <v>49972000</v>
      </c>
      <c r="F89" s="20" t="s">
        <v>16</v>
      </c>
      <c r="G89" s="20" t="s">
        <v>16</v>
      </c>
      <c r="H89" s="20" t="s">
        <v>16</v>
      </c>
      <c r="I89" s="20" t="s">
        <v>16</v>
      </c>
      <c r="J89" s="20" t="s">
        <v>16</v>
      </c>
      <c r="K89" s="114" t="s">
        <v>16</v>
      </c>
      <c r="L89" s="4"/>
      <c r="M89" s="4"/>
      <c r="N89" s="4"/>
      <c r="O89" s="4"/>
      <c r="P89" s="43"/>
    </row>
    <row r="90" spans="1:16" s="6" customFormat="1" hidden="1" x14ac:dyDescent="0.15">
      <c r="A90" s="40" t="s">
        <v>190</v>
      </c>
      <c r="B90" s="21">
        <v>102529000</v>
      </c>
      <c r="C90" s="21">
        <v>892579000</v>
      </c>
      <c r="D90" s="21">
        <v>206561000</v>
      </c>
      <c r="E90" s="21">
        <v>49972000</v>
      </c>
      <c r="F90" s="20" t="s">
        <v>16</v>
      </c>
      <c r="G90" s="20" t="s">
        <v>16</v>
      </c>
      <c r="H90" s="20" t="s">
        <v>16</v>
      </c>
      <c r="I90" s="20" t="s">
        <v>16</v>
      </c>
      <c r="J90" s="20" t="s">
        <v>16</v>
      </c>
      <c r="K90" s="114" t="s">
        <v>16</v>
      </c>
      <c r="L90" s="4"/>
      <c r="M90" s="4"/>
      <c r="N90" s="4"/>
      <c r="O90" s="4"/>
      <c r="P90" s="43"/>
    </row>
    <row r="91" spans="1:16" s="6" customFormat="1" hidden="1" x14ac:dyDescent="0.15">
      <c r="A91" s="40" t="s">
        <v>191</v>
      </c>
      <c r="B91" s="21">
        <v>21686710000</v>
      </c>
      <c r="C91" s="21">
        <v>24868003000</v>
      </c>
      <c r="D91" s="21">
        <v>26565873000</v>
      </c>
      <c r="E91" s="21">
        <v>25530971000</v>
      </c>
      <c r="F91" s="21">
        <v>24029724000</v>
      </c>
      <c r="G91" s="21">
        <v>23680308000</v>
      </c>
      <c r="H91" s="21">
        <v>21746604000</v>
      </c>
      <c r="I91" s="21">
        <v>19789483000</v>
      </c>
      <c r="J91" s="21">
        <v>13655402000</v>
      </c>
      <c r="K91" s="112">
        <v>14477700000</v>
      </c>
      <c r="L91" s="4"/>
      <c r="M91" s="4"/>
      <c r="N91" s="4"/>
      <c r="O91" s="4"/>
      <c r="P91" s="43"/>
    </row>
    <row r="92" spans="1:16" s="6" customFormat="1" x14ac:dyDescent="0.15">
      <c r="A92" s="40" t="s">
        <v>192</v>
      </c>
      <c r="B92" s="21">
        <v>9648869000</v>
      </c>
      <c r="C92" s="21">
        <v>8935150000</v>
      </c>
      <c r="D92" s="21">
        <v>11560813000</v>
      </c>
      <c r="E92" s="21">
        <v>11402274000</v>
      </c>
      <c r="F92" s="21">
        <v>4149337000</v>
      </c>
      <c r="G92" s="21">
        <v>4847836000</v>
      </c>
      <c r="H92" s="21">
        <v>5189090000</v>
      </c>
      <c r="I92" s="21">
        <v>4539789000</v>
      </c>
      <c r="J92" s="21">
        <v>4094342000</v>
      </c>
      <c r="K92" s="112">
        <v>12350409000</v>
      </c>
      <c r="L92" s="4"/>
      <c r="M92" s="4"/>
      <c r="N92" s="4"/>
      <c r="O92" s="4"/>
      <c r="P92" s="43"/>
    </row>
    <row r="93" spans="1:16" s="6" customFormat="1" x14ac:dyDescent="0.15">
      <c r="A93" s="39" t="s">
        <v>342</v>
      </c>
      <c r="B93" s="10">
        <f>B94/IS!B5</f>
        <v>0.14621014883189407</v>
      </c>
      <c r="C93" s="10">
        <f>C94/IS!C5</f>
        <v>0.12265392515779935</v>
      </c>
      <c r="D93" s="10">
        <f>D94/IS!D5</f>
        <v>0.20160266069885016</v>
      </c>
      <c r="E93" s="10">
        <f>E94/IS!E5</f>
        <v>0.2447902772802055</v>
      </c>
      <c r="F93" s="10">
        <f>F94/IS!F5</f>
        <v>6.9898836851007423E-2</v>
      </c>
      <c r="G93" s="10">
        <f>G94/IS!G5</f>
        <v>8.9327820465904678E-2</v>
      </c>
      <c r="H93" s="10">
        <f>H94/IS!H5</f>
        <v>8.1444552646623508E-2</v>
      </c>
      <c r="I93" s="10">
        <f>I94/IS!I5</f>
        <v>6.6538257594502395E-2</v>
      </c>
      <c r="J93" s="10">
        <f>J94/IS!J5</f>
        <v>5.6346676695615903E-2</v>
      </c>
      <c r="K93" s="118">
        <f>K94/IS!K5</f>
        <v>0.13745155505027992</v>
      </c>
      <c r="L93" s="29">
        <f>'Assumptions+DCF'!L9</f>
        <v>0.10654256808344849</v>
      </c>
      <c r="M93" s="29">
        <f>'Assumptions+DCF'!M9</f>
        <v>8.6792895341054624E-2</v>
      </c>
      <c r="N93" s="29">
        <f>'Assumptions+DCF'!N9</f>
        <v>8.9206332268204208E-2</v>
      </c>
      <c r="O93" s="29">
        <f>'Assumptions+DCF'!O9</f>
        <v>8.9188976811389861E-2</v>
      </c>
      <c r="P93" s="55">
        <f>'Assumptions+DCF'!P9</f>
        <v>9.0295323120642187E-2</v>
      </c>
    </row>
    <row r="94" spans="1:16" ht="14" thickBot="1" x14ac:dyDescent="0.2">
      <c r="A94" s="41" t="s">
        <v>193</v>
      </c>
      <c r="B94" s="110">
        <v>3445753000</v>
      </c>
      <c r="C94" s="110">
        <v>2597876000</v>
      </c>
      <c r="D94" s="110">
        <v>4828343000</v>
      </c>
      <c r="E94" s="110">
        <v>4414741000</v>
      </c>
      <c r="F94" s="110">
        <v>1261263000</v>
      </c>
      <c r="G94" s="110">
        <v>2256242000</v>
      </c>
      <c r="H94" s="110">
        <v>2681561000</v>
      </c>
      <c r="I94" s="110">
        <v>2171495000</v>
      </c>
      <c r="J94" s="110">
        <v>2292608000</v>
      </c>
      <c r="K94" s="119">
        <v>7414043000</v>
      </c>
      <c r="L94" s="46">
        <f>L93*IS!L5</f>
        <v>6260531689.7650166</v>
      </c>
      <c r="M94" s="46">
        <f>M93*IS!M5</f>
        <v>5859987706.3242664</v>
      </c>
      <c r="N94" s="46">
        <f>N93*IS!N5</f>
        <v>7048191333.1087017</v>
      </c>
      <c r="O94" s="46">
        <f>O93*IS!O5</f>
        <v>8130212771.0197916</v>
      </c>
      <c r="P94" s="47">
        <f>P93*IS!P5</f>
        <v>9403490107.227869</v>
      </c>
    </row>
    <row r="95" spans="1:16" hidden="1" x14ac:dyDescent="0.15">
      <c r="A95" s="6" t="s">
        <v>194</v>
      </c>
      <c r="B95" s="2">
        <v>3445753000</v>
      </c>
      <c r="C95" s="2">
        <v>2597876000</v>
      </c>
      <c r="D95" s="2">
        <v>4828343000</v>
      </c>
      <c r="E95" s="2">
        <v>4414741000</v>
      </c>
      <c r="F95" s="2">
        <v>1261263000</v>
      </c>
      <c r="G95" s="2">
        <v>2256242000</v>
      </c>
      <c r="H95" s="2">
        <v>2681561000</v>
      </c>
      <c r="I95" s="2">
        <v>2171495000</v>
      </c>
      <c r="J95" s="2">
        <v>2292608000</v>
      </c>
      <c r="K95" s="2">
        <v>7414043000</v>
      </c>
    </row>
    <row r="96" spans="1:16" hidden="1" x14ac:dyDescent="0.15">
      <c r="A96" s="6" t="s">
        <v>195</v>
      </c>
      <c r="B96" s="2">
        <v>3445753000</v>
      </c>
      <c r="C96" s="2">
        <v>2597876000</v>
      </c>
      <c r="D96" s="2">
        <v>4828343000</v>
      </c>
      <c r="E96" s="2">
        <v>4414741000</v>
      </c>
      <c r="F96" s="2">
        <v>1246749000</v>
      </c>
      <c r="G96" s="2">
        <v>1611408000</v>
      </c>
      <c r="H96" s="2">
        <v>2029678000</v>
      </c>
      <c r="I96" s="2">
        <v>1782515000</v>
      </c>
      <c r="J96" s="2">
        <v>1961893000</v>
      </c>
      <c r="K96" s="2">
        <v>5296025000</v>
      </c>
    </row>
    <row r="97" spans="1:11" hidden="1" x14ac:dyDescent="0.15">
      <c r="A97" s="6" t="s">
        <v>196</v>
      </c>
      <c r="B97" t="s">
        <v>16</v>
      </c>
      <c r="C97" t="s">
        <v>16</v>
      </c>
      <c r="D97" t="s">
        <v>16</v>
      </c>
      <c r="E97" t="s">
        <v>16</v>
      </c>
      <c r="F97" t="s">
        <v>16</v>
      </c>
      <c r="G97" s="2">
        <v>1178000</v>
      </c>
      <c r="H97" s="2">
        <v>1227000</v>
      </c>
      <c r="I97" s="2">
        <v>774000</v>
      </c>
      <c r="J97" s="2">
        <v>611000</v>
      </c>
      <c r="K97" s="2">
        <v>1909000</v>
      </c>
    </row>
    <row r="98" spans="1:11" hidden="1" x14ac:dyDescent="0.15">
      <c r="A98" s="6" t="s">
        <v>197</v>
      </c>
      <c r="B98" t="s">
        <v>16</v>
      </c>
      <c r="C98" t="s">
        <v>16</v>
      </c>
      <c r="D98" t="s">
        <v>16</v>
      </c>
      <c r="E98" t="s">
        <v>16</v>
      </c>
      <c r="F98" t="s">
        <v>16</v>
      </c>
      <c r="G98" s="2">
        <v>37435000</v>
      </c>
      <c r="H98" s="2">
        <v>84915000</v>
      </c>
      <c r="I98" s="2">
        <v>96608000</v>
      </c>
      <c r="J98" s="2">
        <v>33376000</v>
      </c>
      <c r="K98" s="2">
        <v>896000</v>
      </c>
    </row>
    <row r="99" spans="1:11" hidden="1" x14ac:dyDescent="0.15">
      <c r="A99" s="6" t="s">
        <v>198</v>
      </c>
      <c r="B99" t="s">
        <v>16</v>
      </c>
      <c r="C99" t="s">
        <v>16</v>
      </c>
      <c r="D99" t="s">
        <v>16</v>
      </c>
      <c r="E99" t="s">
        <v>16</v>
      </c>
      <c r="F99" s="2">
        <v>14514000</v>
      </c>
      <c r="G99" s="2">
        <v>321641000</v>
      </c>
      <c r="H99" s="2">
        <v>251251000</v>
      </c>
      <c r="I99" s="2">
        <v>0</v>
      </c>
      <c r="J99" s="2">
        <v>296728000</v>
      </c>
      <c r="K99" s="2">
        <v>601053000</v>
      </c>
    </row>
    <row r="100" spans="1:11" hidden="1" x14ac:dyDescent="0.15">
      <c r="A100" s="6" t="s">
        <v>199</v>
      </c>
      <c r="B100" t="s">
        <v>16</v>
      </c>
      <c r="C100" t="s">
        <v>16</v>
      </c>
      <c r="D100" t="s">
        <v>16</v>
      </c>
      <c r="E100" t="s">
        <v>16</v>
      </c>
      <c r="F100" t="s">
        <v>16</v>
      </c>
      <c r="G100" s="2">
        <v>284580000</v>
      </c>
      <c r="H100" s="2">
        <v>314490000</v>
      </c>
      <c r="I100" s="2">
        <v>291598000</v>
      </c>
      <c r="J100" s="2">
        <v>0</v>
      </c>
      <c r="K100" s="2">
        <v>1514160000</v>
      </c>
    </row>
    <row r="101" spans="1:11" hidden="1" x14ac:dyDescent="0.15">
      <c r="A101" s="6" t="s">
        <v>200</v>
      </c>
      <c r="B101" s="2">
        <v>4315005000</v>
      </c>
      <c r="C101" s="2">
        <v>3948807000</v>
      </c>
      <c r="D101" s="2">
        <v>3740289000</v>
      </c>
      <c r="E101" s="2">
        <v>3406645000</v>
      </c>
      <c r="F101" s="2">
        <v>2459995000</v>
      </c>
      <c r="G101" s="2">
        <v>2507564000</v>
      </c>
      <c r="H101" s="2">
        <v>2424591000</v>
      </c>
      <c r="I101" s="2">
        <v>2322418000</v>
      </c>
      <c r="J101" s="2">
        <v>1696497000</v>
      </c>
      <c r="K101" s="2">
        <v>4695942000</v>
      </c>
    </row>
    <row r="102" spans="1:11" hidden="1" x14ac:dyDescent="0.15">
      <c r="A102" s="6" t="s">
        <v>201</v>
      </c>
      <c r="B102" s="2">
        <v>4315005000</v>
      </c>
      <c r="C102" s="2">
        <v>3948807000</v>
      </c>
      <c r="D102" s="2">
        <v>3740289000</v>
      </c>
      <c r="E102" s="2">
        <v>3406645000</v>
      </c>
      <c r="F102" s="2">
        <v>2346185000</v>
      </c>
      <c r="G102" s="2">
        <v>2507564000</v>
      </c>
      <c r="H102" s="2">
        <v>2424591000</v>
      </c>
      <c r="I102" s="2">
        <v>2322418000</v>
      </c>
      <c r="J102" s="2">
        <v>1254081000</v>
      </c>
      <c r="K102" s="2">
        <v>4182917000</v>
      </c>
    </row>
    <row r="103" spans="1:11" hidden="1" x14ac:dyDescent="0.15">
      <c r="A103" s="6" t="s">
        <v>202</v>
      </c>
      <c r="B103" s="2">
        <v>4315005000</v>
      </c>
      <c r="C103" s="2">
        <v>3948807000</v>
      </c>
      <c r="D103" s="2">
        <v>3740289000</v>
      </c>
      <c r="E103" s="2">
        <v>3406645000</v>
      </c>
      <c r="F103" s="2">
        <v>1954982000</v>
      </c>
      <c r="G103" s="2">
        <v>1344062000</v>
      </c>
      <c r="H103" s="2">
        <v>1393080000</v>
      </c>
      <c r="I103" s="2">
        <v>1603875000</v>
      </c>
      <c r="J103" s="2">
        <v>813859000</v>
      </c>
      <c r="K103" s="2">
        <v>4163114000</v>
      </c>
    </row>
    <row r="104" spans="1:11" hidden="1" x14ac:dyDescent="0.15">
      <c r="A104" s="6" t="s">
        <v>203</v>
      </c>
      <c r="B104" t="s">
        <v>16</v>
      </c>
      <c r="C104" t="s">
        <v>16</v>
      </c>
      <c r="D104" t="s">
        <v>16</v>
      </c>
      <c r="E104" t="s">
        <v>16</v>
      </c>
      <c r="F104" t="s">
        <v>16</v>
      </c>
      <c r="G104" s="2">
        <v>1344062000</v>
      </c>
      <c r="H104" s="2">
        <v>1377642000</v>
      </c>
      <c r="I104" s="2">
        <v>1587058000</v>
      </c>
      <c r="J104" s="2">
        <v>813859000</v>
      </c>
      <c r="K104" s="2">
        <v>4163114000</v>
      </c>
    </row>
    <row r="105" spans="1:11" hidden="1" x14ac:dyDescent="0.15">
      <c r="A105" s="6" t="s">
        <v>204</v>
      </c>
      <c r="B105" t="s">
        <v>16</v>
      </c>
      <c r="C105" t="s">
        <v>16</v>
      </c>
      <c r="D105" t="s">
        <v>16</v>
      </c>
      <c r="E105" t="s">
        <v>16</v>
      </c>
      <c r="F105" s="2">
        <v>1954982000</v>
      </c>
      <c r="G105" s="2">
        <v>0</v>
      </c>
      <c r="H105" s="2">
        <v>15438000</v>
      </c>
      <c r="I105" s="2">
        <v>16817000</v>
      </c>
      <c r="J105" s="2">
        <v>0</v>
      </c>
      <c r="K105" s="2">
        <v>0</v>
      </c>
    </row>
    <row r="106" spans="1:11" hidden="1" x14ac:dyDescent="0.15">
      <c r="A106" s="6" t="s">
        <v>205</v>
      </c>
      <c r="B106" t="s">
        <v>16</v>
      </c>
      <c r="C106" t="s">
        <v>16</v>
      </c>
      <c r="D106" t="s">
        <v>16</v>
      </c>
      <c r="E106" t="s">
        <v>16</v>
      </c>
      <c r="F106" s="2">
        <v>391203000</v>
      </c>
      <c r="G106" s="2">
        <v>1163502000</v>
      </c>
      <c r="H106" s="2">
        <v>1031511000</v>
      </c>
      <c r="I106" s="2">
        <v>718543000</v>
      </c>
      <c r="J106" s="2">
        <v>440222000</v>
      </c>
      <c r="K106" s="2">
        <v>19803000</v>
      </c>
    </row>
    <row r="107" spans="1:11" hidden="1" x14ac:dyDescent="0.15">
      <c r="A107" s="6" t="s">
        <v>206</v>
      </c>
      <c r="B107" t="s">
        <v>16</v>
      </c>
      <c r="C107" t="s">
        <v>16</v>
      </c>
      <c r="D107" t="s">
        <v>16</v>
      </c>
      <c r="E107" t="s">
        <v>16</v>
      </c>
      <c r="F107" s="2">
        <v>391203000</v>
      </c>
      <c r="G107" s="2">
        <v>1163502000</v>
      </c>
      <c r="H107" s="2">
        <v>1031511000</v>
      </c>
      <c r="I107" s="2">
        <v>718543000</v>
      </c>
      <c r="J107" s="2">
        <v>440222000</v>
      </c>
      <c r="K107" s="2">
        <v>19803000</v>
      </c>
    </row>
    <row r="108" spans="1:11" hidden="1" x14ac:dyDescent="0.15">
      <c r="A108" s="6" t="s">
        <v>207</v>
      </c>
      <c r="B108" t="s">
        <v>16</v>
      </c>
      <c r="C108" t="s">
        <v>16</v>
      </c>
      <c r="D108" t="s">
        <v>16</v>
      </c>
      <c r="E108" t="s">
        <v>16</v>
      </c>
      <c r="F108" t="s">
        <v>16</v>
      </c>
      <c r="G108" s="2">
        <v>1133523000</v>
      </c>
      <c r="H108" s="2">
        <v>1007511000</v>
      </c>
      <c r="I108" s="2">
        <v>718543000</v>
      </c>
      <c r="J108" s="2">
        <v>440222000</v>
      </c>
      <c r="K108" s="2">
        <v>19803000</v>
      </c>
    </row>
    <row r="109" spans="1:11" hidden="1" x14ac:dyDescent="0.15">
      <c r="A109" s="6" t="s">
        <v>208</v>
      </c>
      <c r="B109" t="s">
        <v>16</v>
      </c>
      <c r="C109" t="s">
        <v>16</v>
      </c>
      <c r="D109" t="s">
        <v>16</v>
      </c>
      <c r="E109" t="s">
        <v>16</v>
      </c>
      <c r="F109" t="s">
        <v>16</v>
      </c>
      <c r="G109" s="2">
        <v>29979000</v>
      </c>
      <c r="H109" s="2">
        <v>24000000</v>
      </c>
      <c r="I109" s="2">
        <v>0</v>
      </c>
      <c r="J109" t="s">
        <v>16</v>
      </c>
      <c r="K109" t="s">
        <v>16</v>
      </c>
    </row>
    <row r="110" spans="1:11" hidden="1" x14ac:dyDescent="0.15">
      <c r="A110" s="6" t="s">
        <v>209</v>
      </c>
      <c r="B110" t="s">
        <v>16</v>
      </c>
      <c r="C110" t="s">
        <v>16</v>
      </c>
      <c r="D110" t="s">
        <v>16</v>
      </c>
      <c r="E110" t="s">
        <v>16</v>
      </c>
      <c r="F110" s="2">
        <v>113810000</v>
      </c>
      <c r="G110" t="s">
        <v>16</v>
      </c>
      <c r="H110" t="s">
        <v>16</v>
      </c>
      <c r="I110" t="s">
        <v>16</v>
      </c>
      <c r="J110" s="2">
        <v>442416000</v>
      </c>
      <c r="K110" s="2">
        <v>513025000</v>
      </c>
    </row>
    <row r="111" spans="1:11" hidden="1" x14ac:dyDescent="0.15">
      <c r="A111" s="6" t="s">
        <v>210</v>
      </c>
      <c r="B111" s="2">
        <v>147057000</v>
      </c>
      <c r="C111" s="2">
        <v>108450000</v>
      </c>
      <c r="D111" s="2">
        <v>73687000</v>
      </c>
      <c r="E111" s="2">
        <v>2559000</v>
      </c>
      <c r="F111" s="2">
        <v>3727000</v>
      </c>
      <c r="G111" s="2">
        <v>5150000</v>
      </c>
      <c r="H111" s="2">
        <v>7613000</v>
      </c>
      <c r="I111" s="2">
        <v>8135000</v>
      </c>
      <c r="J111" s="2">
        <v>7982000</v>
      </c>
      <c r="K111" s="2">
        <v>13761000</v>
      </c>
    </row>
    <row r="112" spans="1:11" hidden="1" x14ac:dyDescent="0.15">
      <c r="A112" s="6" t="s">
        <v>211</v>
      </c>
      <c r="B112" t="s">
        <v>16</v>
      </c>
      <c r="C112" t="s">
        <v>16</v>
      </c>
      <c r="D112" t="s">
        <v>16</v>
      </c>
      <c r="E112" t="s">
        <v>16</v>
      </c>
      <c r="F112" t="s">
        <v>16</v>
      </c>
      <c r="G112" s="2">
        <v>5150000</v>
      </c>
      <c r="H112" s="2">
        <v>7613000</v>
      </c>
      <c r="I112" s="2">
        <v>8135000</v>
      </c>
      <c r="J112" s="2">
        <v>7982000</v>
      </c>
      <c r="K112" s="2">
        <v>13761000</v>
      </c>
    </row>
    <row r="113" spans="1:11" hidden="1" x14ac:dyDescent="0.15">
      <c r="A113" s="6" t="s">
        <v>212</v>
      </c>
      <c r="B113" t="s">
        <v>16</v>
      </c>
      <c r="C113" t="s">
        <v>16</v>
      </c>
      <c r="D113" t="s">
        <v>16</v>
      </c>
      <c r="E113" t="s">
        <v>16</v>
      </c>
      <c r="F113" t="s">
        <v>16</v>
      </c>
      <c r="G113" s="2">
        <v>78879000</v>
      </c>
      <c r="H113" s="2">
        <v>75324000</v>
      </c>
      <c r="I113" s="2">
        <v>37740000</v>
      </c>
      <c r="J113" s="2">
        <v>97256000</v>
      </c>
      <c r="K113" s="2">
        <v>226664000</v>
      </c>
    </row>
    <row r="114" spans="1:11" hidden="1" x14ac:dyDescent="0.15">
      <c r="A114" s="6" t="s">
        <v>213</v>
      </c>
      <c r="B114" t="s">
        <v>16</v>
      </c>
      <c r="C114" t="s">
        <v>16</v>
      </c>
      <c r="D114" t="s">
        <v>16</v>
      </c>
      <c r="E114" t="s">
        <v>16</v>
      </c>
      <c r="F114" t="s">
        <v>16</v>
      </c>
      <c r="G114" s="2">
        <v>78879000</v>
      </c>
      <c r="H114" s="2">
        <v>75324000</v>
      </c>
      <c r="I114" s="2">
        <v>37740000</v>
      </c>
      <c r="J114" s="2">
        <v>97256000</v>
      </c>
      <c r="K114" s="2">
        <v>226664000</v>
      </c>
    </row>
    <row r="115" spans="1:11" hidden="1" x14ac:dyDescent="0.15">
      <c r="A115" s="6" t="s">
        <v>214</v>
      </c>
      <c r="B115" s="2">
        <v>1741054000</v>
      </c>
      <c r="C115" s="2">
        <v>2280017000</v>
      </c>
      <c r="D115" s="2">
        <v>2918494000</v>
      </c>
      <c r="E115" s="2">
        <v>3578329000</v>
      </c>
      <c r="F115" s="2">
        <v>424352000</v>
      </c>
      <c r="G115" s="2">
        <v>1000</v>
      </c>
      <c r="H115" t="s">
        <v>16</v>
      </c>
      <c r="I115" t="s">
        <v>16</v>
      </c>
      <c r="J115" t="s">
        <v>16</v>
      </c>
      <c r="K115" t="s">
        <v>16</v>
      </c>
    </row>
    <row r="116" spans="1:11" hidden="1" x14ac:dyDescent="0.15">
      <c r="A116" s="6" t="s">
        <v>215</v>
      </c>
      <c r="B116" s="2">
        <v>12037841000</v>
      </c>
      <c r="C116" s="2">
        <v>15932853000</v>
      </c>
      <c r="D116" s="2">
        <v>15005060000</v>
      </c>
      <c r="E116" s="2">
        <v>14128697000</v>
      </c>
      <c r="F116" s="2">
        <v>19880387000</v>
      </c>
      <c r="G116" s="2">
        <v>18832472000</v>
      </c>
      <c r="H116" s="2">
        <v>16557514000</v>
      </c>
      <c r="I116" s="2">
        <v>15249694000</v>
      </c>
      <c r="J116" s="2">
        <v>9561060000</v>
      </c>
      <c r="K116" s="2">
        <v>2127291000</v>
      </c>
    </row>
    <row r="117" spans="1:11" hidden="1" x14ac:dyDescent="0.15">
      <c r="A117" s="6" t="s">
        <v>216</v>
      </c>
      <c r="B117" s="2">
        <v>11216577000</v>
      </c>
      <c r="C117" s="2">
        <v>15038493000</v>
      </c>
      <c r="D117" s="2">
        <v>14094410000</v>
      </c>
      <c r="E117" s="2">
        <v>13692557000</v>
      </c>
      <c r="F117" s="2">
        <v>19798629000</v>
      </c>
      <c r="G117" s="2">
        <v>18729450000</v>
      </c>
      <c r="H117" s="2">
        <v>16431010000</v>
      </c>
      <c r="I117" s="2">
        <v>14644853000</v>
      </c>
      <c r="J117" s="2">
        <v>7710552000</v>
      </c>
      <c r="K117" s="2">
        <v>101739000</v>
      </c>
    </row>
    <row r="118" spans="1:11" hidden="1" x14ac:dyDescent="0.15">
      <c r="A118" s="6" t="s">
        <v>217</v>
      </c>
      <c r="B118" s="2">
        <v>11216577000</v>
      </c>
      <c r="C118" s="2">
        <v>15038493000</v>
      </c>
      <c r="D118" s="2">
        <v>14094410000</v>
      </c>
      <c r="E118" s="2">
        <v>13692557000</v>
      </c>
      <c r="F118" s="2">
        <v>19798629000</v>
      </c>
      <c r="G118" s="2">
        <v>18729450000</v>
      </c>
      <c r="H118" s="2">
        <v>16431010000</v>
      </c>
      <c r="I118" s="2">
        <v>14644853000</v>
      </c>
      <c r="J118" s="2">
        <v>7710552000</v>
      </c>
      <c r="K118" s="2">
        <v>101739000</v>
      </c>
    </row>
    <row r="119" spans="1:11" hidden="1" x14ac:dyDescent="0.15">
      <c r="A119" s="6" t="s">
        <v>218</v>
      </c>
      <c r="B119" s="2">
        <v>11216577000</v>
      </c>
      <c r="C119" s="2">
        <v>15038493000</v>
      </c>
      <c r="D119" s="2">
        <v>14094410000</v>
      </c>
      <c r="E119" s="2">
        <v>13692557000</v>
      </c>
      <c r="F119" s="2">
        <v>19798629000</v>
      </c>
      <c r="G119" s="2">
        <v>18729450000</v>
      </c>
      <c r="H119" s="2">
        <v>16431010000</v>
      </c>
      <c r="I119" s="2">
        <v>14644853000</v>
      </c>
      <c r="J119" s="2">
        <v>7710552000</v>
      </c>
      <c r="K119" s="2">
        <v>101739000</v>
      </c>
    </row>
    <row r="120" spans="1:11" hidden="1" x14ac:dyDescent="0.15">
      <c r="A120" s="6" t="s">
        <v>219</v>
      </c>
      <c r="B120" t="s">
        <v>16</v>
      </c>
      <c r="C120" t="s">
        <v>16</v>
      </c>
      <c r="D120" t="s">
        <v>16</v>
      </c>
      <c r="E120" t="s">
        <v>16</v>
      </c>
      <c r="F120" t="s">
        <v>16</v>
      </c>
      <c r="G120" s="2">
        <v>18211591000</v>
      </c>
      <c r="H120" s="2">
        <v>16133110000</v>
      </c>
      <c r="I120" s="2">
        <v>14644853000</v>
      </c>
      <c r="J120" s="2">
        <v>7710552000</v>
      </c>
      <c r="K120" s="2">
        <v>27590000</v>
      </c>
    </row>
    <row r="121" spans="1:11" hidden="1" x14ac:dyDescent="0.15">
      <c r="A121" s="6" t="s">
        <v>220</v>
      </c>
      <c r="B121" t="s">
        <v>16</v>
      </c>
      <c r="C121" t="s">
        <v>16</v>
      </c>
      <c r="D121" t="s">
        <v>16</v>
      </c>
      <c r="E121" t="s">
        <v>16</v>
      </c>
      <c r="F121" t="s">
        <v>16</v>
      </c>
      <c r="G121" s="2">
        <v>194688000</v>
      </c>
      <c r="H121" s="2">
        <v>0</v>
      </c>
      <c r="I121" t="s">
        <v>16</v>
      </c>
      <c r="J121" t="s">
        <v>16</v>
      </c>
      <c r="K121" s="2">
        <v>74149000</v>
      </c>
    </row>
    <row r="122" spans="1:11" hidden="1" x14ac:dyDescent="0.15">
      <c r="A122" s="6" t="s">
        <v>221</v>
      </c>
      <c r="B122" t="s">
        <v>16</v>
      </c>
      <c r="C122" t="s">
        <v>16</v>
      </c>
      <c r="D122" t="s">
        <v>16</v>
      </c>
      <c r="E122" t="s">
        <v>16</v>
      </c>
      <c r="F122" t="s">
        <v>16</v>
      </c>
      <c r="G122" s="2">
        <v>323171000</v>
      </c>
      <c r="H122" s="2">
        <v>297900000</v>
      </c>
      <c r="I122" s="2">
        <v>0</v>
      </c>
      <c r="J122" t="s">
        <v>16</v>
      </c>
      <c r="K122" t="s">
        <v>16</v>
      </c>
    </row>
    <row r="123" spans="1:11" hidden="1" x14ac:dyDescent="0.15">
      <c r="A123" s="6" t="s">
        <v>222</v>
      </c>
      <c r="B123" s="2">
        <v>23963000</v>
      </c>
      <c r="C123" s="2">
        <v>33469000</v>
      </c>
      <c r="D123" s="2">
        <v>45716000</v>
      </c>
      <c r="E123" s="2">
        <v>42383000</v>
      </c>
      <c r="F123" s="2">
        <v>63424000</v>
      </c>
      <c r="G123" s="2">
        <v>82742000</v>
      </c>
      <c r="H123" s="2">
        <v>102416000</v>
      </c>
      <c r="I123" s="2">
        <v>135962000</v>
      </c>
      <c r="J123" s="2">
        <v>142763000</v>
      </c>
      <c r="K123" s="2">
        <v>251069000</v>
      </c>
    </row>
    <row r="124" spans="1:11" hidden="1" x14ac:dyDescent="0.15">
      <c r="A124" s="6" t="s">
        <v>223</v>
      </c>
      <c r="B124" t="s">
        <v>16</v>
      </c>
      <c r="C124" t="s">
        <v>16</v>
      </c>
      <c r="D124" t="s">
        <v>16</v>
      </c>
      <c r="E124" t="s">
        <v>16</v>
      </c>
      <c r="F124" t="s">
        <v>16</v>
      </c>
      <c r="G124" s="2">
        <v>82742000</v>
      </c>
      <c r="H124" s="2">
        <v>102416000</v>
      </c>
      <c r="I124" s="2">
        <v>135962000</v>
      </c>
      <c r="J124" s="2">
        <v>142763000</v>
      </c>
      <c r="K124" s="2">
        <v>251069000</v>
      </c>
    </row>
    <row r="125" spans="1:11" hidden="1" x14ac:dyDescent="0.15">
      <c r="A125" s="6" t="s">
        <v>224</v>
      </c>
      <c r="B125" s="2">
        <v>774321000</v>
      </c>
      <c r="C125" s="2">
        <v>828795000</v>
      </c>
      <c r="D125" s="2">
        <v>835150000</v>
      </c>
      <c r="E125" s="2">
        <v>370092000</v>
      </c>
      <c r="F125" s="2">
        <v>0</v>
      </c>
      <c r="G125" t="s">
        <v>16</v>
      </c>
      <c r="H125" s="2">
        <v>8120000</v>
      </c>
      <c r="I125" s="2">
        <v>448210000</v>
      </c>
      <c r="J125" s="2">
        <v>1678200000</v>
      </c>
      <c r="K125" s="2">
        <v>1633915000</v>
      </c>
    </row>
    <row r="126" spans="1:11" hidden="1" x14ac:dyDescent="0.15">
      <c r="A126" s="6" t="s">
        <v>225</v>
      </c>
      <c r="B126" s="2">
        <v>774321000</v>
      </c>
      <c r="C126" s="2">
        <v>828795000</v>
      </c>
      <c r="D126" s="2">
        <v>835150000</v>
      </c>
      <c r="E126" s="2">
        <v>370092000</v>
      </c>
      <c r="F126" s="2">
        <v>0</v>
      </c>
      <c r="G126" t="s">
        <v>16</v>
      </c>
      <c r="H126" s="2">
        <v>8120000</v>
      </c>
      <c r="I126" s="2">
        <v>448210000</v>
      </c>
      <c r="J126" s="2">
        <v>1678200000</v>
      </c>
      <c r="K126" s="2">
        <v>1633915000</v>
      </c>
    </row>
    <row r="127" spans="1:11" hidden="1" x14ac:dyDescent="0.15">
      <c r="A127" s="6" t="s">
        <v>226</v>
      </c>
      <c r="B127" t="s">
        <v>16</v>
      </c>
      <c r="C127" t="s">
        <v>16</v>
      </c>
      <c r="D127" t="s">
        <v>16</v>
      </c>
      <c r="E127" t="s">
        <v>16</v>
      </c>
      <c r="F127" t="s">
        <v>16</v>
      </c>
      <c r="G127" s="2">
        <v>20281000</v>
      </c>
      <c r="H127" s="2">
        <v>15968000</v>
      </c>
      <c r="I127" s="2">
        <v>20669000</v>
      </c>
      <c r="J127" s="2">
        <v>29544000</v>
      </c>
      <c r="K127" s="2">
        <v>140569000</v>
      </c>
    </row>
    <row r="128" spans="1:11" hidden="1" x14ac:dyDescent="0.15">
      <c r="A128" s="6" t="s">
        <v>227</v>
      </c>
      <c r="B128" t="s">
        <v>16</v>
      </c>
      <c r="C128" t="s">
        <v>16</v>
      </c>
      <c r="D128" t="s">
        <v>16</v>
      </c>
      <c r="E128" t="s">
        <v>16</v>
      </c>
      <c r="F128" t="s">
        <v>16</v>
      </c>
      <c r="G128" s="2">
        <v>20281000</v>
      </c>
      <c r="H128" s="2">
        <v>15968000</v>
      </c>
      <c r="I128" s="2">
        <v>20669000</v>
      </c>
      <c r="J128" s="2">
        <v>29544000</v>
      </c>
      <c r="K128" s="2">
        <v>140569000</v>
      </c>
    </row>
    <row r="129" spans="1:11" hidden="1" x14ac:dyDescent="0.15">
      <c r="A129" s="6" t="s">
        <v>228</v>
      </c>
      <c r="B129" t="s">
        <v>16</v>
      </c>
      <c r="C129" t="s">
        <v>16</v>
      </c>
      <c r="D129" t="s">
        <v>16</v>
      </c>
      <c r="E129" t="s">
        <v>16</v>
      </c>
      <c r="F129" t="s">
        <v>16</v>
      </c>
      <c r="G129" s="2">
        <v>20281000</v>
      </c>
      <c r="H129" s="2">
        <v>15968000</v>
      </c>
      <c r="I129" s="2">
        <v>20669000</v>
      </c>
      <c r="J129" s="2">
        <v>29544000</v>
      </c>
      <c r="K129" s="2">
        <v>140569000</v>
      </c>
    </row>
    <row r="130" spans="1:11" hidden="1" x14ac:dyDescent="0.15">
      <c r="A130" s="6" t="s">
        <v>229</v>
      </c>
      <c r="B130" s="2">
        <v>22980000</v>
      </c>
      <c r="C130" s="2">
        <v>32096000</v>
      </c>
      <c r="D130" s="2">
        <v>29784000</v>
      </c>
      <c r="E130" s="2">
        <v>23665000</v>
      </c>
      <c r="F130" s="2">
        <v>18334000</v>
      </c>
      <c r="G130" t="s">
        <v>16</v>
      </c>
      <c r="H130" t="s">
        <v>16</v>
      </c>
      <c r="I130" t="s">
        <v>16</v>
      </c>
      <c r="J130" t="s">
        <v>16</v>
      </c>
      <c r="K130" t="s">
        <v>16</v>
      </c>
    </row>
    <row r="131" spans="1:11" hidden="1" x14ac:dyDescent="0.15">
      <c r="A131" s="6" t="s">
        <v>230</v>
      </c>
      <c r="B131" s="2">
        <v>9476565000</v>
      </c>
      <c r="C131" s="2">
        <v>10268889000</v>
      </c>
      <c r="D131" s="2">
        <v>10915249000</v>
      </c>
      <c r="E131" s="2">
        <v>9284649000</v>
      </c>
      <c r="F131" s="2">
        <v>8502555000</v>
      </c>
      <c r="G131" s="2">
        <v>10837048000</v>
      </c>
      <c r="H131" s="2">
        <v>13364463000</v>
      </c>
      <c r="I131" s="2">
        <v>15025540000</v>
      </c>
      <c r="J131" s="2">
        <v>21080140000</v>
      </c>
      <c r="K131" s="2">
        <v>34421577000</v>
      </c>
    </row>
    <row r="132" spans="1:11" hidden="1" x14ac:dyDescent="0.15">
      <c r="A132" s="6" t="s">
        <v>231</v>
      </c>
      <c r="B132" s="2">
        <v>7903965000</v>
      </c>
      <c r="C132" s="2">
        <v>8642375000</v>
      </c>
      <c r="D132" s="2">
        <v>9244080000</v>
      </c>
      <c r="E132" s="2">
        <v>8250413000</v>
      </c>
      <c r="F132" s="2">
        <v>6969344000</v>
      </c>
      <c r="G132" s="2">
        <v>9233168000</v>
      </c>
      <c r="H132" s="2">
        <v>11692958000</v>
      </c>
      <c r="I132" s="2">
        <v>13252976000</v>
      </c>
      <c r="J132" s="2">
        <v>20355921000</v>
      </c>
      <c r="K132" s="2">
        <v>33123243000</v>
      </c>
    </row>
    <row r="133" spans="1:11" hidden="1" x14ac:dyDescent="0.15">
      <c r="A133" s="6" t="s">
        <v>232</v>
      </c>
      <c r="B133" s="2">
        <v>2111767000</v>
      </c>
      <c r="C133" s="2">
        <v>2111767000</v>
      </c>
      <c r="D133" s="2">
        <v>327562000</v>
      </c>
      <c r="E133" s="2">
        <v>327562000</v>
      </c>
      <c r="F133" s="2">
        <v>341112000</v>
      </c>
      <c r="G133" s="2">
        <v>2419517000</v>
      </c>
      <c r="H133" s="2">
        <v>2419517000</v>
      </c>
      <c r="I133" s="2">
        <v>2419517000</v>
      </c>
      <c r="J133" s="2">
        <v>2419517000</v>
      </c>
      <c r="K133" s="2">
        <v>2541442000</v>
      </c>
    </row>
    <row r="134" spans="1:11" hidden="1" x14ac:dyDescent="0.15">
      <c r="A134" s="6" t="s">
        <v>233</v>
      </c>
      <c r="B134" s="2">
        <v>2111767000</v>
      </c>
      <c r="C134" s="2">
        <v>2111767000</v>
      </c>
      <c r="D134" s="2">
        <v>327562000</v>
      </c>
      <c r="E134" s="2">
        <v>327562000</v>
      </c>
      <c r="F134" s="2">
        <v>341112000</v>
      </c>
      <c r="G134" s="2">
        <v>2419517000</v>
      </c>
      <c r="H134" s="2">
        <v>2419517000</v>
      </c>
      <c r="I134" s="2">
        <v>2419517000</v>
      </c>
      <c r="J134" s="2">
        <v>2419517000</v>
      </c>
      <c r="K134" s="2">
        <v>2541442000</v>
      </c>
    </row>
    <row r="135" spans="1:11" hidden="1" x14ac:dyDescent="0.15">
      <c r="A135" s="6" t="s">
        <v>234</v>
      </c>
      <c r="B135" s="2">
        <v>327562000</v>
      </c>
      <c r="C135" s="2">
        <v>327562000</v>
      </c>
      <c r="D135" t="s">
        <v>16</v>
      </c>
      <c r="E135" t="s">
        <v>16</v>
      </c>
      <c r="F135" t="s">
        <v>16</v>
      </c>
      <c r="G135" s="2">
        <v>341112000</v>
      </c>
      <c r="H135" s="2">
        <v>341112000</v>
      </c>
      <c r="I135" s="2">
        <v>341112000</v>
      </c>
      <c r="J135" s="2">
        <v>341112000</v>
      </c>
      <c r="K135" s="2">
        <v>658225000</v>
      </c>
    </row>
    <row r="136" spans="1:11" hidden="1" x14ac:dyDescent="0.15">
      <c r="A136" s="6" t="s">
        <v>235</v>
      </c>
      <c r="B136" s="2">
        <v>1784205000</v>
      </c>
      <c r="C136" s="2">
        <v>1784205000</v>
      </c>
      <c r="D136" t="s">
        <v>16</v>
      </c>
      <c r="E136" t="s">
        <v>16</v>
      </c>
      <c r="F136" t="s">
        <v>16</v>
      </c>
      <c r="G136" s="2">
        <v>2078405000</v>
      </c>
      <c r="H136" s="2">
        <v>2078405000</v>
      </c>
      <c r="I136" s="2">
        <v>2078405000</v>
      </c>
      <c r="J136" s="2">
        <v>2078405000</v>
      </c>
      <c r="K136" s="2">
        <v>1883217000</v>
      </c>
    </row>
    <row r="137" spans="1:11" hidden="1" x14ac:dyDescent="0.15">
      <c r="A137" s="6" t="s">
        <v>236</v>
      </c>
      <c r="B137" s="2">
        <v>1195000000</v>
      </c>
      <c r="C137" t="s">
        <v>16</v>
      </c>
      <c r="D137" s="2">
        <v>4332531000</v>
      </c>
      <c r="E137" s="2">
        <v>3212156000</v>
      </c>
      <c r="F137" s="2">
        <v>1546396000</v>
      </c>
      <c r="G137" s="2">
        <v>3609059000</v>
      </c>
      <c r="H137" s="2">
        <v>6198170000</v>
      </c>
      <c r="I137" s="2">
        <v>7869476000</v>
      </c>
      <c r="J137" s="2">
        <v>14587800000</v>
      </c>
      <c r="K137" s="2">
        <v>28278719000</v>
      </c>
    </row>
    <row r="138" spans="1:11" hidden="1" x14ac:dyDescent="0.15">
      <c r="A138" s="6" t="s">
        <v>237</v>
      </c>
      <c r="B138" s="2">
        <v>4467198000</v>
      </c>
      <c r="C138" s="2">
        <v>6530607000</v>
      </c>
      <c r="D138" s="2">
        <v>4583986000</v>
      </c>
      <c r="E138" s="2">
        <v>4710694000</v>
      </c>
      <c r="F138" s="2">
        <v>5095231000</v>
      </c>
      <c r="G138" s="2">
        <v>3204592000</v>
      </c>
      <c r="H138" s="2">
        <v>3075270000</v>
      </c>
      <c r="I138" s="2">
        <v>2963983000</v>
      </c>
      <c r="J138" s="2">
        <v>3348603000</v>
      </c>
      <c r="K138" s="2">
        <v>2303081000</v>
      </c>
    </row>
    <row r="139" spans="1:11" hidden="1" x14ac:dyDescent="0.15">
      <c r="A139" s="6" t="s">
        <v>238</v>
      </c>
      <c r="B139" s="2">
        <v>3573015000</v>
      </c>
      <c r="C139" s="2">
        <v>3775404000</v>
      </c>
      <c r="D139" t="s">
        <v>16</v>
      </c>
      <c r="E139" t="s">
        <v>16</v>
      </c>
      <c r="F139" t="s">
        <v>16</v>
      </c>
      <c r="G139" s="2">
        <v>1725100000</v>
      </c>
      <c r="H139" s="2">
        <v>1846125000</v>
      </c>
      <c r="I139" s="2">
        <v>1926600000</v>
      </c>
      <c r="J139" s="2">
        <v>1926600000</v>
      </c>
      <c r="K139" s="2">
        <v>1776600000</v>
      </c>
    </row>
    <row r="140" spans="1:11" hidden="1" x14ac:dyDescent="0.15">
      <c r="A140" s="6" t="s">
        <v>239</v>
      </c>
      <c r="B140" s="2">
        <v>327583000</v>
      </c>
      <c r="C140" s="2">
        <v>457583000</v>
      </c>
      <c r="D140" s="2">
        <v>2241801000</v>
      </c>
      <c r="E140" s="2">
        <v>1982471000</v>
      </c>
      <c r="F140" t="s">
        <v>16</v>
      </c>
      <c r="G140" s="2">
        <v>1090226000</v>
      </c>
      <c r="H140" s="2">
        <v>1100834000</v>
      </c>
      <c r="I140" s="2">
        <v>1100834000</v>
      </c>
      <c r="J140" s="2">
        <v>1100834000</v>
      </c>
      <c r="K140" s="2">
        <v>284824000</v>
      </c>
    </row>
    <row r="141" spans="1:11" hidden="1" x14ac:dyDescent="0.15">
      <c r="A141" s="6" t="s">
        <v>240</v>
      </c>
      <c r="B141" s="2">
        <v>566600000</v>
      </c>
      <c r="C141" s="2">
        <v>2297620000</v>
      </c>
      <c r="D141" s="2">
        <v>2342185000</v>
      </c>
      <c r="E141" s="2">
        <v>2728223000</v>
      </c>
      <c r="F141" s="2">
        <v>5095231000</v>
      </c>
      <c r="G141" s="2">
        <v>390743000</v>
      </c>
      <c r="H141" s="2">
        <v>155151000</v>
      </c>
      <c r="I141" s="2">
        <v>-2156000</v>
      </c>
      <c r="J141" s="2">
        <v>359021000</v>
      </c>
      <c r="K141" s="2">
        <v>80116000</v>
      </c>
    </row>
    <row r="142" spans="1:11" hidden="1" x14ac:dyDescent="0.15">
      <c r="A142" s="6" t="s">
        <v>241</v>
      </c>
      <c r="B142" t="s">
        <v>16</v>
      </c>
      <c r="C142" t="s">
        <v>16</v>
      </c>
      <c r="D142" t="s">
        <v>16</v>
      </c>
      <c r="E142" t="s">
        <v>16</v>
      </c>
      <c r="F142" t="s">
        <v>16</v>
      </c>
      <c r="G142" s="2">
        <v>-1129000</v>
      </c>
      <c r="H142" s="2">
        <v>-21836000</v>
      </c>
      <c r="I142" s="2">
        <v>-45098000</v>
      </c>
      <c r="J142" s="2">
        <v>-37852000</v>
      </c>
      <c r="K142" s="2">
        <v>161541000</v>
      </c>
    </row>
    <row r="143" spans="1:11" hidden="1" x14ac:dyDescent="0.15">
      <c r="A143" s="6" t="s">
        <v>242</v>
      </c>
      <c r="B143" t="s">
        <v>16</v>
      </c>
      <c r="C143" t="s">
        <v>16</v>
      </c>
      <c r="D143" t="s">
        <v>16</v>
      </c>
      <c r="E143" t="s">
        <v>16</v>
      </c>
      <c r="F143" t="s">
        <v>16</v>
      </c>
      <c r="G143" s="2">
        <v>-348000</v>
      </c>
      <c r="H143" s="2">
        <v>-5004000</v>
      </c>
      <c r="I143" s="2">
        <v>-16197000</v>
      </c>
      <c r="J143" t="s">
        <v>16</v>
      </c>
      <c r="K143" t="s">
        <v>16</v>
      </c>
    </row>
    <row r="144" spans="1:11" hidden="1" x14ac:dyDescent="0.15">
      <c r="A144" s="6" t="s">
        <v>243</v>
      </c>
      <c r="B144" t="s">
        <v>16</v>
      </c>
      <c r="C144" s="2">
        <v>1000</v>
      </c>
      <c r="D144" s="2">
        <v>1000</v>
      </c>
      <c r="E144" s="2">
        <v>1000</v>
      </c>
      <c r="F144" s="2">
        <v>-13395000</v>
      </c>
      <c r="G144" t="s">
        <v>16</v>
      </c>
      <c r="H144" t="s">
        <v>16</v>
      </c>
      <c r="I144" t="s">
        <v>16</v>
      </c>
      <c r="J144" t="s">
        <v>16</v>
      </c>
      <c r="K144" t="s">
        <v>16</v>
      </c>
    </row>
    <row r="145" spans="1:11" hidden="1" x14ac:dyDescent="0.15">
      <c r="A145" s="6" t="s">
        <v>244</v>
      </c>
      <c r="B145" s="2">
        <v>130000000</v>
      </c>
      <c r="C145" s="2">
        <v>0</v>
      </c>
      <c r="D145" t="s">
        <v>16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16</v>
      </c>
      <c r="K145" t="s">
        <v>16</v>
      </c>
    </row>
    <row r="146" spans="1:11" hidden="1" x14ac:dyDescent="0.15">
      <c r="A146" s="6" t="s">
        <v>245</v>
      </c>
      <c r="B146" s="2">
        <v>1572600000</v>
      </c>
      <c r="C146" s="2">
        <v>1626514000</v>
      </c>
      <c r="D146" s="2">
        <v>1671169000</v>
      </c>
      <c r="E146" s="2">
        <v>1034236000</v>
      </c>
      <c r="F146" s="2">
        <v>1533211000</v>
      </c>
      <c r="G146" s="2">
        <v>1603880000</v>
      </c>
      <c r="H146" s="2">
        <v>1671505000</v>
      </c>
      <c r="I146" s="2">
        <v>1772564000</v>
      </c>
      <c r="J146" s="2">
        <v>724219000</v>
      </c>
      <c r="K146" s="2">
        <v>1298334000</v>
      </c>
    </row>
    <row r="147" spans="1:11" hidden="1" x14ac:dyDescent="0.15">
      <c r="A147" s="6" t="s">
        <v>246</v>
      </c>
      <c r="B147" t="s">
        <v>16</v>
      </c>
      <c r="C147" t="s">
        <v>16</v>
      </c>
      <c r="D147" t="s">
        <v>16</v>
      </c>
      <c r="E147" t="s">
        <v>16</v>
      </c>
      <c r="F147" t="s">
        <v>16</v>
      </c>
      <c r="G147" t="s">
        <v>16</v>
      </c>
      <c r="H147" t="s">
        <v>16</v>
      </c>
      <c r="I147" s="2">
        <v>16967271000</v>
      </c>
      <c r="J147" s="2">
        <v>8964633000</v>
      </c>
      <c r="K147" s="2">
        <v>4284656000</v>
      </c>
    </row>
    <row r="148" spans="1:11" hidden="1" x14ac:dyDescent="0.15">
      <c r="A148" s="6" t="s">
        <v>247</v>
      </c>
      <c r="B148" t="s">
        <v>16</v>
      </c>
      <c r="C148" t="s">
        <v>16</v>
      </c>
      <c r="D148" t="s">
        <v>16</v>
      </c>
      <c r="E148" t="s">
        <v>16</v>
      </c>
      <c r="F148" t="s">
        <v>16</v>
      </c>
      <c r="G148" t="s">
        <v>16</v>
      </c>
      <c r="H148" t="s">
        <v>16</v>
      </c>
      <c r="I148" s="2">
        <v>2322418000</v>
      </c>
      <c r="J148" s="2">
        <v>1254081000</v>
      </c>
      <c r="K148" s="2">
        <v>4182917000</v>
      </c>
    </row>
    <row r="149" spans="1:11" hidden="1" x14ac:dyDescent="0.15">
      <c r="A149" s="6" t="s">
        <v>248</v>
      </c>
      <c r="B149" t="s">
        <v>16</v>
      </c>
      <c r="C149" t="s">
        <v>16</v>
      </c>
      <c r="D149" t="s">
        <v>16</v>
      </c>
      <c r="E149" t="s">
        <v>16</v>
      </c>
      <c r="F149" t="s">
        <v>16</v>
      </c>
      <c r="G149" t="s">
        <v>16</v>
      </c>
      <c r="H149" t="s">
        <v>16</v>
      </c>
      <c r="I149" s="2">
        <v>6169692000</v>
      </c>
      <c r="J149" s="2">
        <v>3771700000</v>
      </c>
      <c r="K149" s="2">
        <v>101739000</v>
      </c>
    </row>
    <row r="150" spans="1:11" hidden="1" x14ac:dyDescent="0.15">
      <c r="A150" s="6" t="s">
        <v>249</v>
      </c>
      <c r="B150" t="s">
        <v>16</v>
      </c>
      <c r="C150" t="s">
        <v>16</v>
      </c>
      <c r="D150" t="s">
        <v>16</v>
      </c>
      <c r="E150" t="s">
        <v>16</v>
      </c>
      <c r="F150" t="s">
        <v>16</v>
      </c>
      <c r="G150" t="s">
        <v>16</v>
      </c>
      <c r="H150" t="s">
        <v>16</v>
      </c>
      <c r="I150" s="2">
        <v>8475161000</v>
      </c>
      <c r="J150" s="2">
        <v>3938852000</v>
      </c>
      <c r="K150" t="s">
        <v>16</v>
      </c>
    </row>
    <row r="151" spans="1:11" hidden="1" x14ac:dyDescent="0.15">
      <c r="A151" s="6" t="s">
        <v>250</v>
      </c>
      <c r="B151" t="s">
        <v>16</v>
      </c>
      <c r="C151" t="s">
        <v>16</v>
      </c>
      <c r="D151" t="s">
        <v>16</v>
      </c>
      <c r="E151" t="s">
        <v>16</v>
      </c>
      <c r="F151" t="s">
        <v>16</v>
      </c>
      <c r="G151" t="s">
        <v>16</v>
      </c>
      <c r="H151" t="s">
        <v>16</v>
      </c>
      <c r="I151" t="s">
        <v>16</v>
      </c>
      <c r="J151" s="2">
        <v>2467839000</v>
      </c>
      <c r="K151" s="2">
        <v>5952423000</v>
      </c>
    </row>
    <row r="152" spans="1:11" hidden="1" x14ac:dyDescent="0.15">
      <c r="A152" s="6" t="s">
        <v>251</v>
      </c>
      <c r="B152" t="s">
        <v>16</v>
      </c>
      <c r="C152" t="s">
        <v>16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s="2">
        <v>2438295000</v>
      </c>
      <c r="K152" s="2">
        <v>5811854000</v>
      </c>
    </row>
    <row r="153" spans="1:11" hidden="1" x14ac:dyDescent="0.15">
      <c r="A153" s="6" t="s">
        <v>252</v>
      </c>
      <c r="B153" t="s">
        <v>16</v>
      </c>
      <c r="C153" t="s">
        <v>16</v>
      </c>
      <c r="D153" t="s">
        <v>16</v>
      </c>
      <c r="E153" t="s">
        <v>16</v>
      </c>
      <c r="F153" t="s">
        <v>16</v>
      </c>
      <c r="G153" t="s">
        <v>16</v>
      </c>
      <c r="H153" t="s">
        <v>16</v>
      </c>
      <c r="I153" t="s">
        <v>16</v>
      </c>
      <c r="J153" s="2">
        <v>29544000</v>
      </c>
      <c r="K153" s="2">
        <v>140569000</v>
      </c>
    </row>
    <row r="154" spans="1:11" hidden="1" x14ac:dyDescent="0.15">
      <c r="A154" s="6" t="s">
        <v>253</v>
      </c>
      <c r="B154" t="s">
        <v>16</v>
      </c>
      <c r="C154" t="s">
        <v>16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s="2">
        <v>16967271000</v>
      </c>
      <c r="J154" s="2">
        <v>11432472000</v>
      </c>
      <c r="K154" s="2">
        <v>10237079000</v>
      </c>
    </row>
    <row r="155" spans="1:11" hidden="1" x14ac:dyDescent="0.15">
      <c r="A155" s="6" t="s">
        <v>254</v>
      </c>
      <c r="B155" t="s">
        <v>16</v>
      </c>
      <c r="C155" t="s">
        <v>16</v>
      </c>
      <c r="D155" t="s">
        <v>16</v>
      </c>
      <c r="E155" t="s">
        <v>16</v>
      </c>
      <c r="F155" t="s">
        <v>16</v>
      </c>
      <c r="G155" t="s">
        <v>16</v>
      </c>
      <c r="H155" t="s">
        <v>16</v>
      </c>
      <c r="I155" s="2">
        <v>2322418000</v>
      </c>
      <c r="J155" s="2">
        <v>3692376000</v>
      </c>
      <c r="K155" s="2">
        <v>9994771000</v>
      </c>
    </row>
    <row r="156" spans="1:11" hidden="1" x14ac:dyDescent="0.15">
      <c r="A156" s="6" t="s">
        <v>255</v>
      </c>
      <c r="B156" t="s">
        <v>16</v>
      </c>
      <c r="C156" t="s">
        <v>16</v>
      </c>
      <c r="D156" t="s">
        <v>16</v>
      </c>
      <c r="E156" t="s">
        <v>16</v>
      </c>
      <c r="F156" t="s">
        <v>16</v>
      </c>
      <c r="G156" t="s">
        <v>16</v>
      </c>
      <c r="H156" t="s">
        <v>16</v>
      </c>
      <c r="I156" s="2">
        <v>6169692000</v>
      </c>
      <c r="J156" s="2">
        <v>3801244000</v>
      </c>
      <c r="K156" s="2">
        <v>242308000</v>
      </c>
    </row>
    <row r="157" spans="1:11" hidden="1" x14ac:dyDescent="0.15">
      <c r="A157" s="6" t="s">
        <v>256</v>
      </c>
      <c r="B157" t="s">
        <v>16</v>
      </c>
      <c r="C157" t="s">
        <v>16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s="2">
        <v>8475161000</v>
      </c>
      <c r="J157" s="2">
        <v>3938852000</v>
      </c>
      <c r="K157" t="s">
        <v>16</v>
      </c>
    </row>
    <row r="158" spans="1:11" x14ac:dyDescent="0.15">
      <c r="A158" s="7" t="s">
        <v>106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"/>
  <sheetViews>
    <sheetView showGridLines="0" topLeftCell="A4" zoomScale="125" workbookViewId="0">
      <selection activeCell="J55" sqref="J55"/>
    </sheetView>
  </sheetViews>
  <sheetFormatPr baseColWidth="10" defaultRowHeight="13" x14ac:dyDescent="0.15"/>
  <cols>
    <col min="1" max="1" width="3.1640625" style="26" customWidth="1"/>
    <col min="2" max="6" width="10.83203125" style="26"/>
    <col min="7" max="7" width="11.6640625" style="26" bestFit="1" customWidth="1"/>
    <col min="8" max="9" width="10.83203125" style="26"/>
    <col min="10" max="10" width="21.1640625" style="26" bestFit="1" customWidth="1"/>
    <col min="11" max="11" width="19.6640625" style="26" customWidth="1"/>
    <col min="12" max="12" width="13.6640625" style="26" customWidth="1"/>
    <col min="13" max="13" width="13.33203125" style="26" customWidth="1"/>
    <col min="14" max="16384" width="10.83203125" style="26"/>
  </cols>
  <sheetData>
    <row r="1" spans="1:13" s="25" customFormat="1" ht="47" x14ac:dyDescent="0.55000000000000004">
      <c r="A1" s="24" t="s">
        <v>364</v>
      </c>
      <c r="M1" s="77"/>
    </row>
    <row r="3" spans="1:13" x14ac:dyDescent="0.15">
      <c r="A3" s="66" t="s">
        <v>365</v>
      </c>
      <c r="B3" s="67"/>
      <c r="C3" s="67"/>
      <c r="D3" s="67"/>
      <c r="E3" s="67"/>
      <c r="F3" s="67"/>
      <c r="G3" s="67"/>
      <c r="H3" s="67"/>
      <c r="I3" s="67"/>
      <c r="J3" s="67"/>
      <c r="K3" s="68"/>
    </row>
    <row r="4" spans="1:13" x14ac:dyDescent="0.15">
      <c r="A4" s="69"/>
      <c r="B4" s="70"/>
      <c r="C4" s="70"/>
      <c r="D4" s="70"/>
      <c r="E4" s="70"/>
      <c r="F4" s="70"/>
      <c r="G4" s="70"/>
      <c r="H4" s="70"/>
      <c r="I4" s="70"/>
      <c r="J4" s="70"/>
      <c r="K4" s="71"/>
    </row>
    <row r="5" spans="1:13" x14ac:dyDescent="0.15">
      <c r="A5" s="72" t="s">
        <v>366</v>
      </c>
      <c r="B5" s="73"/>
      <c r="C5" s="73"/>
      <c r="D5" s="73"/>
      <c r="E5" s="73"/>
      <c r="F5" s="73"/>
      <c r="G5" s="73"/>
      <c r="H5" s="70"/>
      <c r="I5" s="70"/>
      <c r="J5" s="70"/>
      <c r="K5" s="71"/>
    </row>
    <row r="6" spans="1:13" ht="16" x14ac:dyDescent="0.2">
      <c r="A6" s="69"/>
      <c r="B6" s="70" t="s">
        <v>367</v>
      </c>
      <c r="C6" s="70"/>
      <c r="D6" s="70"/>
      <c r="E6" s="70"/>
      <c r="F6" s="70"/>
      <c r="G6" s="70"/>
      <c r="H6" s="70"/>
      <c r="I6" s="70"/>
      <c r="J6" s="70"/>
      <c r="K6" s="74">
        <v>7.2989999999999999E-2</v>
      </c>
    </row>
    <row r="7" spans="1:13" ht="16" x14ac:dyDescent="0.2">
      <c r="A7" s="69"/>
      <c r="B7" s="70" t="s">
        <v>368</v>
      </c>
      <c r="C7" s="70"/>
      <c r="D7" s="70"/>
      <c r="E7" s="70"/>
      <c r="F7" s="70"/>
      <c r="G7" s="70"/>
      <c r="H7" s="70"/>
      <c r="I7" s="70"/>
      <c r="J7" s="70"/>
      <c r="K7" s="74">
        <v>2.69E-2</v>
      </c>
      <c r="M7" s="65"/>
    </row>
    <row r="8" spans="1:13" x14ac:dyDescent="0.15">
      <c r="A8" s="75"/>
      <c r="B8" s="76"/>
      <c r="C8" s="76"/>
      <c r="D8" s="76"/>
      <c r="E8" s="76"/>
      <c r="F8" s="76"/>
      <c r="G8" s="76"/>
      <c r="H8" s="76"/>
      <c r="I8" s="76"/>
      <c r="J8" s="81" t="s">
        <v>427</v>
      </c>
      <c r="K8" s="97">
        <f>K6-K7</f>
        <v>4.6089999999999999E-2</v>
      </c>
    </row>
    <row r="11" spans="1:13" x14ac:dyDescent="0.15">
      <c r="A11" s="66" t="s">
        <v>369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8"/>
    </row>
    <row r="12" spans="1:13" x14ac:dyDescent="0.15">
      <c r="A12" s="69"/>
      <c r="B12" s="70" t="s">
        <v>370</v>
      </c>
      <c r="C12" s="70"/>
      <c r="D12" s="70"/>
      <c r="E12" s="70" t="s">
        <v>371</v>
      </c>
      <c r="F12" s="70"/>
      <c r="G12" s="70"/>
      <c r="H12" s="70"/>
      <c r="I12" s="70"/>
      <c r="J12" s="70"/>
      <c r="K12" s="70"/>
      <c r="L12" s="70"/>
      <c r="M12" s="71"/>
    </row>
    <row r="13" spans="1:13" x14ac:dyDescent="0.15">
      <c r="A13" s="69"/>
      <c r="B13" s="70"/>
      <c r="C13" s="70"/>
      <c r="D13" s="70"/>
      <c r="E13" s="70"/>
      <c r="F13" s="70"/>
      <c r="G13" s="70" t="s">
        <v>372</v>
      </c>
      <c r="H13" s="70"/>
      <c r="I13" s="70"/>
      <c r="J13" s="70"/>
      <c r="K13" s="70" t="s">
        <v>373</v>
      </c>
      <c r="L13" s="70" t="s">
        <v>374</v>
      </c>
      <c r="M13" s="71" t="s">
        <v>375</v>
      </c>
    </row>
    <row r="14" spans="1:13" x14ac:dyDescent="0.15">
      <c r="A14" s="69"/>
      <c r="B14" s="70"/>
      <c r="C14" s="70"/>
      <c r="D14" s="70"/>
      <c r="E14" s="70" t="s">
        <v>376</v>
      </c>
      <c r="F14" s="70"/>
      <c r="G14" s="70" t="s">
        <v>377</v>
      </c>
      <c r="H14" s="70"/>
      <c r="I14" s="70"/>
      <c r="J14" s="70"/>
      <c r="K14" s="70"/>
      <c r="L14" s="70"/>
      <c r="M14" s="71"/>
    </row>
    <row r="15" spans="1:13" ht="16" x14ac:dyDescent="0.2">
      <c r="A15" s="69"/>
      <c r="B15" s="70"/>
      <c r="C15" s="70"/>
      <c r="D15" s="70"/>
      <c r="E15" s="70"/>
      <c r="F15" s="70"/>
      <c r="G15" s="78">
        <v>1</v>
      </c>
      <c r="H15" s="70"/>
      <c r="I15" s="70"/>
      <c r="J15" s="70"/>
      <c r="K15" s="70"/>
      <c r="L15" s="70"/>
      <c r="M15" s="71"/>
    </row>
    <row r="16" spans="1:13" ht="16" x14ac:dyDescent="0.2">
      <c r="A16" s="69"/>
      <c r="B16" s="70" t="s">
        <v>378</v>
      </c>
      <c r="C16" s="70"/>
      <c r="D16" s="70"/>
      <c r="E16" s="70"/>
      <c r="F16" s="70"/>
      <c r="G16" s="80">
        <v>1.0351938274591044</v>
      </c>
      <c r="H16" s="70"/>
      <c r="I16" s="70"/>
      <c r="J16" s="70"/>
      <c r="K16" s="79">
        <f>G16</f>
        <v>1.0351938274591044</v>
      </c>
      <c r="L16" s="78">
        <f>2980.5/5074.6</f>
        <v>0.58733693296023326</v>
      </c>
      <c r="M16" s="71">
        <f>K16*L16</f>
        <v>0.60800756763919528</v>
      </c>
    </row>
    <row r="17" spans="1:13" ht="16" x14ac:dyDescent="0.2">
      <c r="A17" s="69"/>
      <c r="B17" s="70" t="s">
        <v>379</v>
      </c>
      <c r="C17" s="70"/>
      <c r="D17" s="70"/>
      <c r="E17" s="70"/>
      <c r="F17" s="70"/>
      <c r="G17" s="80">
        <v>1.1402385105334458</v>
      </c>
      <c r="H17" s="70"/>
      <c r="I17" s="70"/>
      <c r="J17" s="70"/>
      <c r="K17" s="79">
        <f>G17</f>
        <v>1.1402385105334458</v>
      </c>
      <c r="L17" s="78">
        <v>0.41270000000000001</v>
      </c>
      <c r="M17" s="71">
        <f>K17*L17</f>
        <v>0.4705764332971531</v>
      </c>
    </row>
    <row r="18" spans="1:13" x14ac:dyDescent="0.1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1"/>
    </row>
    <row r="19" spans="1:13" x14ac:dyDescent="0.15">
      <c r="A19" s="75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81" t="s">
        <v>380</v>
      </c>
      <c r="M19" s="98">
        <f>M16+M17</f>
        <v>1.0785840009363483</v>
      </c>
    </row>
    <row r="22" spans="1:13" x14ac:dyDescent="0.15">
      <c r="A22" s="66" t="s">
        <v>381</v>
      </c>
      <c r="B22" s="67"/>
      <c r="C22" s="67"/>
      <c r="D22" s="67"/>
      <c r="E22" s="67"/>
      <c r="F22" s="67"/>
      <c r="G22" s="67"/>
      <c r="H22" s="67"/>
      <c r="I22" s="67"/>
      <c r="J22" s="68"/>
    </row>
    <row r="23" spans="1:13" x14ac:dyDescent="0.15">
      <c r="A23" s="69"/>
      <c r="B23" s="70"/>
      <c r="C23" s="70"/>
      <c r="D23" s="70"/>
      <c r="E23" s="70"/>
      <c r="F23" s="70"/>
      <c r="G23" s="70"/>
      <c r="H23" s="70"/>
      <c r="I23" s="70"/>
      <c r="J23" s="71"/>
    </row>
    <row r="24" spans="1:13" x14ac:dyDescent="0.15">
      <c r="A24" s="69"/>
      <c r="B24" s="70" t="s">
        <v>382</v>
      </c>
      <c r="C24" s="70"/>
      <c r="D24" s="70"/>
      <c r="E24" s="70"/>
      <c r="F24" s="70"/>
      <c r="G24" s="70"/>
      <c r="H24" s="70"/>
      <c r="I24" s="70"/>
      <c r="J24" s="82">
        <f>K8</f>
        <v>4.6089999999999999E-2</v>
      </c>
    </row>
    <row r="25" spans="1:13" x14ac:dyDescent="0.15">
      <c r="A25" s="69"/>
      <c r="B25" s="70" t="s">
        <v>383</v>
      </c>
      <c r="C25" s="70"/>
      <c r="D25" s="70"/>
      <c r="E25" s="70"/>
      <c r="F25" s="70"/>
      <c r="G25" s="70"/>
      <c r="H25" s="70"/>
      <c r="I25" s="70"/>
      <c r="J25" s="71">
        <f>M19</f>
        <v>1.0785840009363483</v>
      </c>
    </row>
    <row r="26" spans="1:13" ht="16" x14ac:dyDescent="0.2">
      <c r="A26" s="69"/>
      <c r="B26" s="70" t="s">
        <v>384</v>
      </c>
      <c r="C26" s="70"/>
      <c r="D26" s="70"/>
      <c r="E26" s="70"/>
      <c r="F26" s="70"/>
      <c r="G26" s="70"/>
      <c r="H26" s="70"/>
      <c r="I26" s="70"/>
      <c r="J26" s="83">
        <v>5.9400000000000001E-2</v>
      </c>
    </row>
    <row r="27" spans="1:13" x14ac:dyDescent="0.15">
      <c r="A27" s="69"/>
      <c r="B27" s="70"/>
      <c r="C27" s="70"/>
      <c r="D27" s="70"/>
      <c r="E27" s="70"/>
      <c r="F27" s="70"/>
      <c r="G27" s="70"/>
      <c r="H27" s="70"/>
      <c r="I27" s="70"/>
      <c r="J27" s="71"/>
    </row>
    <row r="28" spans="1:13" x14ac:dyDescent="0.15">
      <c r="A28" s="69"/>
      <c r="B28" s="70" t="s">
        <v>385</v>
      </c>
      <c r="C28" s="70"/>
      <c r="D28" s="70"/>
      <c r="E28" s="70"/>
      <c r="F28" s="70"/>
      <c r="G28" s="70"/>
      <c r="H28" s="70"/>
      <c r="I28" s="70"/>
      <c r="J28" s="71"/>
    </row>
    <row r="29" spans="1:13" x14ac:dyDescent="0.15">
      <c r="A29" s="69"/>
      <c r="B29" s="70"/>
      <c r="C29" s="70"/>
      <c r="D29" s="70"/>
      <c r="E29" s="70"/>
      <c r="F29" s="70"/>
      <c r="G29" s="70"/>
      <c r="H29" s="70"/>
      <c r="I29" s="70"/>
      <c r="J29" s="71"/>
    </row>
    <row r="30" spans="1:13" x14ac:dyDescent="0.15">
      <c r="A30" s="69"/>
      <c r="B30" s="70"/>
      <c r="C30" s="70"/>
      <c r="D30" s="70" t="s">
        <v>386</v>
      </c>
      <c r="E30" s="70" t="s">
        <v>387</v>
      </c>
      <c r="F30" s="70"/>
      <c r="G30" s="70" t="s">
        <v>388</v>
      </c>
      <c r="H30" s="70" t="s">
        <v>389</v>
      </c>
      <c r="I30" s="70"/>
      <c r="J30" s="71" t="s">
        <v>390</v>
      </c>
    </row>
    <row r="31" spans="1:13" ht="16" x14ac:dyDescent="0.2">
      <c r="A31" s="69"/>
      <c r="B31" s="70"/>
      <c r="C31" s="70"/>
      <c r="D31" s="70" t="s">
        <v>378</v>
      </c>
      <c r="E31" s="70" t="s">
        <v>391</v>
      </c>
      <c r="F31" s="70"/>
      <c r="G31" s="78">
        <v>3.7900000000000003E-2</v>
      </c>
      <c r="H31" s="70"/>
      <c r="I31" s="84">
        <f>L16</f>
        <v>0.58733693296023326</v>
      </c>
      <c r="J31" s="85">
        <f>G31*I31</f>
        <v>2.2260069759192841E-2</v>
      </c>
    </row>
    <row r="32" spans="1:13" ht="16" x14ac:dyDescent="0.2">
      <c r="A32" s="69"/>
      <c r="B32" s="70"/>
      <c r="C32" s="70"/>
      <c r="D32" s="86" t="s">
        <v>379</v>
      </c>
      <c r="E32" s="86" t="s">
        <v>392</v>
      </c>
      <c r="F32" s="70"/>
      <c r="G32" s="78">
        <v>0</v>
      </c>
      <c r="H32" s="70"/>
      <c r="I32" s="84">
        <f>L17</f>
        <v>0.41270000000000001</v>
      </c>
      <c r="J32" s="82">
        <f>I32*G32</f>
        <v>0</v>
      </c>
    </row>
    <row r="33" spans="1:11" x14ac:dyDescent="0.15">
      <c r="A33" s="69"/>
      <c r="B33" s="70"/>
      <c r="C33" s="70"/>
      <c r="D33" s="70"/>
      <c r="E33" s="70"/>
      <c r="F33" s="70"/>
      <c r="G33" s="70"/>
      <c r="H33" s="70"/>
      <c r="I33" s="70" t="s">
        <v>393</v>
      </c>
      <c r="J33" s="85">
        <f>SUM(J31:J32)</f>
        <v>2.2260069759192841E-2</v>
      </c>
    </row>
    <row r="34" spans="1:11" x14ac:dyDescent="0.15">
      <c r="A34" s="69"/>
      <c r="B34" s="70"/>
      <c r="C34" s="70"/>
      <c r="D34" s="70"/>
      <c r="E34" s="70"/>
      <c r="F34" s="70"/>
      <c r="G34" s="70"/>
      <c r="H34" s="70"/>
      <c r="I34" s="70"/>
      <c r="J34" s="71"/>
    </row>
    <row r="35" spans="1:11" x14ac:dyDescent="0.15">
      <c r="A35" s="75"/>
      <c r="B35" s="76"/>
      <c r="C35" s="76"/>
      <c r="D35" s="76"/>
      <c r="E35" s="76"/>
      <c r="F35" s="76"/>
      <c r="G35" s="76"/>
      <c r="H35" s="76"/>
      <c r="I35" s="81" t="s">
        <v>394</v>
      </c>
      <c r="J35" s="97">
        <f>J24+(J25*J26)+J33</f>
        <v>0.13241795941481194</v>
      </c>
    </row>
    <row r="38" spans="1:11" x14ac:dyDescent="0.15">
      <c r="A38" s="87" t="s">
        <v>395</v>
      </c>
      <c r="B38" s="88"/>
      <c r="C38" s="88"/>
      <c r="D38" s="88"/>
      <c r="E38" s="88"/>
      <c r="F38" s="88"/>
      <c r="G38" s="88"/>
      <c r="H38" s="88"/>
      <c r="I38" s="93" t="s">
        <v>396</v>
      </c>
      <c r="J38" s="92">
        <f>K8+(M19*J35)</f>
        <v>0.18891389246145485</v>
      </c>
    </row>
    <row r="40" spans="1:11" x14ac:dyDescent="0.15">
      <c r="A40" s="66" t="s">
        <v>397</v>
      </c>
      <c r="B40" s="67"/>
      <c r="C40" s="67"/>
      <c r="D40" s="67"/>
      <c r="E40" s="67"/>
      <c r="F40" s="67"/>
      <c r="G40" s="67"/>
      <c r="H40" s="67"/>
      <c r="I40" s="67"/>
      <c r="J40" s="67"/>
      <c r="K40" s="68"/>
    </row>
    <row r="41" spans="1:11" x14ac:dyDescent="0.15">
      <c r="A41" s="69"/>
      <c r="B41" s="70"/>
      <c r="C41" s="70"/>
      <c r="D41" s="70"/>
      <c r="E41" s="70"/>
      <c r="F41" s="70"/>
      <c r="G41" s="70"/>
      <c r="H41" s="70"/>
      <c r="I41" s="70"/>
      <c r="J41" s="70"/>
      <c r="K41" s="71"/>
    </row>
    <row r="42" spans="1:11" x14ac:dyDescent="0.15">
      <c r="A42" s="69"/>
      <c r="B42" s="70" t="s">
        <v>398</v>
      </c>
      <c r="C42" s="70"/>
      <c r="D42" s="70"/>
      <c r="E42" s="70"/>
      <c r="F42" s="70"/>
      <c r="G42" s="70"/>
      <c r="H42" s="70"/>
      <c r="I42" s="70"/>
      <c r="J42" s="70"/>
      <c r="K42" s="71"/>
    </row>
    <row r="43" spans="1:11" x14ac:dyDescent="0.15">
      <c r="A43" s="69"/>
      <c r="B43" s="70"/>
      <c r="C43" s="70"/>
      <c r="D43" s="70"/>
      <c r="E43" s="70"/>
      <c r="F43" s="70"/>
      <c r="G43" s="70"/>
      <c r="H43" s="70" t="s">
        <v>399</v>
      </c>
      <c r="I43" s="70" t="s">
        <v>400</v>
      </c>
      <c r="J43" s="70"/>
      <c r="K43" s="71"/>
    </row>
    <row r="44" spans="1:11" ht="16" x14ac:dyDescent="0.2">
      <c r="A44" s="69"/>
      <c r="B44" s="70" t="s">
        <v>401</v>
      </c>
      <c r="C44" s="70"/>
      <c r="D44" s="70"/>
      <c r="E44" s="70"/>
      <c r="F44" s="70"/>
      <c r="G44" s="89">
        <f>17993000000/196876000</f>
        <v>91.392551656880471</v>
      </c>
      <c r="H44" s="70" t="s">
        <v>402</v>
      </c>
      <c r="I44" s="70" t="s">
        <v>403</v>
      </c>
      <c r="J44" s="70" t="s">
        <v>398</v>
      </c>
      <c r="K44" s="74">
        <v>6.8999999999999999E-3</v>
      </c>
    </row>
    <row r="45" spans="1:11" x14ac:dyDescent="0.15">
      <c r="A45" s="69"/>
      <c r="B45" s="70"/>
      <c r="C45" s="70"/>
      <c r="D45" s="70"/>
      <c r="E45" s="70"/>
      <c r="F45" s="70"/>
      <c r="G45" s="70"/>
      <c r="H45" s="70"/>
      <c r="I45" s="70"/>
      <c r="J45" s="70"/>
      <c r="K45" s="71"/>
    </row>
    <row r="46" spans="1:11" ht="16" x14ac:dyDescent="0.2">
      <c r="A46" s="69"/>
      <c r="B46" s="89" t="s">
        <v>404</v>
      </c>
      <c r="C46" s="70"/>
      <c r="D46" s="70"/>
      <c r="E46" s="70"/>
      <c r="F46" s="70"/>
      <c r="G46" s="70"/>
      <c r="H46" s="70"/>
      <c r="I46" s="70"/>
      <c r="J46" s="70"/>
      <c r="K46" s="74">
        <f>(4280032000-2799648000)/8732406000</f>
        <v>0.16952761930675234</v>
      </c>
    </row>
    <row r="47" spans="1:11" x14ac:dyDescent="0.15">
      <c r="A47" s="69"/>
      <c r="B47" s="70"/>
      <c r="C47" s="70"/>
      <c r="D47" s="70"/>
      <c r="E47" s="70"/>
      <c r="F47" s="70"/>
      <c r="G47" s="70"/>
      <c r="H47" s="70"/>
      <c r="I47" s="70"/>
      <c r="J47" s="70"/>
      <c r="K47" s="71"/>
    </row>
    <row r="48" spans="1:11" x14ac:dyDescent="0.15">
      <c r="A48" s="75"/>
      <c r="B48" s="76"/>
      <c r="C48" s="76"/>
      <c r="D48" s="76"/>
      <c r="E48" s="76"/>
      <c r="F48" s="76"/>
      <c r="G48" s="76"/>
      <c r="H48" s="76"/>
      <c r="I48" s="81" t="s">
        <v>405</v>
      </c>
      <c r="J48" s="91">
        <f>(K8+K44+J33)*(1-K46)</f>
        <v>6.2493104580249842E-2</v>
      </c>
      <c r="K48" s="90"/>
    </row>
    <row r="50" spans="1:11" x14ac:dyDescent="0.15">
      <c r="A50" s="66" t="s">
        <v>406</v>
      </c>
      <c r="B50" s="67"/>
      <c r="C50" s="67"/>
      <c r="D50" s="67"/>
      <c r="E50" s="67"/>
      <c r="F50" s="67"/>
      <c r="G50" s="67"/>
      <c r="H50" s="67"/>
      <c r="I50" s="67"/>
      <c r="J50" s="67"/>
      <c r="K50" s="68"/>
    </row>
    <row r="51" spans="1:11" x14ac:dyDescent="0.15">
      <c r="A51" s="69"/>
      <c r="B51" s="70"/>
      <c r="C51" s="70"/>
      <c r="D51" s="70"/>
      <c r="E51" s="70"/>
      <c r="F51" s="70"/>
      <c r="G51" s="70"/>
      <c r="H51" s="70"/>
      <c r="I51" s="70"/>
      <c r="J51" s="70"/>
      <c r="K51" s="71"/>
    </row>
    <row r="52" spans="1:11" ht="16" x14ac:dyDescent="0.2">
      <c r="A52" s="69"/>
      <c r="B52" s="70" t="s">
        <v>407</v>
      </c>
      <c r="C52" s="70"/>
      <c r="D52" s="94">
        <v>309374.98</v>
      </c>
      <c r="E52" s="70"/>
      <c r="F52" s="70"/>
      <c r="G52" s="70"/>
      <c r="H52" s="70"/>
      <c r="I52" s="70"/>
      <c r="J52" s="70"/>
      <c r="K52" s="71"/>
    </row>
    <row r="53" spans="1:11" ht="16" x14ac:dyDescent="0.2">
      <c r="A53" s="69"/>
      <c r="B53" s="70" t="s">
        <v>408</v>
      </c>
      <c r="C53" s="70"/>
      <c r="D53" s="94">
        <v>18511.919999999998</v>
      </c>
      <c r="E53" s="70"/>
      <c r="F53" s="70"/>
      <c r="G53" s="70"/>
      <c r="H53" s="70"/>
      <c r="I53" s="70"/>
      <c r="J53" s="70"/>
      <c r="K53" s="71"/>
    </row>
    <row r="54" spans="1:11" x14ac:dyDescent="0.15">
      <c r="A54" s="69"/>
      <c r="B54" s="70" t="s">
        <v>409</v>
      </c>
      <c r="C54" s="70"/>
      <c r="D54" s="95">
        <f>SUM(D52:D53)</f>
        <v>327886.89999999997</v>
      </c>
      <c r="E54" s="70"/>
      <c r="F54" s="70"/>
      <c r="G54" s="70"/>
      <c r="H54" s="70"/>
      <c r="I54" s="70"/>
      <c r="J54" s="70"/>
      <c r="K54" s="71"/>
    </row>
    <row r="55" spans="1:11" x14ac:dyDescent="0.15">
      <c r="A55" s="75"/>
      <c r="B55" s="76"/>
      <c r="C55" s="76"/>
      <c r="D55" s="76"/>
      <c r="E55" s="76"/>
      <c r="F55" s="76"/>
      <c r="G55" s="76"/>
      <c r="H55" s="76"/>
      <c r="I55" s="81" t="s">
        <v>410</v>
      </c>
      <c r="J55" s="96">
        <f>(J38*(D52/D54))+(J48*(1-K46)*(D53/D54))</f>
        <v>0.18117826020617459</v>
      </c>
      <c r="K55" s="9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"/>
  <sheetViews>
    <sheetView workbookViewId="0">
      <selection activeCell="A10" sqref="A10"/>
    </sheetView>
  </sheetViews>
  <sheetFormatPr baseColWidth="10" defaultRowHeight="13" x14ac:dyDescent="0.15"/>
  <cols>
    <col min="1" max="1" width="70.83203125" customWidth="1"/>
    <col min="2" max="2" width="19.33203125" customWidth="1"/>
    <col min="3" max="3" width="18.33203125" customWidth="1"/>
    <col min="4" max="4" width="18.1640625" customWidth="1"/>
    <col min="5" max="5" width="18.6640625" customWidth="1"/>
    <col min="6" max="6" width="15.83203125" customWidth="1"/>
    <col min="7" max="7" width="18.33203125" customWidth="1"/>
    <col min="8" max="8" width="16.83203125" customWidth="1"/>
    <col min="9" max="9" width="19" customWidth="1"/>
    <col min="10" max="10" width="17.6640625" customWidth="1"/>
    <col min="11" max="11" width="19.5" customWidth="1"/>
    <col min="12" max="12" width="18.6640625" customWidth="1"/>
  </cols>
  <sheetData>
    <row r="1" spans="1:12" x14ac:dyDescent="0.15">
      <c r="A1" s="1" t="s">
        <v>257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258</v>
      </c>
      <c r="B2" s="2">
        <v>3205559000</v>
      </c>
      <c r="C2" s="2">
        <v>555694000</v>
      </c>
      <c r="D2" s="2">
        <v>5507711000</v>
      </c>
      <c r="E2" s="2">
        <v>3818596000</v>
      </c>
      <c r="F2" s="2">
        <v>146064000</v>
      </c>
      <c r="G2" s="2">
        <v>4511302000</v>
      </c>
      <c r="H2" s="2">
        <v>5498261000</v>
      </c>
      <c r="I2" s="2">
        <v>5508263000</v>
      </c>
      <c r="J2" s="2">
        <v>9687807000</v>
      </c>
      <c r="K2" s="2">
        <v>13303433000</v>
      </c>
      <c r="L2" s="2">
        <v>7980933000</v>
      </c>
    </row>
    <row r="3" spans="1:12" x14ac:dyDescent="0.15">
      <c r="A3" t="s">
        <v>259</v>
      </c>
      <c r="B3" s="2">
        <v>3205559000</v>
      </c>
      <c r="C3" s="2">
        <v>555694000</v>
      </c>
      <c r="D3" s="2">
        <v>5507711000</v>
      </c>
      <c r="E3" s="2">
        <v>3818596000</v>
      </c>
      <c r="F3" s="2">
        <v>146064000</v>
      </c>
      <c r="G3" s="2">
        <v>4511302000</v>
      </c>
      <c r="H3" s="2">
        <v>5498261000</v>
      </c>
      <c r="I3" s="2">
        <v>5508263000</v>
      </c>
      <c r="J3" s="2">
        <v>9687807000</v>
      </c>
      <c r="K3" s="2">
        <v>13303432000</v>
      </c>
      <c r="L3" s="2">
        <v>7980932000</v>
      </c>
    </row>
    <row r="4" spans="1:12" x14ac:dyDescent="0.15">
      <c r="A4" t="s">
        <v>260</v>
      </c>
      <c r="B4" s="2">
        <v>3642182000</v>
      </c>
      <c r="C4" s="2">
        <v>844705000</v>
      </c>
      <c r="D4" s="2">
        <v>5688829000</v>
      </c>
      <c r="E4" s="2">
        <v>3721418000</v>
      </c>
      <c r="F4" s="2">
        <v>164639000</v>
      </c>
      <c r="G4" s="2">
        <v>4743574000</v>
      </c>
      <c r="H4" s="2">
        <v>6410717000</v>
      </c>
      <c r="I4" s="2">
        <v>6215126000</v>
      </c>
      <c r="J4" s="2">
        <v>11155855000</v>
      </c>
      <c r="K4" s="2">
        <v>17313313000</v>
      </c>
      <c r="L4" s="2">
        <v>11364313000</v>
      </c>
    </row>
    <row r="5" spans="1:12" x14ac:dyDescent="0.15">
      <c r="A5" t="s">
        <v>261</v>
      </c>
      <c r="B5" s="2">
        <v>1537257000</v>
      </c>
      <c r="C5" s="2">
        <v>922938000</v>
      </c>
      <c r="D5" s="2">
        <v>765993000</v>
      </c>
      <c r="E5" s="2">
        <v>-1431666000</v>
      </c>
      <c r="F5" s="2">
        <v>-731738000</v>
      </c>
      <c r="G5" s="2">
        <v>2049313000</v>
      </c>
      <c r="H5" s="2">
        <v>4097397000</v>
      </c>
      <c r="I5" s="2">
        <v>2697899000</v>
      </c>
      <c r="J5" s="2">
        <v>9405399000</v>
      </c>
      <c r="K5" s="2">
        <v>18678939000</v>
      </c>
      <c r="L5" s="2">
        <v>16272339000</v>
      </c>
    </row>
    <row r="6" spans="1:12" x14ac:dyDescent="0.15">
      <c r="A6" t="s">
        <v>262</v>
      </c>
      <c r="B6" s="2">
        <v>1796407000</v>
      </c>
      <c r="C6" s="2">
        <v>2604415000</v>
      </c>
      <c r="D6" s="2">
        <v>2886143000</v>
      </c>
      <c r="E6" s="2">
        <v>3457051000</v>
      </c>
      <c r="F6" s="2">
        <v>3653811000</v>
      </c>
      <c r="G6" s="2">
        <v>3886047000</v>
      </c>
      <c r="H6" s="2">
        <v>3849836000</v>
      </c>
      <c r="I6" s="2">
        <v>3419566000</v>
      </c>
      <c r="J6" s="2">
        <v>2996103000</v>
      </c>
      <c r="K6" s="2">
        <v>52929000</v>
      </c>
      <c r="L6" s="2">
        <v>-456671000</v>
      </c>
    </row>
    <row r="7" spans="1:12" x14ac:dyDescent="0.15">
      <c r="A7" t="s">
        <v>263</v>
      </c>
      <c r="B7" s="2">
        <v>709372000</v>
      </c>
      <c r="C7" s="2">
        <v>1055037000</v>
      </c>
      <c r="D7" s="2">
        <v>1181847000</v>
      </c>
      <c r="E7" s="2">
        <v>1157342000</v>
      </c>
      <c r="F7" s="2">
        <v>1182470000</v>
      </c>
      <c r="G7" s="2">
        <v>1317960000</v>
      </c>
      <c r="H7" s="2">
        <v>1328509000</v>
      </c>
      <c r="I7" s="2">
        <v>1368981000</v>
      </c>
      <c r="J7" s="2">
        <v>1384513000</v>
      </c>
      <c r="K7" s="2">
        <v>1046968000</v>
      </c>
      <c r="L7" s="2">
        <v>978468000</v>
      </c>
    </row>
    <row r="8" spans="1:12" x14ac:dyDescent="0.15">
      <c r="A8" t="s">
        <v>264</v>
      </c>
      <c r="B8" s="2">
        <v>709372000</v>
      </c>
      <c r="C8" s="2">
        <v>1055037000</v>
      </c>
      <c r="D8" s="2">
        <v>1181847000</v>
      </c>
      <c r="E8" s="2">
        <v>1157342000</v>
      </c>
      <c r="F8" s="2">
        <v>1182470000</v>
      </c>
      <c r="G8" s="2">
        <v>1317960000</v>
      </c>
      <c r="H8" s="2">
        <v>1328509000</v>
      </c>
      <c r="I8" s="2">
        <v>1368981000</v>
      </c>
      <c r="J8" s="2">
        <v>1384513000</v>
      </c>
      <c r="K8" s="2">
        <v>1046968000</v>
      </c>
      <c r="L8" s="2">
        <v>978468000</v>
      </c>
    </row>
    <row r="9" spans="1:12" x14ac:dyDescent="0.15">
      <c r="A9" t="s">
        <v>265</v>
      </c>
      <c r="B9" s="2">
        <v>709187000</v>
      </c>
      <c r="C9" s="2">
        <v>1054881000</v>
      </c>
      <c r="D9" s="2">
        <v>1181751000</v>
      </c>
      <c r="E9" s="2">
        <v>1157342000</v>
      </c>
      <c r="F9" t="s">
        <v>16</v>
      </c>
      <c r="G9" t="s">
        <v>16</v>
      </c>
      <c r="H9" t="s">
        <v>16</v>
      </c>
      <c r="I9" t="s">
        <v>16</v>
      </c>
      <c r="J9" s="2">
        <v>1277813000</v>
      </c>
      <c r="K9" s="2">
        <v>944715000</v>
      </c>
      <c r="L9" t="s">
        <v>16</v>
      </c>
    </row>
    <row r="10" spans="1:12" x14ac:dyDescent="0.15">
      <c r="A10" t="s">
        <v>266</v>
      </c>
      <c r="B10" s="2">
        <v>185000</v>
      </c>
      <c r="C10" s="2">
        <v>156000</v>
      </c>
      <c r="D10" s="2">
        <v>96000</v>
      </c>
      <c r="E10" s="2">
        <v>0</v>
      </c>
      <c r="F10" t="s">
        <v>16</v>
      </c>
      <c r="G10" t="s">
        <v>16</v>
      </c>
      <c r="H10" t="s">
        <v>16</v>
      </c>
      <c r="I10" t="s">
        <v>16</v>
      </c>
      <c r="J10" s="2">
        <v>106700000</v>
      </c>
      <c r="K10" s="2">
        <v>102254000</v>
      </c>
      <c r="L10" t="s">
        <v>16</v>
      </c>
    </row>
    <row r="11" spans="1:12" x14ac:dyDescent="0.15">
      <c r="A11" t="s">
        <v>267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s="2">
        <v>17657000</v>
      </c>
      <c r="H11" s="2">
        <v>22137000</v>
      </c>
      <c r="I11" s="2">
        <v>17139000</v>
      </c>
      <c r="J11" s="2">
        <v>24928000</v>
      </c>
      <c r="K11" s="2">
        <v>29437000</v>
      </c>
      <c r="L11" s="2">
        <v>27337000</v>
      </c>
    </row>
    <row r="12" spans="1:12" x14ac:dyDescent="0.15">
      <c r="A12" t="s">
        <v>268</v>
      </c>
      <c r="B12" s="2">
        <v>1084616000</v>
      </c>
      <c r="C12" s="2">
        <v>1527002000</v>
      </c>
      <c r="D12" s="2">
        <v>2093491000</v>
      </c>
      <c r="E12" s="2">
        <v>2308873000</v>
      </c>
      <c r="F12" s="2">
        <v>2472514000</v>
      </c>
      <c r="G12" s="2">
        <v>2548822000</v>
      </c>
      <c r="H12" s="2">
        <v>2494453000</v>
      </c>
      <c r="I12" s="2">
        <v>2086935000</v>
      </c>
      <c r="J12" s="2">
        <v>1515226000</v>
      </c>
      <c r="K12" s="2">
        <v>-1102000</v>
      </c>
      <c r="L12" s="2">
        <v>-440802000</v>
      </c>
    </row>
    <row r="13" spans="1:12" x14ac:dyDescent="0.15">
      <c r="A13" t="s">
        <v>269</v>
      </c>
      <c r="B13" s="2">
        <v>4533000</v>
      </c>
      <c r="C13" s="2">
        <v>9623000</v>
      </c>
      <c r="D13" s="2">
        <v>21955000</v>
      </c>
      <c r="E13" s="2">
        <v>-4453000</v>
      </c>
      <c r="F13" s="2">
        <v>23394000</v>
      </c>
      <c r="G13" s="2">
        <v>548000</v>
      </c>
      <c r="H13" s="2">
        <v>2775000</v>
      </c>
      <c r="I13" s="2">
        <v>-39756000</v>
      </c>
      <c r="J13" s="2">
        <v>76732000</v>
      </c>
      <c r="K13" s="2">
        <v>-10441000</v>
      </c>
      <c r="L13" s="2">
        <v>-15341000</v>
      </c>
    </row>
    <row r="14" spans="1:12" x14ac:dyDescent="0.15">
      <c r="A14" t="s">
        <v>270</v>
      </c>
      <c r="B14" s="2">
        <v>-1310000</v>
      </c>
      <c r="C14" s="2">
        <v>15828000</v>
      </c>
      <c r="D14" s="2">
        <v>-401868000</v>
      </c>
      <c r="E14" s="2">
        <v>-4702000</v>
      </c>
      <c r="F14" s="2">
        <v>0</v>
      </c>
      <c r="G14" s="2">
        <v>39000</v>
      </c>
      <c r="H14" s="2">
        <v>0</v>
      </c>
      <c r="I14" s="2">
        <v>-521000</v>
      </c>
      <c r="J14" s="2">
        <v>0</v>
      </c>
      <c r="K14" s="2">
        <v>-1010000</v>
      </c>
      <c r="L14" s="2">
        <v>-1010000</v>
      </c>
    </row>
    <row r="15" spans="1:12" x14ac:dyDescent="0.15">
      <c r="A15" t="s">
        <v>271</v>
      </c>
      <c r="B15" s="2">
        <v>-1310000</v>
      </c>
      <c r="C15" s="2">
        <v>0</v>
      </c>
      <c r="D15" s="2">
        <v>-401870000</v>
      </c>
      <c r="E15" s="2">
        <v>-4702000</v>
      </c>
      <c r="F15" t="s">
        <v>16</v>
      </c>
      <c r="G15" s="2">
        <v>39000</v>
      </c>
      <c r="H15" s="2">
        <v>0</v>
      </c>
      <c r="I15" s="2">
        <v>-521000</v>
      </c>
      <c r="J15" s="2">
        <v>0</v>
      </c>
      <c r="K15" s="2">
        <v>-1010000</v>
      </c>
      <c r="L15" s="2">
        <v>-110000</v>
      </c>
    </row>
    <row r="16" spans="1:12" x14ac:dyDescent="0.15">
      <c r="A16" t="s">
        <v>272</v>
      </c>
      <c r="B16" s="2">
        <v>0</v>
      </c>
      <c r="C16" s="2">
        <v>15816000</v>
      </c>
      <c r="D16" s="2">
        <v>0</v>
      </c>
      <c r="E16" t="s">
        <v>16</v>
      </c>
      <c r="F16" t="s">
        <v>16</v>
      </c>
      <c r="G16" s="2">
        <v>0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15">
      <c r="A17" t="s">
        <v>273</v>
      </c>
      <c r="B17" s="2">
        <v>0</v>
      </c>
      <c r="C17" t="s">
        <v>16</v>
      </c>
      <c r="D17" t="s">
        <v>16</v>
      </c>
      <c r="E17" t="s">
        <v>16</v>
      </c>
      <c r="F17" s="2">
        <v>0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</row>
    <row r="18" spans="1:12" x14ac:dyDescent="0.15">
      <c r="A18" t="s">
        <v>274</v>
      </c>
      <c r="B18" t="s">
        <v>16</v>
      </c>
      <c r="C18" s="2">
        <v>12000</v>
      </c>
      <c r="D18" s="2">
        <v>2000</v>
      </c>
      <c r="E18" s="2">
        <v>0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</row>
    <row r="19" spans="1:12" x14ac:dyDescent="0.15">
      <c r="A19" t="s">
        <v>275</v>
      </c>
      <c r="B19" s="2">
        <v>-818000</v>
      </c>
      <c r="C19" s="2">
        <v>-3078000</v>
      </c>
      <c r="D19" s="2">
        <v>-9282000</v>
      </c>
      <c r="E19" s="2">
        <v>-9000</v>
      </c>
      <c r="F19" s="2">
        <v>-24566000</v>
      </c>
      <c r="G19" s="2">
        <v>1021000</v>
      </c>
      <c r="H19" s="2">
        <v>1962000</v>
      </c>
      <c r="I19" s="2">
        <v>-13212000</v>
      </c>
      <c r="J19" s="2">
        <v>-5296000</v>
      </c>
      <c r="K19" s="2">
        <v>-1010923000</v>
      </c>
      <c r="L19" s="2">
        <v>-1005323000</v>
      </c>
    </row>
    <row r="20" spans="1:12" x14ac:dyDescent="0.15">
      <c r="A20" t="s">
        <v>276</v>
      </c>
      <c r="B20" s="2">
        <v>-818000</v>
      </c>
      <c r="C20" s="2">
        <v>-3078000</v>
      </c>
      <c r="D20" s="2">
        <v>-9282000</v>
      </c>
      <c r="E20" s="2">
        <v>-9000</v>
      </c>
      <c r="F20" s="2">
        <v>-24566000</v>
      </c>
      <c r="G20" s="2">
        <v>1021000</v>
      </c>
      <c r="H20" s="2">
        <v>1962000</v>
      </c>
      <c r="I20" s="2">
        <v>-13212000</v>
      </c>
      <c r="J20" s="2">
        <v>-5396000</v>
      </c>
      <c r="K20" s="2">
        <v>-23477000</v>
      </c>
      <c r="L20" s="2">
        <v>-17877000</v>
      </c>
    </row>
    <row r="21" spans="1:12" x14ac:dyDescent="0.15">
      <c r="A21" t="s">
        <v>277</v>
      </c>
      <c r="B21" s="2">
        <v>-818000</v>
      </c>
      <c r="C21" s="2">
        <v>-3078000</v>
      </c>
      <c r="D21" s="2">
        <v>-9282000</v>
      </c>
      <c r="E21" s="2">
        <v>-9000</v>
      </c>
      <c r="F21" s="2">
        <v>-15566000</v>
      </c>
      <c r="G21" s="2">
        <v>1021000</v>
      </c>
      <c r="H21" s="2">
        <v>1962000</v>
      </c>
      <c r="I21" s="2">
        <v>-13212000</v>
      </c>
      <c r="J21" s="2">
        <v>-5396000</v>
      </c>
      <c r="K21" s="2">
        <v>-23477000</v>
      </c>
      <c r="L21" s="2">
        <v>-17877000</v>
      </c>
    </row>
    <row r="22" spans="1:12" x14ac:dyDescent="0.15">
      <c r="A22" t="s">
        <v>278</v>
      </c>
      <c r="B22" t="s">
        <v>16</v>
      </c>
      <c r="C22" t="s">
        <v>16</v>
      </c>
      <c r="D22" t="s">
        <v>16</v>
      </c>
      <c r="E22" t="s">
        <v>16</v>
      </c>
      <c r="F22" s="2">
        <v>-9000000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  <c r="L22" t="s">
        <v>16</v>
      </c>
    </row>
    <row r="23" spans="1:12" x14ac:dyDescent="0.15">
      <c r="A23" t="s">
        <v>279</v>
      </c>
      <c r="B23" t="s">
        <v>16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s="2">
        <v>100000</v>
      </c>
      <c r="K23" s="2">
        <v>0</v>
      </c>
      <c r="L23" t="s">
        <v>16</v>
      </c>
    </row>
    <row r="24" spans="1:12" x14ac:dyDescent="0.15">
      <c r="A24" t="s">
        <v>280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s="2">
        <v>-987446000</v>
      </c>
      <c r="L24" t="s">
        <v>16</v>
      </c>
    </row>
    <row r="25" spans="1:12" x14ac:dyDescent="0.15">
      <c r="A25" t="s">
        <v>281</v>
      </c>
      <c r="B25" s="2">
        <v>14000</v>
      </c>
      <c r="C25" s="2">
        <v>3000</v>
      </c>
      <c r="D25" t="s">
        <v>16</v>
      </c>
      <c r="E25" t="s">
        <v>16</v>
      </c>
      <c r="F25" s="2">
        <v>-1000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 t="s">
        <v>16</v>
      </c>
    </row>
    <row r="26" spans="1:12" x14ac:dyDescent="0.15">
      <c r="A26" t="s">
        <v>282</v>
      </c>
      <c r="B26" s="2">
        <v>308518000</v>
      </c>
      <c r="C26" s="2">
        <v>-2682648000</v>
      </c>
      <c r="D26" s="2">
        <v>2036693000</v>
      </c>
      <c r="E26" s="2">
        <v>1696033000</v>
      </c>
      <c r="F26" s="2">
        <v>-2757434000</v>
      </c>
      <c r="G26" s="2">
        <v>-1191786000</v>
      </c>
      <c r="H26" s="2">
        <v>-1536515000</v>
      </c>
      <c r="I26" s="2">
        <v>97664000</v>
      </c>
      <c r="J26" s="2">
        <v>-1245648000</v>
      </c>
      <c r="K26" s="2">
        <v>-1418554000</v>
      </c>
      <c r="L26" s="2">
        <v>-4451454000</v>
      </c>
    </row>
    <row r="27" spans="1:12" x14ac:dyDescent="0.15">
      <c r="A27" t="s">
        <v>283</v>
      </c>
      <c r="B27" s="2">
        <v>-14069000</v>
      </c>
      <c r="C27" s="2">
        <v>-546918000</v>
      </c>
      <c r="D27" s="2">
        <v>-169949000</v>
      </c>
      <c r="E27" s="2">
        <v>-118758000</v>
      </c>
      <c r="F27" s="2">
        <v>1054210000</v>
      </c>
      <c r="G27" s="2">
        <v>-1279421000</v>
      </c>
      <c r="H27" s="2">
        <v>-1841257000</v>
      </c>
      <c r="I27" s="2">
        <v>590279000</v>
      </c>
      <c r="J27" s="2">
        <v>-531095000</v>
      </c>
      <c r="K27" s="2">
        <v>-3765817000</v>
      </c>
      <c r="L27" s="2">
        <v>-2865617000</v>
      </c>
    </row>
    <row r="28" spans="1:12" x14ac:dyDescent="0.15">
      <c r="A28" t="s">
        <v>284</v>
      </c>
      <c r="B28" s="2">
        <v>-107698000</v>
      </c>
      <c r="C28" s="2">
        <v>48487000</v>
      </c>
      <c r="D28" s="2">
        <v>-638336000</v>
      </c>
      <c r="E28" s="2">
        <v>1892015000</v>
      </c>
      <c r="F28" s="2">
        <v>-153189000</v>
      </c>
      <c r="G28" s="2">
        <v>-423315000</v>
      </c>
      <c r="H28" s="2">
        <v>-112993000</v>
      </c>
      <c r="I28" s="2">
        <v>-237838000</v>
      </c>
      <c r="J28" s="2">
        <v>-1176377000</v>
      </c>
      <c r="K28" s="2">
        <v>-837757000</v>
      </c>
      <c r="L28" s="2">
        <v>151543000</v>
      </c>
    </row>
    <row r="29" spans="1:12" x14ac:dyDescent="0.15">
      <c r="A29" t="s">
        <v>285</v>
      </c>
      <c r="B29" s="2">
        <v>-107698000</v>
      </c>
      <c r="C29" s="2">
        <v>48487000</v>
      </c>
      <c r="D29" s="2">
        <v>-534056000</v>
      </c>
      <c r="E29" s="2">
        <v>520092000</v>
      </c>
      <c r="F29" s="2">
        <v>-153189000</v>
      </c>
      <c r="G29" s="2">
        <v>-423315000</v>
      </c>
      <c r="H29" s="2">
        <v>-112993000</v>
      </c>
      <c r="I29" s="2">
        <v>-237838000</v>
      </c>
      <c r="J29" s="2">
        <v>-1176377000</v>
      </c>
      <c r="K29" s="2">
        <v>-837757000</v>
      </c>
      <c r="L29" s="2">
        <v>151543000</v>
      </c>
    </row>
    <row r="30" spans="1:12" x14ac:dyDescent="0.15">
      <c r="A30" t="s">
        <v>286</v>
      </c>
      <c r="B30" t="s">
        <v>16</v>
      </c>
      <c r="C30" t="s">
        <v>16</v>
      </c>
      <c r="D30" s="2">
        <v>-104280000</v>
      </c>
      <c r="E30" s="2">
        <v>1371923000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 t="s">
        <v>16</v>
      </c>
    </row>
    <row r="31" spans="1:12" x14ac:dyDescent="0.15">
      <c r="A31" t="s">
        <v>287</v>
      </c>
      <c r="B31" s="2">
        <v>-11836000</v>
      </c>
      <c r="C31" s="2">
        <v>14538000</v>
      </c>
      <c r="D31" s="2">
        <v>-12932000</v>
      </c>
      <c r="E31" s="2">
        <v>13251000</v>
      </c>
      <c r="F31" s="2">
        <v>-428471000</v>
      </c>
      <c r="G31" s="2">
        <v>175824000</v>
      </c>
      <c r="H31" s="2">
        <v>13573000</v>
      </c>
      <c r="I31" s="2">
        <v>57852000</v>
      </c>
      <c r="J31" s="2">
        <v>-421887000</v>
      </c>
      <c r="K31" s="2">
        <v>-1954156000</v>
      </c>
      <c r="L31" s="2">
        <v>-4460856000</v>
      </c>
    </row>
    <row r="32" spans="1:12" x14ac:dyDescent="0.15">
      <c r="A32" t="s">
        <v>288</v>
      </c>
      <c r="B32" s="2">
        <v>1502695000</v>
      </c>
      <c r="C32" s="2">
        <v>-847877000</v>
      </c>
      <c r="D32" s="2">
        <v>2230467000</v>
      </c>
      <c r="E32" s="2">
        <v>-413602000</v>
      </c>
      <c r="F32" s="2">
        <v>-3192495000</v>
      </c>
      <c r="G32" s="2">
        <v>364659000</v>
      </c>
      <c r="H32" s="2">
        <v>418270000</v>
      </c>
      <c r="I32" s="2">
        <v>-247162000</v>
      </c>
      <c r="J32" s="2">
        <v>655618000</v>
      </c>
      <c r="K32" s="2">
        <v>3361531000</v>
      </c>
      <c r="L32" s="2">
        <v>1666831000</v>
      </c>
    </row>
    <row r="33" spans="1:12" x14ac:dyDescent="0.15">
      <c r="A33" t="s">
        <v>289</v>
      </c>
      <c r="B33" s="2">
        <v>1502695000</v>
      </c>
      <c r="C33" s="2">
        <v>-847877000</v>
      </c>
      <c r="D33" s="2">
        <v>2230467000</v>
      </c>
      <c r="E33" s="2">
        <v>-413602000</v>
      </c>
      <c r="F33" s="2">
        <v>-3192495000</v>
      </c>
      <c r="G33" s="2">
        <v>364659000</v>
      </c>
      <c r="H33" s="2">
        <v>418270000</v>
      </c>
      <c r="I33" s="2">
        <v>-247162000</v>
      </c>
      <c r="J33" s="2">
        <v>655618000</v>
      </c>
      <c r="K33" s="2">
        <v>3361531000</v>
      </c>
      <c r="L33" s="2">
        <v>1666831000</v>
      </c>
    </row>
    <row r="34" spans="1:12" x14ac:dyDescent="0.15">
      <c r="A34" t="s">
        <v>290</v>
      </c>
      <c r="B34" t="s">
        <v>16</v>
      </c>
      <c r="C34" s="2">
        <v>-847877000</v>
      </c>
      <c r="D34" s="2">
        <v>2230467000</v>
      </c>
      <c r="E34" s="2">
        <v>-413602000</v>
      </c>
      <c r="F34" s="2">
        <v>-3192495000</v>
      </c>
      <c r="G34" s="2">
        <v>364659000</v>
      </c>
      <c r="H34" s="2">
        <v>418270000</v>
      </c>
      <c r="I34" s="2">
        <v>-247162000</v>
      </c>
      <c r="J34" s="2">
        <v>655618000</v>
      </c>
      <c r="K34" s="2">
        <v>3361531000</v>
      </c>
      <c r="L34" s="2">
        <v>1666831000</v>
      </c>
    </row>
    <row r="35" spans="1:12" x14ac:dyDescent="0.15">
      <c r="A35" t="s">
        <v>291</v>
      </c>
      <c r="B35" s="2">
        <v>-1032497000</v>
      </c>
      <c r="C35" s="2">
        <v>-567722000</v>
      </c>
      <c r="D35" s="2">
        <v>-58183000</v>
      </c>
      <c r="E35" s="2">
        <v>170788000</v>
      </c>
      <c r="F35" s="2">
        <v>4290000</v>
      </c>
      <c r="G35" s="2">
        <v>-29533000</v>
      </c>
      <c r="H35" s="2">
        <v>-14108000</v>
      </c>
      <c r="I35" s="2">
        <v>-65467000</v>
      </c>
      <c r="J35" s="2">
        <v>228093000</v>
      </c>
      <c r="K35" s="2">
        <v>1777645000</v>
      </c>
      <c r="L35" s="2">
        <v>1056645000</v>
      </c>
    </row>
    <row r="36" spans="1:12" x14ac:dyDescent="0.15">
      <c r="A36" t="s">
        <v>292</v>
      </c>
      <c r="B36" s="2">
        <v>-28077000</v>
      </c>
      <c r="C36" s="2">
        <v>-783156000</v>
      </c>
      <c r="D36" s="2">
        <v>685626000</v>
      </c>
      <c r="E36" s="2">
        <v>152339000</v>
      </c>
      <c r="F36" s="2">
        <v>-41779000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</row>
    <row r="37" spans="1:12" x14ac:dyDescent="0.15">
      <c r="A37" t="s">
        <v>293</v>
      </c>
      <c r="B37" s="2">
        <v>-436623000</v>
      </c>
      <c r="C37" s="2">
        <v>-289011000</v>
      </c>
      <c r="D37" s="2">
        <v>-181120000</v>
      </c>
      <c r="E37" s="2">
        <v>97177000</v>
      </c>
      <c r="F37" s="2">
        <v>-18575000</v>
      </c>
      <c r="G37" s="2">
        <v>-232272000</v>
      </c>
      <c r="H37" s="2">
        <v>-912456000</v>
      </c>
      <c r="I37" s="2">
        <v>-706863000</v>
      </c>
      <c r="J37" s="2">
        <v>-1468048000</v>
      </c>
      <c r="K37" s="2">
        <v>-4009881000</v>
      </c>
      <c r="L37" s="2">
        <v>-3383381000</v>
      </c>
    </row>
    <row r="38" spans="1:12" x14ac:dyDescent="0.15">
      <c r="A38" t="s">
        <v>294</v>
      </c>
      <c r="B38" t="s">
        <v>16</v>
      </c>
      <c r="C38" t="s">
        <v>16</v>
      </c>
      <c r="D38" s="2">
        <v>2000</v>
      </c>
      <c r="E38" s="2">
        <v>1000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</row>
    <row r="39" spans="1:12" x14ac:dyDescent="0.15">
      <c r="A39" t="s">
        <v>295</v>
      </c>
      <c r="B39" s="2">
        <v>-9824951000</v>
      </c>
      <c r="C39" s="2">
        <v>-2759214000</v>
      </c>
      <c r="D39" s="2">
        <v>-2681722000</v>
      </c>
      <c r="E39" s="2">
        <v>-1060404000</v>
      </c>
      <c r="F39" s="2">
        <v>136183000</v>
      </c>
      <c r="G39" s="2">
        <v>-1210694000</v>
      </c>
      <c r="H39" s="2">
        <v>-664255000</v>
      </c>
      <c r="I39" s="2">
        <v>-1501225000</v>
      </c>
      <c r="J39" s="2">
        <v>-622216000</v>
      </c>
      <c r="K39" s="2">
        <v>-10955643000</v>
      </c>
      <c r="L39" s="2">
        <v>-10263443000</v>
      </c>
    </row>
    <row r="40" spans="1:12" x14ac:dyDescent="0.15">
      <c r="A40" t="s">
        <v>296</v>
      </c>
      <c r="B40" s="2">
        <v>-9824951000</v>
      </c>
      <c r="C40" s="2">
        <v>-2759214000</v>
      </c>
      <c r="D40" s="2">
        <v>-2681722000</v>
      </c>
      <c r="E40" s="2">
        <v>-1060404000</v>
      </c>
      <c r="F40" s="2">
        <v>136183000</v>
      </c>
      <c r="G40" s="2">
        <v>-1210694000</v>
      </c>
      <c r="H40" s="2">
        <v>-664256000</v>
      </c>
      <c r="I40" s="2">
        <v>-1501226000</v>
      </c>
      <c r="J40" s="2">
        <v>-622217000</v>
      </c>
      <c r="K40" s="2">
        <v>-10955644000</v>
      </c>
      <c r="L40" s="2">
        <v>-10267344000</v>
      </c>
    </row>
    <row r="41" spans="1:12" x14ac:dyDescent="0.15">
      <c r="A41" t="s">
        <v>297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s="2">
        <v>-2472351000</v>
      </c>
      <c r="L41" s="2">
        <v>-536851000</v>
      </c>
    </row>
    <row r="42" spans="1:12" x14ac:dyDescent="0.15">
      <c r="A42" t="s">
        <v>298</v>
      </c>
      <c r="B42" s="2">
        <v>-9951085000</v>
      </c>
      <c r="C42" s="2">
        <v>-3105157000</v>
      </c>
      <c r="D42" s="2">
        <v>-2464538000</v>
      </c>
      <c r="E42" s="2">
        <v>-1495177000</v>
      </c>
      <c r="F42" s="2">
        <v>-530254000</v>
      </c>
      <c r="G42" s="2">
        <v>-1051117000</v>
      </c>
      <c r="H42" s="2">
        <v>-759962000</v>
      </c>
      <c r="I42" s="2">
        <v>-1633480000</v>
      </c>
      <c r="J42" s="2">
        <v>-395529000</v>
      </c>
      <c r="K42" s="2">
        <v>-6063202000</v>
      </c>
      <c r="L42" s="2">
        <v>-7879102000</v>
      </c>
    </row>
    <row r="43" spans="1:12" x14ac:dyDescent="0.15">
      <c r="A43" t="s">
        <v>299</v>
      </c>
      <c r="B43" s="2">
        <v>-9978635000</v>
      </c>
      <c r="C43" s="2">
        <v>-3139671000</v>
      </c>
      <c r="D43" s="2">
        <v>-2480912000</v>
      </c>
      <c r="E43" s="2">
        <v>-1582123000</v>
      </c>
      <c r="F43" s="2">
        <v>-716177000</v>
      </c>
      <c r="G43" s="2">
        <v>-1063010000</v>
      </c>
      <c r="H43" s="2">
        <v>-826917000</v>
      </c>
      <c r="I43" s="2">
        <v>-1657614000</v>
      </c>
      <c r="J43" s="2">
        <v>-515439000</v>
      </c>
      <c r="K43" s="2">
        <v>-6131785000</v>
      </c>
      <c r="L43" s="2">
        <v>-7949085000</v>
      </c>
    </row>
    <row r="44" spans="1:12" x14ac:dyDescent="0.15">
      <c r="A44" t="s">
        <v>300</v>
      </c>
      <c r="B44" s="2">
        <v>27550000</v>
      </c>
      <c r="C44" s="2">
        <v>34514000</v>
      </c>
      <c r="D44" s="2">
        <v>16374000</v>
      </c>
      <c r="E44" s="2">
        <v>86946000</v>
      </c>
      <c r="F44" s="2">
        <v>185923000</v>
      </c>
      <c r="G44" s="2">
        <v>11893000</v>
      </c>
      <c r="H44" s="2">
        <v>66955000</v>
      </c>
      <c r="I44" s="2">
        <v>24134000</v>
      </c>
      <c r="J44" s="2">
        <v>119910000</v>
      </c>
      <c r="K44" s="2">
        <v>68583000</v>
      </c>
      <c r="L44" s="2">
        <v>69983000</v>
      </c>
    </row>
    <row r="45" spans="1:12" x14ac:dyDescent="0.15">
      <c r="A45" t="s">
        <v>301</v>
      </c>
      <c r="B45" s="2">
        <v>18000</v>
      </c>
      <c r="C45" s="2">
        <v>-31043000</v>
      </c>
      <c r="D45" s="2">
        <v>269162000</v>
      </c>
      <c r="E45" s="2">
        <v>52870000</v>
      </c>
      <c r="F45" s="2">
        <v>12000000</v>
      </c>
      <c r="G45" s="2">
        <v>-243874000</v>
      </c>
      <c r="H45" s="2">
        <v>64079000</v>
      </c>
      <c r="I45" s="2">
        <v>99848000</v>
      </c>
      <c r="J45" s="2">
        <v>-250879000</v>
      </c>
      <c r="K45" s="2">
        <v>-5570523000</v>
      </c>
      <c r="L45" s="2">
        <v>-4364423000</v>
      </c>
    </row>
    <row r="46" spans="1:12" x14ac:dyDescent="0.15">
      <c r="A46" t="s">
        <v>302</v>
      </c>
      <c r="B46" s="2">
        <v>-2541000</v>
      </c>
      <c r="C46" s="2">
        <v>-31043000</v>
      </c>
      <c r="D46" s="2">
        <v>-137655000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s="2">
        <v>-250879000</v>
      </c>
      <c r="K46" t="s">
        <v>16</v>
      </c>
      <c r="L46" t="s">
        <v>16</v>
      </c>
    </row>
    <row r="47" spans="1:12" x14ac:dyDescent="0.15">
      <c r="A47" t="s">
        <v>303</v>
      </c>
      <c r="B47" s="2">
        <v>2559000</v>
      </c>
      <c r="C47" s="2">
        <v>0</v>
      </c>
      <c r="D47" s="2">
        <v>406817000</v>
      </c>
      <c r="E47" s="2">
        <v>52870000</v>
      </c>
      <c r="F47" s="2">
        <v>12000000</v>
      </c>
      <c r="G47" t="s">
        <v>16</v>
      </c>
      <c r="H47" t="s">
        <v>16</v>
      </c>
      <c r="I47" t="s">
        <v>16</v>
      </c>
      <c r="J47" s="2">
        <v>0</v>
      </c>
      <c r="K47" t="s">
        <v>16</v>
      </c>
      <c r="L47" t="s">
        <v>16</v>
      </c>
    </row>
    <row r="48" spans="1:12" x14ac:dyDescent="0.15">
      <c r="A48" t="s">
        <v>304</v>
      </c>
      <c r="B48" t="s">
        <v>16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s="2">
        <v>2952454000</v>
      </c>
      <c r="L48" s="2">
        <v>3010654000</v>
      </c>
    </row>
    <row r="49" spans="1:12" x14ac:dyDescent="0.15">
      <c r="A49" t="s">
        <v>305</v>
      </c>
      <c r="B49" t="s">
        <v>16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s="2">
        <v>-571864000</v>
      </c>
      <c r="L49" t="s">
        <v>16</v>
      </c>
    </row>
    <row r="50" spans="1:12" x14ac:dyDescent="0.15">
      <c r="A50" t="s">
        <v>306</v>
      </c>
      <c r="B50" t="s">
        <v>16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s="2">
        <v>3524318000</v>
      </c>
      <c r="L50" s="2">
        <v>3582518000</v>
      </c>
    </row>
    <row r="51" spans="1:12" x14ac:dyDescent="0.15">
      <c r="A51" t="s">
        <v>307</v>
      </c>
      <c r="B51" s="2">
        <v>125993000</v>
      </c>
      <c r="C51" s="2">
        <v>123114000</v>
      </c>
      <c r="D51" s="2">
        <v>143031000</v>
      </c>
      <c r="E51" s="2">
        <v>159350000</v>
      </c>
      <c r="F51" s="2">
        <v>118974000</v>
      </c>
      <c r="G51" s="2">
        <v>84297000</v>
      </c>
      <c r="H51" s="2">
        <v>31627000</v>
      </c>
      <c r="I51" s="2">
        <v>32406000</v>
      </c>
      <c r="J51" s="2">
        <v>24191000</v>
      </c>
      <c r="K51" s="2">
        <v>197978000</v>
      </c>
      <c r="L51" s="2">
        <v>400778000</v>
      </c>
    </row>
    <row r="52" spans="1:12" x14ac:dyDescent="0.15">
      <c r="A52" t="s">
        <v>308</v>
      </c>
      <c r="B52" s="2">
        <v>0</v>
      </c>
      <c r="C52" t="s">
        <v>16</v>
      </c>
      <c r="D52" t="s">
        <v>16</v>
      </c>
      <c r="E52" t="s">
        <v>16</v>
      </c>
      <c r="F52" s="2">
        <v>0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</row>
    <row r="53" spans="1:12" x14ac:dyDescent="0.15">
      <c r="A53" t="s">
        <v>309</v>
      </c>
      <c r="B53" s="2">
        <v>123000</v>
      </c>
      <c r="C53" s="2">
        <v>253872000</v>
      </c>
      <c r="D53" s="2">
        <v>-629377000</v>
      </c>
      <c r="E53" s="2">
        <v>222553000</v>
      </c>
      <c r="F53" s="2">
        <v>535463000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</row>
    <row r="54" spans="1:12" x14ac:dyDescent="0.15">
      <c r="A54" t="s">
        <v>310</v>
      </c>
      <c r="B54" s="2">
        <v>6440255000</v>
      </c>
      <c r="C54" s="2">
        <v>2133410000</v>
      </c>
      <c r="D54" s="2">
        <v>-2787101000</v>
      </c>
      <c r="E54" s="2">
        <v>-2774628000</v>
      </c>
      <c r="F54" s="2">
        <v>-206564000</v>
      </c>
      <c r="G54" s="2">
        <v>-3540919000</v>
      </c>
      <c r="H54" s="2">
        <v>-4907492000</v>
      </c>
      <c r="I54" s="2">
        <v>-4007671000</v>
      </c>
      <c r="J54" s="2">
        <v>-9001252000</v>
      </c>
      <c r="K54" s="2">
        <v>-2329338000</v>
      </c>
      <c r="L54" s="2">
        <v>1999062000</v>
      </c>
    </row>
    <row r="55" spans="1:12" x14ac:dyDescent="0.15">
      <c r="A55" t="s">
        <v>311</v>
      </c>
      <c r="B55" s="2">
        <v>6440255000</v>
      </c>
      <c r="C55" s="2">
        <v>2133410000</v>
      </c>
      <c r="D55" s="2">
        <v>-2787101000</v>
      </c>
      <c r="E55" s="2">
        <v>-2774628000</v>
      </c>
      <c r="F55" s="2">
        <v>-206564000</v>
      </c>
      <c r="G55" s="2">
        <v>-3540919000</v>
      </c>
      <c r="H55" s="2">
        <v>-4907494000</v>
      </c>
      <c r="I55" s="2">
        <v>-4007671000</v>
      </c>
      <c r="J55" s="2">
        <v>-9001251000</v>
      </c>
      <c r="K55" s="2">
        <v>-2329339000</v>
      </c>
      <c r="L55" s="2">
        <v>1999061000</v>
      </c>
    </row>
    <row r="56" spans="1:12" x14ac:dyDescent="0.15">
      <c r="A56" t="s">
        <v>312</v>
      </c>
      <c r="B56" s="2">
        <v>6930563000</v>
      </c>
      <c r="C56" s="2">
        <v>3997490000</v>
      </c>
      <c r="D56" s="2">
        <v>-455940000</v>
      </c>
      <c r="E56" s="2">
        <v>-278891000</v>
      </c>
      <c r="F56" s="2">
        <v>2074924000</v>
      </c>
      <c r="G56" s="2">
        <v>-907800000</v>
      </c>
      <c r="H56" s="2">
        <v>-2381414000</v>
      </c>
      <c r="I56" s="2">
        <v>-1888330000</v>
      </c>
      <c r="J56" s="2">
        <v>-7285653000</v>
      </c>
      <c r="K56" s="2">
        <v>-1476516000</v>
      </c>
      <c r="L56" s="2">
        <v>3163984000</v>
      </c>
    </row>
    <row r="57" spans="1:12" x14ac:dyDescent="0.15">
      <c r="A57" t="s">
        <v>313</v>
      </c>
      <c r="B57" s="2">
        <v>1883019000</v>
      </c>
      <c r="C57" s="2">
        <v>-366198000</v>
      </c>
      <c r="D57" s="2">
        <v>488143000</v>
      </c>
      <c r="E57" s="2">
        <v>122962000</v>
      </c>
      <c r="F57" s="2">
        <v>-1452603000</v>
      </c>
      <c r="G57" s="2">
        <v>-610920000</v>
      </c>
      <c r="H57" s="2">
        <v>49018000</v>
      </c>
      <c r="I57" s="2">
        <v>210795000</v>
      </c>
      <c r="J57" s="2">
        <v>-764598000</v>
      </c>
      <c r="K57" s="2">
        <v>2953752000</v>
      </c>
      <c r="L57" s="2">
        <v>2711952000</v>
      </c>
    </row>
    <row r="58" spans="1:12" x14ac:dyDescent="0.15">
      <c r="A58" t="s">
        <v>314</v>
      </c>
      <c r="B58" t="s">
        <v>16</v>
      </c>
      <c r="C58" s="2">
        <v>-366198000</v>
      </c>
      <c r="D58" s="2">
        <v>0</v>
      </c>
      <c r="E58" t="s">
        <v>16</v>
      </c>
      <c r="F58" s="2">
        <v>-1452603000</v>
      </c>
      <c r="G58" s="2">
        <v>-610920000</v>
      </c>
      <c r="H58" t="s">
        <v>16</v>
      </c>
      <c r="I58" t="s">
        <v>16</v>
      </c>
      <c r="J58" t="s">
        <v>16</v>
      </c>
      <c r="K58" t="s">
        <v>16</v>
      </c>
      <c r="L58" t="s">
        <v>16</v>
      </c>
    </row>
    <row r="59" spans="1:12" x14ac:dyDescent="0.15">
      <c r="A59" t="s">
        <v>315</v>
      </c>
      <c r="B59" s="2">
        <v>1883019000</v>
      </c>
      <c r="C59" t="s">
        <v>16</v>
      </c>
      <c r="D59" s="2">
        <v>488143000</v>
      </c>
      <c r="E59" s="2">
        <v>122962000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</row>
    <row r="60" spans="1:12" x14ac:dyDescent="0.15">
      <c r="A60" t="s">
        <v>316</v>
      </c>
      <c r="B60" s="2">
        <v>5047544000</v>
      </c>
      <c r="C60" s="2">
        <v>4363688000</v>
      </c>
      <c r="D60" s="2">
        <v>-944083000</v>
      </c>
      <c r="E60" s="2">
        <v>-401853000</v>
      </c>
      <c r="F60" s="2">
        <v>3527527000</v>
      </c>
      <c r="G60" s="2">
        <v>-296880000</v>
      </c>
      <c r="H60" s="2">
        <v>-2430432000</v>
      </c>
      <c r="I60" s="2">
        <v>-2099125000</v>
      </c>
      <c r="J60" s="2">
        <v>-6521055000</v>
      </c>
      <c r="K60" s="2">
        <v>-4430268000</v>
      </c>
      <c r="L60" s="2">
        <v>452032000</v>
      </c>
    </row>
    <row r="61" spans="1:12" x14ac:dyDescent="0.15">
      <c r="A61" t="s">
        <v>317</v>
      </c>
      <c r="B61" t="s">
        <v>16</v>
      </c>
      <c r="C61" t="s">
        <v>16</v>
      </c>
      <c r="D61" s="2">
        <v>-944083000</v>
      </c>
      <c r="E61" s="2">
        <v>-401853000</v>
      </c>
      <c r="F61" s="2">
        <v>-2681518000</v>
      </c>
      <c r="G61" s="2">
        <v>-296880000</v>
      </c>
      <c r="H61" s="2">
        <v>-2430432000</v>
      </c>
      <c r="I61" s="2">
        <v>-2099125000</v>
      </c>
      <c r="J61" s="2">
        <v>-6521055000</v>
      </c>
      <c r="K61" s="2">
        <v>-4430268000</v>
      </c>
      <c r="L61" s="2">
        <v>452032000</v>
      </c>
    </row>
    <row r="62" spans="1:12" x14ac:dyDescent="0.15">
      <c r="A62" t="s">
        <v>318</v>
      </c>
      <c r="B62" s="2">
        <v>5047544000</v>
      </c>
      <c r="C62" s="2">
        <v>4363688000</v>
      </c>
      <c r="D62" s="2">
        <v>0</v>
      </c>
      <c r="E62" t="s">
        <v>16</v>
      </c>
      <c r="F62" s="2">
        <v>6209045000</v>
      </c>
      <c r="G62" s="2">
        <v>0</v>
      </c>
      <c r="H62" t="s">
        <v>16</v>
      </c>
      <c r="I62" t="s">
        <v>16</v>
      </c>
      <c r="J62" t="s">
        <v>16</v>
      </c>
      <c r="K62" t="s">
        <v>16</v>
      </c>
      <c r="L62" t="s">
        <v>16</v>
      </c>
    </row>
    <row r="63" spans="1:12" x14ac:dyDescent="0.15">
      <c r="A63" t="s">
        <v>319</v>
      </c>
      <c r="B63" t="s">
        <v>16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 s="2">
        <v>-4076000</v>
      </c>
      <c r="L63" t="s">
        <v>16</v>
      </c>
    </row>
    <row r="64" spans="1:12" x14ac:dyDescent="0.15">
      <c r="A64" t="s">
        <v>320</v>
      </c>
      <c r="B64" t="s">
        <v>16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s="2">
        <v>-4076000</v>
      </c>
      <c r="L64" t="s">
        <v>16</v>
      </c>
    </row>
    <row r="65" spans="1:12" x14ac:dyDescent="0.15">
      <c r="A65" t="s">
        <v>321</v>
      </c>
      <c r="B65" s="2">
        <v>-1301753000</v>
      </c>
      <c r="C65" s="2">
        <v>-1792894000</v>
      </c>
      <c r="D65" s="2">
        <v>-2321031000</v>
      </c>
      <c r="E65" s="2">
        <v>-2512732000</v>
      </c>
      <c r="F65" s="2">
        <v>-2591488000</v>
      </c>
      <c r="G65" s="2">
        <v>-2633119000</v>
      </c>
      <c r="H65" s="2">
        <v>-2526080000</v>
      </c>
      <c r="I65" s="2">
        <v>-2119341000</v>
      </c>
      <c r="J65" s="2">
        <v>-1715598000</v>
      </c>
      <c r="K65" s="2">
        <v>-848747000</v>
      </c>
      <c r="L65" s="2">
        <v>-1160847000</v>
      </c>
    </row>
    <row r="66" spans="1:12" x14ac:dyDescent="0.15">
      <c r="A66" t="s">
        <v>322</v>
      </c>
      <c r="B66" s="2">
        <v>-91144000</v>
      </c>
      <c r="C66" s="2">
        <v>-142778000</v>
      </c>
      <c r="D66" s="2">
        <v>-84509000</v>
      </c>
      <c r="E66" s="2">
        <v>-44509000</v>
      </c>
      <c r="F66" s="2">
        <v>0</v>
      </c>
      <c r="G66" t="s">
        <v>16</v>
      </c>
      <c r="H66" t="s">
        <v>16</v>
      </c>
      <c r="I66" t="s">
        <v>16</v>
      </c>
      <c r="J66" s="2">
        <v>-176181000</v>
      </c>
      <c r="K66" s="2">
        <v>-651871000</v>
      </c>
      <c r="L66" s="2">
        <v>-1197971000</v>
      </c>
    </row>
    <row r="67" spans="1:12" x14ac:dyDescent="0.15">
      <c r="A67" t="s">
        <v>323</v>
      </c>
      <c r="B67" t="s">
        <v>16</v>
      </c>
      <c r="C67" t="s">
        <v>16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s="2">
        <v>-176181000</v>
      </c>
      <c r="K67" s="2">
        <v>-651871000</v>
      </c>
      <c r="L67" s="2">
        <v>-1197971000</v>
      </c>
    </row>
    <row r="68" spans="1:12" x14ac:dyDescent="0.15">
      <c r="A68" t="s">
        <v>324</v>
      </c>
      <c r="B68" s="2">
        <v>-1210609000</v>
      </c>
      <c r="C68" s="2">
        <v>-1650116000</v>
      </c>
      <c r="D68" s="2">
        <v>-2236522000</v>
      </c>
      <c r="E68" s="2">
        <v>-2468223000</v>
      </c>
      <c r="F68" s="2">
        <v>-2591488000</v>
      </c>
      <c r="G68" s="2">
        <v>-2633119000</v>
      </c>
      <c r="H68" s="2">
        <v>-2526080000</v>
      </c>
      <c r="I68" s="2">
        <v>-2119341000</v>
      </c>
      <c r="J68" s="2">
        <v>-1539417000</v>
      </c>
      <c r="K68" s="2">
        <v>-196876000</v>
      </c>
      <c r="L68" s="2">
        <v>37124000</v>
      </c>
    </row>
    <row r="69" spans="1:12" x14ac:dyDescent="0.15">
      <c r="A69" t="s">
        <v>325</v>
      </c>
      <c r="B69" s="2">
        <v>130000000</v>
      </c>
      <c r="C69" s="2">
        <v>0</v>
      </c>
      <c r="D69" t="s">
        <v>16</v>
      </c>
      <c r="E69" t="s">
        <v>16</v>
      </c>
      <c r="F69" s="2">
        <v>310000000</v>
      </c>
      <c r="G69" s="2">
        <v>0</v>
      </c>
      <c r="H69" t="s">
        <v>16</v>
      </c>
      <c r="I69" t="s">
        <v>16</v>
      </c>
      <c r="J69" t="s">
        <v>16</v>
      </c>
      <c r="K69" t="s">
        <v>16</v>
      </c>
      <c r="L69" t="s">
        <v>16</v>
      </c>
    </row>
    <row r="70" spans="1:12" x14ac:dyDescent="0.15">
      <c r="A70" t="s">
        <v>326</v>
      </c>
      <c r="B70" t="s">
        <v>16</v>
      </c>
      <c r="C70" s="2">
        <v>0</v>
      </c>
      <c r="D70" t="s">
        <v>16</v>
      </c>
      <c r="E70" t="s">
        <v>16</v>
      </c>
      <c r="F70" s="2">
        <v>310000000</v>
      </c>
      <c r="G70" s="2">
        <v>0</v>
      </c>
      <c r="H70" t="s">
        <v>16</v>
      </c>
      <c r="I70" t="s">
        <v>16</v>
      </c>
      <c r="J70" t="s">
        <v>16</v>
      </c>
      <c r="K70" t="s">
        <v>16</v>
      </c>
      <c r="L70" t="s">
        <v>16</v>
      </c>
    </row>
    <row r="71" spans="1:12" x14ac:dyDescent="0.15">
      <c r="A71" t="s">
        <v>327</v>
      </c>
      <c r="B71" s="2">
        <v>566231000</v>
      </c>
      <c r="C71" s="2">
        <v>-42615000</v>
      </c>
      <c r="D71" s="2">
        <v>0</v>
      </c>
      <c r="E71" s="2">
        <v>24830000</v>
      </c>
      <c r="F71" t="s">
        <v>16</v>
      </c>
      <c r="G71" t="s">
        <v>16</v>
      </c>
      <c r="H71" t="s">
        <v>16</v>
      </c>
      <c r="I71" t="s">
        <v>16</v>
      </c>
      <c r="J71" t="s">
        <v>16</v>
      </c>
      <c r="K71" t="s">
        <v>16</v>
      </c>
      <c r="L71" t="s">
        <v>16</v>
      </c>
    </row>
    <row r="72" spans="1:12" x14ac:dyDescent="0.15">
      <c r="A72" t="s">
        <v>328</v>
      </c>
      <c r="B72" s="2">
        <v>-14786000</v>
      </c>
      <c r="C72" s="2">
        <v>-28571000</v>
      </c>
      <c r="D72" s="2">
        <v>-10130000</v>
      </c>
      <c r="E72" s="2">
        <v>-7835000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  <c r="K72" t="s">
        <v>16</v>
      </c>
      <c r="L72" t="s">
        <v>16</v>
      </c>
    </row>
    <row r="73" spans="1:12" x14ac:dyDescent="0.15">
      <c r="A73" t="s">
        <v>329</v>
      </c>
      <c r="B73" s="2">
        <v>130000000</v>
      </c>
      <c r="C73" s="2">
        <v>0</v>
      </c>
      <c r="D73" t="s">
        <v>16</v>
      </c>
      <c r="E73" t="s">
        <v>16</v>
      </c>
      <c r="F73" t="s">
        <v>16</v>
      </c>
      <c r="G73" t="s">
        <v>16</v>
      </c>
      <c r="H73" t="s">
        <v>16</v>
      </c>
      <c r="I73" t="s">
        <v>16</v>
      </c>
      <c r="J73" t="s">
        <v>16</v>
      </c>
      <c r="K73" t="s">
        <v>16</v>
      </c>
      <c r="L73" t="s">
        <v>16</v>
      </c>
    </row>
    <row r="74" spans="1:12" x14ac:dyDescent="0.15">
      <c r="A74" t="s">
        <v>330</v>
      </c>
      <c r="B74" s="2">
        <v>320958000</v>
      </c>
      <c r="C74" s="2">
        <v>250848000</v>
      </c>
      <c r="D74" s="2">
        <v>289736000</v>
      </c>
      <c r="E74" s="2">
        <v>273300000</v>
      </c>
      <c r="F74" s="2">
        <v>336940000</v>
      </c>
      <c r="G74" s="2">
        <v>96629000</v>
      </c>
      <c r="H74" s="2">
        <v>23143000</v>
      </c>
      <c r="I74" s="2">
        <v>22509000</v>
      </c>
      <c r="J74" s="2">
        <v>85948000</v>
      </c>
      <c r="K74" s="2">
        <v>109969000</v>
      </c>
      <c r="L74" s="2">
        <v>67200000</v>
      </c>
    </row>
    <row r="75" spans="1:12" x14ac:dyDescent="0.15">
      <c r="A75" t="s">
        <v>331</v>
      </c>
      <c r="B75" s="2">
        <v>-179137000</v>
      </c>
      <c r="C75" s="2">
        <v>-70110000</v>
      </c>
      <c r="D75" s="2">
        <v>38888000</v>
      </c>
      <c r="E75" s="2">
        <v>-16436000</v>
      </c>
      <c r="F75" s="2">
        <v>75683000</v>
      </c>
      <c r="G75" s="2">
        <v>-240311000</v>
      </c>
      <c r="H75" s="2">
        <v>-73486000</v>
      </c>
      <c r="I75" s="2">
        <v>-633000</v>
      </c>
      <c r="J75" s="2">
        <v>64339000</v>
      </c>
      <c r="K75" s="2">
        <v>18452000</v>
      </c>
      <c r="L75" s="2">
        <v>-283448000</v>
      </c>
    </row>
    <row r="76" spans="1:12" x14ac:dyDescent="0.15">
      <c r="A76" t="s">
        <v>332</v>
      </c>
      <c r="B76" s="2">
        <v>1000</v>
      </c>
      <c r="C76" t="s">
        <v>16</v>
      </c>
      <c r="D76" t="s">
        <v>16</v>
      </c>
      <c r="E76" t="s">
        <v>16</v>
      </c>
      <c r="F76" s="2">
        <v>1000</v>
      </c>
      <c r="G76" t="s">
        <v>16</v>
      </c>
      <c r="H76" t="s">
        <v>16</v>
      </c>
      <c r="I76" t="s">
        <v>16</v>
      </c>
      <c r="J76" t="s">
        <v>16</v>
      </c>
      <c r="K76" s="2">
        <v>5569000</v>
      </c>
      <c r="L76" s="2">
        <v>96769000</v>
      </c>
    </row>
    <row r="77" spans="1:12" x14ac:dyDescent="0.15">
      <c r="A77" t="s">
        <v>333</v>
      </c>
      <c r="B77" s="2">
        <v>500094000</v>
      </c>
      <c r="C77" s="2">
        <v>320958000</v>
      </c>
      <c r="D77" s="2">
        <v>250848000</v>
      </c>
      <c r="E77" s="2">
        <v>289736000</v>
      </c>
      <c r="F77" s="2">
        <v>261256000</v>
      </c>
      <c r="G77" s="2">
        <v>336940000</v>
      </c>
      <c r="H77" s="2">
        <v>96629000</v>
      </c>
      <c r="I77" s="2">
        <v>23143000</v>
      </c>
      <c r="J77" s="2">
        <v>21609000</v>
      </c>
      <c r="K77" s="2">
        <v>85948000</v>
      </c>
      <c r="L77" s="2">
        <v>266300000</v>
      </c>
    </row>
    <row r="78" spans="1:12" x14ac:dyDescent="0.15">
      <c r="A78" t="s">
        <v>334</v>
      </c>
      <c r="B78" t="s">
        <v>16</v>
      </c>
      <c r="C78" t="s">
        <v>16</v>
      </c>
      <c r="D78" t="s">
        <v>16</v>
      </c>
      <c r="E78" t="s">
        <v>16</v>
      </c>
      <c r="F78" t="s">
        <v>16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 t="s">
        <v>16</v>
      </c>
    </row>
    <row r="79" spans="1:12" x14ac:dyDescent="0.15">
      <c r="A79" t="s">
        <v>335</v>
      </c>
      <c r="B79" s="2">
        <v>-179136000</v>
      </c>
      <c r="C79" s="2">
        <v>-70110000</v>
      </c>
      <c r="D79" s="2">
        <v>38888000</v>
      </c>
      <c r="E79" s="2">
        <v>-16436000</v>
      </c>
      <c r="F79" s="2">
        <v>75683000</v>
      </c>
      <c r="G79" s="2">
        <v>-240311000</v>
      </c>
      <c r="H79" s="2">
        <v>-73486000</v>
      </c>
      <c r="I79" s="2">
        <v>-634000</v>
      </c>
      <c r="J79" s="2">
        <v>64339000</v>
      </c>
      <c r="K79" s="2">
        <v>18451000</v>
      </c>
      <c r="L79" s="2">
        <v>-283549000</v>
      </c>
    </row>
    <row r="80" spans="1:12" x14ac:dyDescent="0.15">
      <c r="A80" t="s">
        <v>336</v>
      </c>
      <c r="B80" s="2">
        <v>-179136000</v>
      </c>
      <c r="C80" s="2">
        <v>-70110000</v>
      </c>
      <c r="D80" s="2">
        <v>38888000</v>
      </c>
      <c r="E80" s="2">
        <v>-16436000</v>
      </c>
      <c r="F80" s="2">
        <v>75684000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 t="s">
        <v>16</v>
      </c>
    </row>
    <row r="81" spans="1:1" x14ac:dyDescent="0.15">
      <c r="A81" t="s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Assumptions+DCF</vt:lpstr>
      <vt:lpstr>IS</vt:lpstr>
      <vt:lpstr>BS</vt:lpstr>
      <vt:lpstr>WACC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2023-01-16T06:03:47Z</dcterms:created>
  <dcterms:modified xsi:type="dcterms:W3CDTF">2023-01-18T06:42:54Z</dcterms:modified>
</cp:coreProperties>
</file>