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codeName="ThisWorkbook" defaultThemeVersion="124226"/>
  <mc:AlternateContent xmlns:mc="http://schemas.openxmlformats.org/markup-compatibility/2006">
    <mc:Choice Requires="x15">
      <x15ac:absPath xmlns:x15ac="http://schemas.microsoft.com/office/spreadsheetml/2010/11/ac" url="C:\Users\Josh Barua\Downloads\"/>
    </mc:Choice>
  </mc:AlternateContent>
  <xr:revisionPtr revIDLastSave="0" documentId="8_{8AF663EF-0D65-4A70-960A-21AB43581B77}" xr6:coauthVersionLast="37" xr6:coauthVersionMax="37" xr10:uidLastSave="{00000000-0000-0000-0000-000000000000}"/>
  <bookViews>
    <workbookView xWindow="0" yWindow="0" windowWidth="14388" windowHeight="423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Metrics'!$W$2</definedName>
    <definedName name="DynamicFilterColumnName">'Overall Metrics'!#REF!</definedName>
    <definedName name="DynamicFilterForceCalculationRange">HistogramBins[[Dynamic Filter Bin]:[Dynamic Filter Frequency]]</definedName>
    <definedName name="DynamicFilterSourceColumnRange">'Overall Metrics'!$W$4</definedName>
    <definedName name="DynamicFilterTableName">'Overall Metrics'!#REF!</definedName>
    <definedName name="NoMetricMessage">'Overall Metrics'!$W$3</definedName>
    <definedName name="NotAvailable">'Overall Metrics'!$W$2</definedName>
    <definedName name="ValidBooleansDefaultFalse">Misc!$D$2:$D$5</definedName>
    <definedName name="ValidBooleansDefaultTrue">Misc!#REF!</definedName>
    <definedName name="ValidColors">Misc!#REF!</definedName>
    <definedName name="ValidEdgeVisibilities">Misc!$A$2:$A$7</definedName>
    <definedName name="ValidPrecedences">Misc!#REF!</definedName>
    <definedName name="ValidVertexLabelPositions">Misc!$E$2:$E$19</definedName>
    <definedName name="ValidVertexShapes">Misc!$C$2:$C$23</definedName>
    <definedName name="ValidVertexVisibilities">Misc!$B$2:$B$9</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8" i="7" l="1"/>
  <c r="B117" i="7"/>
  <c r="B120" i="7"/>
  <c r="B119" i="7"/>
  <c r="Q45" i="7"/>
  <c r="R45" i="7" s="1"/>
  <c r="Q2" i="7"/>
  <c r="B104" i="7"/>
  <c r="B103" i="7"/>
  <c r="B106" i="7"/>
  <c r="B105" i="7"/>
  <c r="O45" i="7"/>
  <c r="P45" i="7" s="1"/>
  <c r="O2" i="7"/>
  <c r="B90" i="7"/>
  <c r="B89" i="7"/>
  <c r="B76" i="7"/>
  <c r="B75" i="7"/>
  <c r="B92" i="7"/>
  <c r="B91" i="7"/>
  <c r="M45" i="7"/>
  <c r="N45" i="7" s="1"/>
  <c r="M2" i="7"/>
  <c r="B62" i="7"/>
  <c r="B61" i="7"/>
  <c r="B48" i="7"/>
  <c r="B47" i="7"/>
  <c r="B78" i="7"/>
  <c r="B77" i="7"/>
  <c r="K45" i="7"/>
  <c r="L45" i="7" s="1"/>
  <c r="K2" i="7"/>
  <c r="B64" i="7"/>
  <c r="B63" i="7"/>
  <c r="I45" i="7"/>
  <c r="J45" i="7" s="1"/>
  <c r="I2" i="7"/>
  <c r="B50" i="7"/>
  <c r="B49" i="7"/>
  <c r="G45" i="7"/>
  <c r="H45" i="7" s="1"/>
  <c r="G2" i="7"/>
  <c r="B34" i="7"/>
  <c r="B33" i="7"/>
  <c r="B36" i="7"/>
  <c r="B35" i="7"/>
  <c r="S45" i="7"/>
  <c r="S2" i="7"/>
  <c r="W2" i="7" l="1"/>
  <c r="E45" i="7"/>
  <c r="F45" i="7" s="1"/>
  <c r="E2" i="7"/>
  <c r="T45" i="7"/>
  <c r="Q3" i="7" l="1"/>
  <c r="Q4" i="7" s="1"/>
  <c r="R3" i="7" s="1"/>
  <c r="S3" i="7"/>
  <c r="M3" i="7"/>
  <c r="N2" i="7" s="1"/>
  <c r="O3" i="7"/>
  <c r="I3" i="7"/>
  <c r="K3" i="7"/>
  <c r="E3" i="7"/>
  <c r="E4" i="7" s="1"/>
  <c r="F3" i="7" s="1"/>
  <c r="G3" i="7"/>
  <c r="T2" i="7"/>
  <c r="R2" i="7" l="1"/>
  <c r="S4" i="7"/>
  <c r="Q5" i="7"/>
  <c r="R4" i="7" s="1"/>
  <c r="O4" i="7"/>
  <c r="P2" i="7"/>
  <c r="M4" i="7"/>
  <c r="M5" i="7" s="1"/>
  <c r="M6" i="7" s="1"/>
  <c r="M7" i="7" s="1"/>
  <c r="M8" i="7" s="1"/>
  <c r="M9" i="7" s="1"/>
  <c r="M10" i="7" s="1"/>
  <c r="M11" i="7" s="1"/>
  <c r="M12" i="7" s="1"/>
  <c r="M13" i="7" s="1"/>
  <c r="M14" i="7" s="1"/>
  <c r="M15" i="7" s="1"/>
  <c r="M16" i="7" s="1"/>
  <c r="M17" i="7" s="1"/>
  <c r="M18" i="7" s="1"/>
  <c r="M19" i="7" s="1"/>
  <c r="M20" i="7" s="1"/>
  <c r="M21" i="7" s="1"/>
  <c r="M22" i="7" s="1"/>
  <c r="M23" i="7" s="1"/>
  <c r="M24" i="7" s="1"/>
  <c r="M25" i="7" s="1"/>
  <c r="M26" i="7" s="1"/>
  <c r="M27" i="7" s="1"/>
  <c r="M28" i="7" s="1"/>
  <c r="M29" i="7" s="1"/>
  <c r="M30" i="7" s="1"/>
  <c r="M31" i="7" s="1"/>
  <c r="M32" i="7" s="1"/>
  <c r="M33" i="7" s="1"/>
  <c r="M34" i="7" s="1"/>
  <c r="M35" i="7" s="1"/>
  <c r="M36" i="7" s="1"/>
  <c r="M37" i="7" s="1"/>
  <c r="M38" i="7" s="1"/>
  <c r="M39" i="7" s="1"/>
  <c r="M40" i="7" s="1"/>
  <c r="M41" i="7" s="1"/>
  <c r="M42" i="7" s="1"/>
  <c r="M43" i="7" s="1"/>
  <c r="M44" i="7" s="1"/>
  <c r="J2" i="7"/>
  <c r="K4" i="7"/>
  <c r="L2" i="7"/>
  <c r="I4" i="7"/>
  <c r="I5" i="7" s="1"/>
  <c r="F2" i="7"/>
  <c r="G4" i="7"/>
  <c r="H2" i="7"/>
  <c r="E5" i="7"/>
  <c r="F4" i="7" s="1"/>
  <c r="T3" i="7"/>
  <c r="S5" i="7" l="1"/>
  <c r="N3" i="7"/>
  <c r="Q6" i="7"/>
  <c r="R5" i="7" s="1"/>
  <c r="J3" i="7"/>
  <c r="O5" i="7"/>
  <c r="P3" i="7"/>
  <c r="N4" i="7"/>
  <c r="N5" i="7"/>
  <c r="N6" i="7"/>
  <c r="K5" i="7"/>
  <c r="L3" i="7"/>
  <c r="I6" i="7"/>
  <c r="J5" i="7" s="1"/>
  <c r="J4" i="7"/>
  <c r="G5" i="7"/>
  <c r="H3" i="7"/>
  <c r="E6" i="7"/>
  <c r="F5" i="7" s="1"/>
  <c r="T4" i="7"/>
  <c r="S6" i="7" l="1"/>
  <c r="Q7" i="7"/>
  <c r="R6" i="7" s="1"/>
  <c r="O6" i="7"/>
  <c r="P4" i="7"/>
  <c r="N7" i="7"/>
  <c r="K6" i="7"/>
  <c r="L4" i="7"/>
  <c r="I7" i="7"/>
  <c r="J6" i="7" s="1"/>
  <c r="G6" i="7"/>
  <c r="H4" i="7"/>
  <c r="E7" i="7"/>
  <c r="F6" i="7" s="1"/>
  <c r="T5" i="7"/>
  <c r="S7" i="7" l="1"/>
  <c r="Q8" i="7"/>
  <c r="O7" i="7"/>
  <c r="P5" i="7"/>
  <c r="N8" i="7"/>
  <c r="K7" i="7"/>
  <c r="L6" i="7" s="1"/>
  <c r="L5" i="7"/>
  <c r="I8" i="7"/>
  <c r="G7" i="7"/>
  <c r="H6" i="7" s="1"/>
  <c r="H5" i="7"/>
  <c r="E8" i="7"/>
  <c r="F7" i="7" s="1"/>
  <c r="T6" i="7"/>
  <c r="S8" i="7" l="1"/>
  <c r="Q9" i="7"/>
  <c r="R7" i="7"/>
  <c r="O8" i="7"/>
  <c r="P6" i="7"/>
  <c r="N9" i="7"/>
  <c r="K8" i="7"/>
  <c r="L7" i="7" s="1"/>
  <c r="I9" i="7"/>
  <c r="J8" i="7" s="1"/>
  <c r="J7" i="7"/>
  <c r="G8" i="7"/>
  <c r="E9" i="7"/>
  <c r="F8" i="7" s="1"/>
  <c r="T7" i="7"/>
  <c r="S9" i="7" l="1"/>
  <c r="Q10" i="7"/>
  <c r="R9" i="7" s="1"/>
  <c r="R8" i="7"/>
  <c r="O9" i="7"/>
  <c r="P8" i="7" s="1"/>
  <c r="P7" i="7"/>
  <c r="N10" i="7"/>
  <c r="K9" i="7"/>
  <c r="L8" i="7" s="1"/>
  <c r="I10" i="7"/>
  <c r="J9" i="7" s="1"/>
  <c r="G9" i="7"/>
  <c r="H8" i="7" s="1"/>
  <c r="H7" i="7"/>
  <c r="E10" i="7"/>
  <c r="F9" i="7" s="1"/>
  <c r="T8" i="7"/>
  <c r="S10" i="7" l="1"/>
  <c r="Q11" i="7"/>
  <c r="R10" i="7" s="1"/>
  <c r="O10" i="7"/>
  <c r="P9" i="7" s="1"/>
  <c r="N11" i="7"/>
  <c r="K10" i="7"/>
  <c r="L9" i="7" s="1"/>
  <c r="I11" i="7"/>
  <c r="J10" i="7" s="1"/>
  <c r="G10" i="7"/>
  <c r="H9" i="7" s="1"/>
  <c r="E11" i="7"/>
  <c r="F10" i="7" s="1"/>
  <c r="T9" i="7"/>
  <c r="S11" i="7" l="1"/>
  <c r="Q12" i="7"/>
  <c r="R11" i="7" s="1"/>
  <c r="O11" i="7"/>
  <c r="P10" i="7" s="1"/>
  <c r="N12" i="7"/>
  <c r="K11" i="7"/>
  <c r="L10" i="7" s="1"/>
  <c r="I12" i="7"/>
  <c r="J11" i="7" s="1"/>
  <c r="G11" i="7"/>
  <c r="H10" i="7" s="1"/>
  <c r="E12" i="7"/>
  <c r="F11" i="7" s="1"/>
  <c r="T10" i="7"/>
  <c r="S12" i="7" l="1"/>
  <c r="Q13" i="7"/>
  <c r="R12" i="7" s="1"/>
  <c r="O12" i="7"/>
  <c r="P11" i="7" s="1"/>
  <c r="N13" i="7"/>
  <c r="K12" i="7"/>
  <c r="L11" i="7" s="1"/>
  <c r="I13" i="7"/>
  <c r="J12" i="7" s="1"/>
  <c r="G12" i="7"/>
  <c r="H11" i="7" s="1"/>
  <c r="E13" i="7"/>
  <c r="F12" i="7" s="1"/>
  <c r="T11" i="7"/>
  <c r="S13" i="7" l="1"/>
  <c r="Q14" i="7"/>
  <c r="R13" i="7" s="1"/>
  <c r="O13" i="7"/>
  <c r="P12" i="7" s="1"/>
  <c r="N14" i="7"/>
  <c r="K13" i="7"/>
  <c r="L12" i="7" s="1"/>
  <c r="I14" i="7"/>
  <c r="J13" i="7" s="1"/>
  <c r="G13" i="7"/>
  <c r="H12" i="7" s="1"/>
  <c r="E14" i="7"/>
  <c r="F13" i="7" s="1"/>
  <c r="T12" i="7"/>
  <c r="S14" i="7" l="1"/>
  <c r="Q15" i="7"/>
  <c r="O14" i="7"/>
  <c r="P13" i="7" s="1"/>
  <c r="N15" i="7"/>
  <c r="K14" i="7"/>
  <c r="L13" i="7" s="1"/>
  <c r="I15" i="7"/>
  <c r="J14" i="7" s="1"/>
  <c r="G14" i="7"/>
  <c r="H13" i="7" s="1"/>
  <c r="E15" i="7"/>
  <c r="F14" i="7" s="1"/>
  <c r="T13" i="7"/>
  <c r="S15" i="7" l="1"/>
  <c r="Q16" i="7"/>
  <c r="R15" i="7" s="1"/>
  <c r="R14" i="7"/>
  <c r="O15" i="7"/>
  <c r="P14" i="7" s="1"/>
  <c r="N16" i="7"/>
  <c r="K15" i="7"/>
  <c r="L14" i="7" s="1"/>
  <c r="I16" i="7"/>
  <c r="J15" i="7" s="1"/>
  <c r="G15" i="7"/>
  <c r="H14" i="7" s="1"/>
  <c r="E16" i="7"/>
  <c r="F15" i="7" s="1"/>
  <c r="T14" i="7"/>
  <c r="S16" i="7" l="1"/>
  <c r="Q17" i="7"/>
  <c r="O16" i="7"/>
  <c r="P15" i="7" s="1"/>
  <c r="N17" i="7"/>
  <c r="K16" i="7"/>
  <c r="L15" i="7" s="1"/>
  <c r="I17" i="7"/>
  <c r="J16" i="7" s="1"/>
  <c r="G16" i="7"/>
  <c r="H15" i="7" s="1"/>
  <c r="E17" i="7"/>
  <c r="F16" i="7" s="1"/>
  <c r="T15" i="7"/>
  <c r="S17" i="7" l="1"/>
  <c r="Q18" i="7"/>
  <c r="R16" i="7"/>
  <c r="O17" i="7"/>
  <c r="P16" i="7" s="1"/>
  <c r="N18" i="7"/>
  <c r="K17" i="7"/>
  <c r="L16" i="7" s="1"/>
  <c r="I18" i="7"/>
  <c r="J17" i="7" s="1"/>
  <c r="G17" i="7"/>
  <c r="H16" i="7" s="1"/>
  <c r="E18" i="7"/>
  <c r="F17" i="7" s="1"/>
  <c r="T16" i="7"/>
  <c r="S18" i="7" l="1"/>
  <c r="Q19" i="7"/>
  <c r="R18" i="7" s="1"/>
  <c r="R17" i="7"/>
  <c r="O18" i="7"/>
  <c r="P17" i="7" s="1"/>
  <c r="N19" i="7"/>
  <c r="K18" i="7"/>
  <c r="L17" i="7" s="1"/>
  <c r="I19" i="7"/>
  <c r="J18" i="7" s="1"/>
  <c r="G18" i="7"/>
  <c r="H17" i="7" s="1"/>
  <c r="E19" i="7"/>
  <c r="F18" i="7" s="1"/>
  <c r="T17" i="7"/>
  <c r="S19" i="7" l="1"/>
  <c r="Q20" i="7"/>
  <c r="R19" i="7" s="1"/>
  <c r="O19" i="7"/>
  <c r="P18" i="7" s="1"/>
  <c r="N20" i="7"/>
  <c r="K19" i="7"/>
  <c r="L18" i="7" s="1"/>
  <c r="I20" i="7"/>
  <c r="J19" i="7" s="1"/>
  <c r="G19" i="7"/>
  <c r="H18" i="7" s="1"/>
  <c r="E20" i="7"/>
  <c r="F19" i="7" s="1"/>
  <c r="T18" i="7"/>
  <c r="S20" i="7" l="1"/>
  <c r="Q21" i="7"/>
  <c r="R20" i="7" s="1"/>
  <c r="O20" i="7"/>
  <c r="P19" i="7" s="1"/>
  <c r="N21" i="7"/>
  <c r="K20" i="7"/>
  <c r="L19" i="7" s="1"/>
  <c r="I21" i="7"/>
  <c r="J20" i="7" s="1"/>
  <c r="G20" i="7"/>
  <c r="H19" i="7" s="1"/>
  <c r="E21" i="7"/>
  <c r="F20" i="7" s="1"/>
  <c r="T19" i="7"/>
  <c r="S21" i="7" l="1"/>
  <c r="Q22" i="7"/>
  <c r="R21" i="7" s="1"/>
  <c r="O21" i="7"/>
  <c r="P20" i="7" s="1"/>
  <c r="N22" i="7"/>
  <c r="K21" i="7"/>
  <c r="L20" i="7" s="1"/>
  <c r="I22" i="7"/>
  <c r="J21" i="7" s="1"/>
  <c r="G21" i="7"/>
  <c r="H20" i="7" s="1"/>
  <c r="E22" i="7"/>
  <c r="F21" i="7" s="1"/>
  <c r="T20" i="7"/>
  <c r="S22" i="7" l="1"/>
  <c r="Q23" i="7"/>
  <c r="R22" i="7" s="1"/>
  <c r="O22" i="7"/>
  <c r="P21" i="7" s="1"/>
  <c r="N23" i="7"/>
  <c r="K22" i="7"/>
  <c r="L21" i="7" s="1"/>
  <c r="I23" i="7"/>
  <c r="J22" i="7" s="1"/>
  <c r="G22" i="7"/>
  <c r="H21" i="7" s="1"/>
  <c r="E23" i="7"/>
  <c r="F22" i="7" s="1"/>
  <c r="T21" i="7"/>
  <c r="S23" i="7" l="1"/>
  <c r="Q24" i="7"/>
  <c r="R23" i="7" s="1"/>
  <c r="O23" i="7"/>
  <c r="P22" i="7" s="1"/>
  <c r="N24" i="7"/>
  <c r="K23" i="7"/>
  <c r="L22" i="7" s="1"/>
  <c r="I24" i="7"/>
  <c r="J23" i="7" s="1"/>
  <c r="G23" i="7"/>
  <c r="H22" i="7" s="1"/>
  <c r="E24" i="7"/>
  <c r="F23" i="7" s="1"/>
  <c r="T22" i="7"/>
  <c r="S24" i="7" l="1"/>
  <c r="Q25" i="7"/>
  <c r="R24" i="7" s="1"/>
  <c r="O24" i="7"/>
  <c r="P23" i="7" s="1"/>
  <c r="N25" i="7"/>
  <c r="K24" i="7"/>
  <c r="L23" i="7" s="1"/>
  <c r="I25" i="7"/>
  <c r="J24" i="7" s="1"/>
  <c r="G24" i="7"/>
  <c r="H23" i="7" s="1"/>
  <c r="E25" i="7"/>
  <c r="F24" i="7" s="1"/>
  <c r="T23" i="7"/>
  <c r="S25" i="7" l="1"/>
  <c r="Q26" i="7"/>
  <c r="R25" i="7" s="1"/>
  <c r="O25" i="7"/>
  <c r="P24" i="7" s="1"/>
  <c r="N26" i="7"/>
  <c r="K25" i="7"/>
  <c r="L24" i="7" s="1"/>
  <c r="I26" i="7"/>
  <c r="J25" i="7" s="1"/>
  <c r="G25" i="7"/>
  <c r="H24" i="7" s="1"/>
  <c r="E26" i="7"/>
  <c r="F25" i="7" s="1"/>
  <c r="T24" i="7"/>
  <c r="S26" i="7" l="1"/>
  <c r="Q27" i="7"/>
  <c r="R26" i="7" s="1"/>
  <c r="O26" i="7"/>
  <c r="P25" i="7" s="1"/>
  <c r="N27" i="7"/>
  <c r="K26" i="7"/>
  <c r="L25" i="7" s="1"/>
  <c r="I27" i="7"/>
  <c r="J26" i="7" s="1"/>
  <c r="G26" i="7"/>
  <c r="H25" i="7" s="1"/>
  <c r="E27" i="7"/>
  <c r="F26" i="7" s="1"/>
  <c r="T25" i="7"/>
  <c r="S27" i="7" l="1"/>
  <c r="Q28" i="7"/>
  <c r="R27" i="7" s="1"/>
  <c r="O27" i="7"/>
  <c r="P26" i="7" s="1"/>
  <c r="N28" i="7"/>
  <c r="K27" i="7"/>
  <c r="L26" i="7" s="1"/>
  <c r="I28" i="7"/>
  <c r="J27" i="7" s="1"/>
  <c r="G27" i="7"/>
  <c r="H26" i="7" s="1"/>
  <c r="E28" i="7"/>
  <c r="F27" i="7" s="1"/>
  <c r="T26" i="7"/>
  <c r="S28" i="7" l="1"/>
  <c r="Q29" i="7"/>
  <c r="R28" i="7" s="1"/>
  <c r="O28" i="7"/>
  <c r="P27" i="7" s="1"/>
  <c r="N29" i="7"/>
  <c r="K28" i="7"/>
  <c r="L27" i="7" s="1"/>
  <c r="I29" i="7"/>
  <c r="J28" i="7" s="1"/>
  <c r="G28" i="7"/>
  <c r="H27" i="7" s="1"/>
  <c r="E29" i="7"/>
  <c r="F28" i="7" s="1"/>
  <c r="T27" i="7"/>
  <c r="S29" i="7" l="1"/>
  <c r="Q30" i="7"/>
  <c r="O29" i="7"/>
  <c r="P28" i="7" s="1"/>
  <c r="N30" i="7"/>
  <c r="K29" i="7"/>
  <c r="L28" i="7" s="1"/>
  <c r="I30" i="7"/>
  <c r="J29" i="7" s="1"/>
  <c r="G29" i="7"/>
  <c r="H28" i="7" s="1"/>
  <c r="E30" i="7"/>
  <c r="F29" i="7" s="1"/>
  <c r="T28" i="7"/>
  <c r="S30" i="7" l="1"/>
  <c r="Q31" i="7"/>
  <c r="R30" i="7" s="1"/>
  <c r="R29" i="7"/>
  <c r="O30" i="7"/>
  <c r="P29" i="7" s="1"/>
  <c r="N31" i="7"/>
  <c r="K30" i="7"/>
  <c r="L29" i="7" s="1"/>
  <c r="I31" i="7"/>
  <c r="J30" i="7" s="1"/>
  <c r="G30" i="7"/>
  <c r="H29" i="7" s="1"/>
  <c r="E31" i="7"/>
  <c r="F30" i="7" s="1"/>
  <c r="T29" i="7"/>
  <c r="S31" i="7" l="1"/>
  <c r="Q32" i="7"/>
  <c r="R31" i="7" s="1"/>
  <c r="O31" i="7"/>
  <c r="P30" i="7" s="1"/>
  <c r="N32" i="7"/>
  <c r="K31" i="7"/>
  <c r="L30" i="7" s="1"/>
  <c r="I32" i="7"/>
  <c r="J31" i="7" s="1"/>
  <c r="G31" i="7"/>
  <c r="H30" i="7" s="1"/>
  <c r="E32" i="7"/>
  <c r="F31" i="7" s="1"/>
  <c r="T30" i="7"/>
  <c r="S32" i="7" l="1"/>
  <c r="Q33" i="7"/>
  <c r="O32" i="7"/>
  <c r="P31" i="7" s="1"/>
  <c r="N33" i="7"/>
  <c r="K32" i="7"/>
  <c r="L31" i="7" s="1"/>
  <c r="I33" i="7"/>
  <c r="J32" i="7" s="1"/>
  <c r="G32" i="7"/>
  <c r="H31" i="7" s="1"/>
  <c r="E33" i="7"/>
  <c r="F32" i="7" s="1"/>
  <c r="T31" i="7"/>
  <c r="S33" i="7" l="1"/>
  <c r="Q34" i="7"/>
  <c r="R33" i="7" s="1"/>
  <c r="R32" i="7"/>
  <c r="O33" i="7"/>
  <c r="P32" i="7" s="1"/>
  <c r="N34" i="7"/>
  <c r="K33" i="7"/>
  <c r="L32" i="7" s="1"/>
  <c r="I34" i="7"/>
  <c r="J33" i="7" s="1"/>
  <c r="G33" i="7"/>
  <c r="H32" i="7" s="1"/>
  <c r="E34" i="7"/>
  <c r="F33" i="7" s="1"/>
  <c r="T32" i="7"/>
  <c r="S34" i="7" l="1"/>
  <c r="Q35" i="7"/>
  <c r="R34" i="7" s="1"/>
  <c r="O34" i="7"/>
  <c r="P33" i="7" s="1"/>
  <c r="N35" i="7"/>
  <c r="K34" i="7"/>
  <c r="L33" i="7" s="1"/>
  <c r="I35" i="7"/>
  <c r="J34" i="7" s="1"/>
  <c r="G34" i="7"/>
  <c r="H33" i="7" s="1"/>
  <c r="E35" i="7"/>
  <c r="F34" i="7" s="1"/>
  <c r="T33" i="7"/>
  <c r="S35" i="7" l="1"/>
  <c r="Q36" i="7"/>
  <c r="R35" i="7" s="1"/>
  <c r="O35" i="7"/>
  <c r="P34" i="7" s="1"/>
  <c r="N36" i="7"/>
  <c r="K35" i="7"/>
  <c r="L34" i="7" s="1"/>
  <c r="I36" i="7"/>
  <c r="J35" i="7" s="1"/>
  <c r="G35" i="7"/>
  <c r="H34" i="7" s="1"/>
  <c r="E36" i="7"/>
  <c r="F35" i="7" s="1"/>
  <c r="T34" i="7"/>
  <c r="S36" i="7" l="1"/>
  <c r="Q37" i="7"/>
  <c r="R36" i="7" s="1"/>
  <c r="O36" i="7"/>
  <c r="P35" i="7" s="1"/>
  <c r="N37" i="7"/>
  <c r="K36" i="7"/>
  <c r="L35" i="7" s="1"/>
  <c r="I37" i="7"/>
  <c r="J36" i="7" s="1"/>
  <c r="G36" i="7"/>
  <c r="H35" i="7" s="1"/>
  <c r="E37" i="7"/>
  <c r="F36" i="7" s="1"/>
  <c r="T35" i="7"/>
  <c r="S37" i="7" l="1"/>
  <c r="Q38" i="7"/>
  <c r="R37" i="7" s="1"/>
  <c r="O37" i="7"/>
  <c r="P36" i="7" s="1"/>
  <c r="N38" i="7"/>
  <c r="K37" i="7"/>
  <c r="L36" i="7" s="1"/>
  <c r="I38" i="7"/>
  <c r="J37" i="7" s="1"/>
  <c r="G37" i="7"/>
  <c r="H36" i="7" s="1"/>
  <c r="E38" i="7"/>
  <c r="F37" i="7" s="1"/>
  <c r="T36" i="7"/>
  <c r="S38" i="7" l="1"/>
  <c r="Q39" i="7"/>
  <c r="R38" i="7" s="1"/>
  <c r="O38" i="7"/>
  <c r="P37" i="7" s="1"/>
  <c r="N39" i="7"/>
  <c r="K38" i="7"/>
  <c r="L37" i="7" s="1"/>
  <c r="I39" i="7"/>
  <c r="J38" i="7" s="1"/>
  <c r="G38" i="7"/>
  <c r="H37" i="7" s="1"/>
  <c r="E39" i="7"/>
  <c r="F38" i="7" s="1"/>
  <c r="T37" i="7"/>
  <c r="S39" i="7" l="1"/>
  <c r="Q40" i="7"/>
  <c r="R39" i="7" s="1"/>
  <c r="O39" i="7"/>
  <c r="P38" i="7" s="1"/>
  <c r="N40" i="7"/>
  <c r="K39" i="7"/>
  <c r="L38" i="7" s="1"/>
  <c r="I40" i="7"/>
  <c r="J39" i="7" s="1"/>
  <c r="G39" i="7"/>
  <c r="H38" i="7" s="1"/>
  <c r="E40" i="7"/>
  <c r="F39" i="7" s="1"/>
  <c r="T38" i="7"/>
  <c r="S40" i="7" l="1"/>
  <c r="Q41" i="7"/>
  <c r="R40" i="7" s="1"/>
  <c r="O40" i="7"/>
  <c r="P39" i="7" s="1"/>
  <c r="N41" i="7"/>
  <c r="K40" i="7"/>
  <c r="L39" i="7" s="1"/>
  <c r="I41" i="7"/>
  <c r="J40" i="7" s="1"/>
  <c r="G40" i="7"/>
  <c r="H39" i="7" s="1"/>
  <c r="E41" i="7"/>
  <c r="F40" i="7" s="1"/>
  <c r="T39" i="7"/>
  <c r="S41" i="7" l="1"/>
  <c r="Q42" i="7"/>
  <c r="R41" i="7" s="1"/>
  <c r="O41" i="7"/>
  <c r="P40" i="7" s="1"/>
  <c r="N42" i="7"/>
  <c r="K41" i="7"/>
  <c r="L40" i="7" s="1"/>
  <c r="I42" i="7"/>
  <c r="J41" i="7" s="1"/>
  <c r="G41" i="7"/>
  <c r="H40" i="7" s="1"/>
  <c r="E42" i="7"/>
  <c r="F41" i="7" s="1"/>
  <c r="T40" i="7"/>
  <c r="S42" i="7" l="1"/>
  <c r="Q43" i="7"/>
  <c r="R42" i="7" s="1"/>
  <c r="O42" i="7"/>
  <c r="P41" i="7" s="1"/>
  <c r="N43" i="7"/>
  <c r="N44" i="7"/>
  <c r="K42" i="7"/>
  <c r="L41" i="7" s="1"/>
  <c r="I43" i="7"/>
  <c r="J42" i="7" s="1"/>
  <c r="G42" i="7"/>
  <c r="H41" i="7" s="1"/>
  <c r="E43" i="7"/>
  <c r="F42" i="7" s="1"/>
  <c r="T41" i="7"/>
  <c r="S43" i="7" l="1"/>
  <c r="Q44" i="7"/>
  <c r="R44" i="7" s="1"/>
  <c r="O43" i="7"/>
  <c r="P42" i="7" s="1"/>
  <c r="K43" i="7"/>
  <c r="L42" i="7" s="1"/>
  <c r="I44" i="7"/>
  <c r="J44" i="7" s="1"/>
  <c r="G43" i="7"/>
  <c r="H42" i="7" s="1"/>
  <c r="E44" i="7"/>
  <c r="F44" i="7" s="1"/>
  <c r="T42" i="7"/>
  <c r="R43" i="7" l="1"/>
  <c r="S44" i="7"/>
  <c r="O44" i="7"/>
  <c r="P44" i="7" s="1"/>
  <c r="K44" i="7"/>
  <c r="L44" i="7" s="1"/>
  <c r="J43" i="7"/>
  <c r="G44" i="7"/>
  <c r="H44" i="7" s="1"/>
  <c r="F43" i="7"/>
  <c r="T44" i="7"/>
  <c r="P43" i="7" l="1"/>
  <c r="L43" i="7"/>
  <c r="H43" i="7"/>
  <c r="T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0" shapeId="0" xr:uid="{00000000-0006-0000-0000-000005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F2" authorId="0" shapeId="0" xr:uid="{00000000-0006-0000-0000-000006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Read the edge into the graph and show it.  This is the default.
</t>
        </r>
        <r>
          <rPr>
            <b/>
            <sz val="8"/>
            <color indexed="81"/>
            <rFont val="Tahoma"/>
            <family val="2"/>
          </rPr>
          <t>Skip</t>
        </r>
        <r>
          <rPr>
            <sz val="8"/>
            <color indexed="81"/>
            <rFont val="Tahoma"/>
            <family val="2"/>
          </rPr>
          <t xml:space="preserve">
Skip the edge row.  Do not read it into the graph.
</t>
        </r>
        <r>
          <rPr>
            <b/>
            <sz val="8"/>
            <color indexed="81"/>
            <rFont val="Tahoma"/>
            <family val="2"/>
          </rPr>
          <t>Hide</t>
        </r>
        <r>
          <rPr>
            <sz val="8"/>
            <color indexed="81"/>
            <rFont val="Tahoma"/>
            <family val="2"/>
          </rPr>
          <t xml:space="preserve">
Read the edge into the graph but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G2" authorId="1" shapeId="0" xr:uid="{00000000-0006-0000-0000-000007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H2" authorId="0" shapeId="0" xr:uid="{00000000-0006-0000-0000-000008000000}">
      <text>
        <r>
          <rPr>
            <b/>
            <sz val="8"/>
            <color indexed="81"/>
            <rFont val="Tahoma"/>
            <family val="2"/>
          </rPr>
          <t xml:space="preserve">Edge ID
</t>
        </r>
        <r>
          <rPr>
            <sz val="8"/>
            <color indexed="81"/>
            <rFont val="Tahoma"/>
            <family val="2"/>
          </rPr>
          <t>This is a unique ID that gets filled in automatically.  Do not edit this column.</t>
        </r>
      </text>
    </comment>
    <comment ref="J2" authorId="0" shapeId="0" xr:uid="{00000000-0006-0000-0000-000009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Images</t>
        </r>
        <r>
          <rPr>
            <sz val="8"/>
            <color indexed="81"/>
            <rFont val="Tahoma"/>
            <family val="2"/>
          </rPr>
          <t xml:space="preserve">
See the Images worksheet for details on showing vertices as images.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shapeId="0" xr:uid="{00000000-0006-0000-0100-000002000000}">
      <text>
        <r>
          <rPr>
            <b/>
            <sz val="8"/>
            <color indexed="81"/>
            <rFont val="Tahoma"/>
            <family val="2"/>
          </rPr>
          <t>Vertex Degree</t>
        </r>
        <r>
          <rPr>
            <sz val="8"/>
            <color indexed="81"/>
            <rFont val="Tahoma"/>
            <family val="2"/>
          </rPr>
          <t xml:space="preserve">
This and other graph metrics can be computed with the Graph Metrics button in the Analysis group in the NodeXL Ribbon tab.
</t>
        </r>
      </text>
    </comment>
    <comment ref="C2" authorId="0" shapeId="0" xr:uid="{00000000-0006-0000-0100-000003000000}">
      <text>
        <r>
          <rPr>
            <b/>
            <sz val="8"/>
            <color indexed="81"/>
            <rFont val="Tahoma"/>
            <family val="2"/>
          </rPr>
          <t xml:space="preserve">Vertex In-Degree
</t>
        </r>
        <r>
          <rPr>
            <sz val="8"/>
            <color indexed="81"/>
            <rFont val="Tahoma"/>
            <family val="2"/>
          </rPr>
          <t xml:space="preserve">This and other graph metrics can be computed with the Graph Metrics button in the Analysis group in the NodeXL Ribbon tab.
</t>
        </r>
      </text>
    </comment>
    <comment ref="D2" authorId="0" shapeId="0" xr:uid="{00000000-0006-0000-0100-000004000000}">
      <text>
        <r>
          <rPr>
            <b/>
            <sz val="8"/>
            <color indexed="81"/>
            <rFont val="Tahoma"/>
            <family val="2"/>
          </rPr>
          <t xml:space="preserve">Vertex Out-Degree
</t>
        </r>
        <r>
          <rPr>
            <sz val="8"/>
            <color indexed="81"/>
            <rFont val="Tahoma"/>
            <family val="2"/>
          </rPr>
          <t xml:space="preserve">This and other graph metrics can be computed with the Graph Metrics button in the Analysis group in the NodeXL Ribbon tab.
</t>
        </r>
      </text>
    </comment>
    <comment ref="E2" authorId="0" shapeId="0" xr:uid="{00000000-0006-0000-0100-000005000000}">
      <text>
        <r>
          <rPr>
            <b/>
            <sz val="8"/>
            <color indexed="81"/>
            <rFont val="Tahoma"/>
            <family val="2"/>
          </rPr>
          <t xml:space="preserve">Vertex Betweenness Centrality
</t>
        </r>
        <r>
          <rPr>
            <sz val="8"/>
            <color indexed="81"/>
            <rFont val="Tahoma"/>
            <family val="2"/>
          </rPr>
          <t xml:space="preserve">This and other graph metrics can be computed with the Graph Metrics button in the Analysis group in the NodeXL Ribbon tab.
</t>
        </r>
      </text>
    </comment>
    <comment ref="F2" authorId="0" shapeId="0" xr:uid="{00000000-0006-0000-0100-000006000000}">
      <text>
        <r>
          <rPr>
            <b/>
            <sz val="8"/>
            <color indexed="81"/>
            <rFont val="Tahoma"/>
            <family val="2"/>
          </rPr>
          <t xml:space="preserve">Vertex Closeness Centrality
</t>
        </r>
        <r>
          <rPr>
            <sz val="8"/>
            <color indexed="81"/>
            <rFont val="Tahoma"/>
            <family val="2"/>
          </rPr>
          <t xml:space="preserve">This and other graph metrics can be computed with the Graph Metrics button in the Analysis group in the NodeXL Ribbon tab.
</t>
        </r>
      </text>
    </comment>
    <comment ref="G2" authorId="0" shapeId="0" xr:uid="{00000000-0006-0000-0100-000007000000}">
      <text>
        <r>
          <rPr>
            <b/>
            <sz val="8"/>
            <color indexed="81"/>
            <rFont val="Tahoma"/>
            <family val="2"/>
          </rPr>
          <t xml:space="preserve">Vertex Eigenvector Centrality
</t>
        </r>
        <r>
          <rPr>
            <sz val="8"/>
            <color indexed="81"/>
            <rFont val="Tahoma"/>
            <family val="2"/>
          </rPr>
          <t xml:space="preserve">This and other graph metrics can be computed with the Graph Metrics button in the Analysis group in the NodeXL Ribbon tab.
</t>
        </r>
      </text>
    </comment>
    <comment ref="H2" authorId="0" shapeId="0" xr:uid="{00000000-0006-0000-0100-000008000000}">
      <text>
        <r>
          <rPr>
            <b/>
            <sz val="8"/>
            <color indexed="81"/>
            <rFont val="Tahoma"/>
            <family val="2"/>
          </rPr>
          <t xml:space="preserve">Vertex Clustering Coefficient
</t>
        </r>
        <r>
          <rPr>
            <sz val="8"/>
            <color indexed="81"/>
            <rFont val="Tahoma"/>
            <family val="2"/>
          </rPr>
          <t xml:space="preserve">This and other graph metrics can be computed with the Graph Metrics button in the Analysis group in the NodeXL Ribbon tab.
</t>
        </r>
      </text>
    </comment>
    <comment ref="I2" authorId="0" shapeId="0" xr:uid="{00000000-0006-0000-0100-000009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J2" authorId="0" shapeId="0" xr:uid="{00000000-0006-0000-0100-00000A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K2" authorId="0" shapeId="0" xr:uid="{00000000-0006-0000-0100-00000B000000}">
      <text>
        <r>
          <rPr>
            <b/>
            <sz val="8"/>
            <color indexed="81"/>
            <rFont val="Tahoma"/>
            <family val="2"/>
          </rPr>
          <t xml:space="preserve">Vertex Size
</t>
        </r>
        <r>
          <rPr>
            <sz val="8"/>
            <color indexed="81"/>
            <rFont val="Tahoma"/>
            <family val="2"/>
          </rPr>
          <t xml:space="preserve">
Enter an optional vertex size between 1 and 100.</t>
        </r>
      </text>
    </comment>
    <comment ref="L2" authorId="0" shapeId="0" xr:uid="{00000000-0006-0000-0100-00000C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M2" authorId="0" shapeId="0" xr:uid="{00000000-0006-0000-0100-00000D000000}">
      <text>
        <r>
          <rPr>
            <b/>
            <sz val="8"/>
            <color indexed="81"/>
            <rFont val="Tahoma"/>
            <family val="2"/>
          </rPr>
          <t>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N2" authorId="0" shapeId="0" xr:uid="{00000000-0006-0000-0100-00000E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If the vertex is part of an edge, show it.  Otherwise, ignore the vertex row.  This is the default.
</t>
        </r>
        <r>
          <rPr>
            <b/>
            <sz val="8"/>
            <color indexed="81"/>
            <rFont val="Tahoma"/>
            <family val="2"/>
          </rPr>
          <t>Skip</t>
        </r>
        <r>
          <rPr>
            <sz val="8"/>
            <color indexed="81"/>
            <rFont val="Tahoma"/>
            <family val="2"/>
          </rPr>
          <t xml:space="preserve">
Skip the vertex row and any edge rows that use the vertex.  Do not read them into the graph.
</t>
        </r>
        <r>
          <rPr>
            <b/>
            <sz val="8"/>
            <color indexed="81"/>
            <rFont val="Tahoma"/>
            <family val="2"/>
          </rPr>
          <t>Hide</t>
        </r>
        <r>
          <rPr>
            <sz val="8"/>
            <color indexed="81"/>
            <rFont val="Tahoma"/>
            <family val="2"/>
          </rPr>
          <t xml:space="preserve">
If the vertex is part of an edge, hide the vertex and its edges.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O2" authorId="0" shapeId="0" xr:uid="{00000000-0006-0000-0100-00000F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P2" authorId="0" shapeId="0" xr:uid="{00000000-0006-0000-0100-000010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Q2" authorId="1" shapeId="0" xr:uid="{00000000-0006-0000-0100-000011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R2" authorId="0" shapeId="0" xr:uid="{00000000-0006-0000-0100-000012000000}">
      <text>
        <r>
          <rPr>
            <b/>
            <sz val="8"/>
            <color indexed="81"/>
            <rFont val="Tahoma"/>
            <family val="2"/>
          </rPr>
          <t xml:space="preserve">Vertex Tooltip
</t>
        </r>
        <r>
          <rPr>
            <sz val="8"/>
            <color indexed="81"/>
            <rFont val="Tahoma"/>
            <family val="2"/>
          </rPr>
          <t xml:space="preserve">
Enter optional text that will pop up when the mouse is hovered over the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S2" authorId="0" shapeId="0" xr:uid="{00000000-0006-0000-0100-000013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This is ignored if the Fruchterman-Reingold, Harel-Koren Fast Multiscale,  Polar, Sugiyama, or Random Layout is selected.
</t>
        </r>
      </text>
    </comment>
    <comment ref="T2" authorId="0" shapeId="0" xr:uid="{00000000-0006-0000-0100-00001400000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U2" authorId="0" shapeId="0" xr:uid="{00000000-0006-0000-0100-00001500000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V2" authorId="0" shapeId="0" xr:uid="{00000000-0006-0000-0100-000016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W2" authorId="0" shapeId="0" xr:uid="{00000000-0006-0000-0100-000017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X2" authorId="0" shapeId="0" xr:uid="{00000000-0006-0000-0100-000018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Y2" authorId="0" shapeId="0" xr:uid="{00000000-0006-0000-0100-000019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A2" authorId="0" shapeId="0" xr:uid="{00000000-0006-0000-0100-00001A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300-000001000000}">
      <text>
        <r>
          <rPr>
            <b/>
            <sz val="8"/>
            <color indexed="81"/>
            <rFont val="Tahoma"/>
            <family val="2"/>
          </rPr>
          <t>Cluster Name</t>
        </r>
        <r>
          <rPr>
            <sz val="8"/>
            <color indexed="81"/>
            <rFont val="Tahoma"/>
            <family val="2"/>
          </rPr>
          <t xml:space="preserve">
Enter the name of the cluster.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this worksheet for each cluster, then indicate which vertices are in which clusters by filling in the Cluster Vertices worksheet.
When clusters are read into the workbook, the Color and Shape columns on the Vertices worksheet are ignored.</t>
        </r>
      </text>
    </comment>
    <comment ref="B1" authorId="0" shapeId="0" xr:uid="{00000000-0006-0000-0300-000002000000}">
      <text>
        <r>
          <rPr>
            <b/>
            <sz val="8"/>
            <color indexed="81"/>
            <rFont val="Tahoma"/>
            <family val="2"/>
          </rPr>
          <t xml:space="preserve">Vertex Color
</t>
        </r>
        <r>
          <rPr>
            <sz val="8"/>
            <color indexed="81"/>
            <rFont val="Tahoma"/>
            <family val="2"/>
          </rPr>
          <t xml:space="preserve">
To select a color to use for all vertices in the cluster,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1" authorId="0" shapeId="0" xr:uid="{00000000-0006-0000-0300-000003000000}">
      <text>
        <r>
          <rPr>
            <b/>
            <sz val="8"/>
            <color indexed="81"/>
            <rFont val="Tahoma"/>
            <family val="2"/>
          </rPr>
          <t>Vertex Shape</t>
        </r>
        <r>
          <rPr>
            <sz val="8"/>
            <color indexed="81"/>
            <rFont val="Tahoma"/>
            <family val="2"/>
          </rPr>
          <t xml:space="preserve">
Select a shape to use for all vertices in the cluster.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400-000001000000}">
      <text>
        <r>
          <rPr>
            <b/>
            <sz val="8"/>
            <color indexed="81"/>
            <rFont val="Tahoma"/>
            <family val="2"/>
          </rPr>
          <t>Cluster Name</t>
        </r>
        <r>
          <rPr>
            <sz val="8"/>
            <color indexed="81"/>
            <rFont val="Tahoma"/>
            <family val="2"/>
          </rPr>
          <t xml:space="preserve">
Enter the name of the cluster.  The cluster name must also be entered on the Clusters worksheet.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the Clusters worksheet for each cluster, then indicate which vertices are in which clusters by filling in this worksheet.
When clusters are read into the workbook, the Color and Shape columns on the Vertices worksheet are ignored.</t>
        </r>
      </text>
    </comment>
    <comment ref="B1" authorId="0" shapeId="0" xr:uid="{00000000-0006-0000-0400-000002000000}">
      <text>
        <r>
          <rPr>
            <b/>
            <sz val="8"/>
            <color indexed="81"/>
            <rFont val="Tahoma"/>
            <family val="2"/>
          </rPr>
          <t>Vertex Name</t>
        </r>
        <r>
          <rPr>
            <sz val="8"/>
            <color indexed="81"/>
            <rFont val="Tahoma"/>
            <family val="2"/>
          </rPr>
          <t xml:space="preserve">
Enter the name of a vertex to include in this cluster.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metrics for the graph.  These and other graph metrics can be computed with the Graph Metrics button in the Analysis group in the NodeXL Ribbon tab.</t>
        </r>
      </text>
    </comment>
  </commentList>
</comments>
</file>

<file path=xl/sharedStrings.xml><?xml version="1.0" encoding="utf-8"?>
<sst xmlns="http://schemas.openxmlformats.org/spreadsheetml/2006/main" count="225" uniqueCount="159">
  <si>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</si>
  <si>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</si>
  <si>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</si>
  <si>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</si>
  <si>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</si>
  <si>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</si>
  <si>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</si>
  <si>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</si>
  <si>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</si>
  <si>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</si>
  <si>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</si>
  <si>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</si>
  <si>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</si>
  <si>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</si>
  <si>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</si>
  <si>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</si>
  <si>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</si>
  <si>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</si>
  <si>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</si>
  <si>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</si>
  <si>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</si>
  <si>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</si>
  <si>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</si>
  <si>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</si>
  <si>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</si>
  <si>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</si>
  <si>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</si>
  <si>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</si>
  <si>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</si>
  <si>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</si>
  <si>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Filtered Alpha</t>
  </si>
  <si>
    <t>Graph Directedness</t>
  </si>
  <si>
    <t>Undirected</t>
  </si>
  <si>
    <t>Degree</t>
  </si>
  <si>
    <t>In-Degree</t>
  </si>
  <si>
    <t>Out-Degree</t>
  </si>
  <si>
    <t>Betweenness Centrality</t>
  </si>
  <si>
    <t>Closeness Centrality</t>
  </si>
  <si>
    <t>Eigenvector Centrality</t>
  </si>
  <si>
    <t>Clustering Coefficient</t>
  </si>
  <si>
    <t>Show Vertex Graph Metrics</t>
  </si>
  <si>
    <t>Show Vertex Visual Attributes</t>
  </si>
  <si>
    <t>Show Edge Visual Attributes</t>
  </si>
  <si>
    <t>Show Vertex Labels</t>
  </si>
  <si>
    <t>Show Vertex Layout</t>
  </si>
  <si>
    <t>Dynamic Filter</t>
  </si>
  <si>
    <t>Show Vertex Other Columns</t>
  </si>
  <si>
    <t>Show Edge Other Columns</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</si>
  <si>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</si>
  <si>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</si>
  <si>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</si>
  <si>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</si>
  <si>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</si>
  <si>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</si>
  <si>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</si>
  <si>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</si>
  <si>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</si>
  <si>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</si>
  <si>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</si>
  <si>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</si>
  <si>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</si>
  <si>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</si>
  <si>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</si>
  <si>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</si>
  <si>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</si>
  <si>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</si>
  <si>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</si>
  <si>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</si>
  <si>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</si>
  <si>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</si>
  <si>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</si>
  <si>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</si>
  <si>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</si>
  <si>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</si>
  <si>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</si>
  <si>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</si>
  <si>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</si>
  <si>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</si>
  <si>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</si>
  <si>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</si>
  <si>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</si>
  <si>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</si>
  <si>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</si>
  <si>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</si>
  <si>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</si>
  <si>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</si>
  <si>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</si>
  <si>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Show Edge Labels</t>
  </si>
  <si>
    <t>Background Color</t>
  </si>
  <si>
    <t>Background Image</t>
  </si>
  <si>
    <t>Auto Layout on Open</t>
  </si>
  <si>
    <t>Comments</t>
  </si>
  <si>
    <t>Degree Bin</t>
  </si>
  <si>
    <t>Degree Frequency</t>
  </si>
  <si>
    <t>Minimum Degree</t>
  </si>
  <si>
    <t>Maximum Degree</t>
  </si>
  <si>
    <t>Average Degree</t>
  </si>
  <si>
    <t>Median Degree</t>
  </si>
  <si>
    <t>Not Available</t>
  </si>
  <si>
    <t xml:space="preserve"> </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</si>
  <si>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</si>
  <si>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</si>
  <si>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</si>
  <si>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</si>
  <si>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</si>
  <si>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</si>
  <si>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</si>
  <si>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</si>
  <si>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</si>
  <si>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</si>
  <si>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</si>
  <si>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</si>
  <si>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</si>
  <si>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</si>
  <si>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</si>
  <si>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</si>
  <si>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</si>
  <si>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</si>
  <si>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</si>
  <si>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</si>
  <si>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</si>
  <si>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</si>
  <si>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</si>
  <si>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</si>
  <si>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</si>
  <si>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</si>
  <si>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</si>
  <si>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</si>
  <si>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</si>
  <si>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</si>
  <si>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</si>
  <si>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</si>
  <si>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</si>
  <si>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</si>
  <si>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</si>
  <si>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</si>
  <si>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</si>
  <si>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</si>
  <si>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</si>
  <si>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</si>
  <si>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</si>
  <si>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</si>
  <si>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</si>
  <si>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</si>
  <si>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Andre</t>
  </si>
  <si>
    <t>Beverly</t>
  </si>
  <si>
    <t>Diane</t>
  </si>
  <si>
    <t>Carol</t>
  </si>
  <si>
    <t>Fernando</t>
  </si>
  <si>
    <t>Ed</t>
  </si>
  <si>
    <t>Garth</t>
  </si>
  <si>
    <t>Heather</t>
  </si>
  <si>
    <t>Jane</t>
  </si>
  <si>
    <t>Group</t>
  </si>
  <si>
    <t>Graph Metric</t>
  </si>
  <si>
    <t>Workbook Settings 1</t>
  </si>
  <si>
    <t>Workbook Settings Cell Count</t>
  </si>
  <si>
    <t>Ivan</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</si>
  <si>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name="SaveImportDescription" serializeAs="String"&gt;_x000D_
        &lt;value&gt;False&lt;/value&gt;_x000D_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name="ClearTablesBeforeImport" serializeAs="String"&gt;_x000D_
        &lt;value&gt;True&lt;/value&gt;_x000D_
      &lt;/setting&gt;_x000D_
      &lt;setting name="ReadGroupLabels" serializeAs="String"&gt;_x000D_
        &lt;value&gt;True&lt;/value&gt;_x000D_
      &lt;/setting&gt;_x000D_
      &lt;setting name="ReadEdgeLabels" serializeAs="String"&gt;_x000D_
        &lt;value&gt;True&lt;/value&gt;_x000D_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</si>
</sst>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8"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6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1" fontId="0" fillId="0" borderId="0" xfId="0" applyNumberFormat="1" applyBorder="1"/>
    <xf numFmtId="0" fontId="0" fillId="0" borderId="0" xfId="0" applyAlignment="1">
      <alignment wrapText="1"/>
    </xf>
    <xf numFmtId="0" fontId="0" fillId="2" borderId="1" xfId="1" applyNumberFormat="1" applyFont="1"/>
    <xf numFmtId="0" fontId="0" fillId="0" borderId="0" xfId="2" applyNumberFormat="1" applyFont="1"/>
    <xf numFmtId="49" fontId="0" fillId="0" borderId="0" xfId="3" applyNumberFormat="1" applyFont="1"/>
    <xf numFmtId="0" fontId="0" fillId="5" borderId="1" xfId="4" applyNumberFormat="1" applyFont="1"/>
    <xf numFmtId="164" fontId="0" fillId="5" borderId="1" xfId="4" applyNumberFormat="1" applyFont="1"/>
    <xf numFmtId="1" fontId="0" fillId="5" borderId="1" xfId="4" applyNumberFormat="1" applyFont="1"/>
    <xf numFmtId="1" fontId="0" fillId="4" borderId="1" xfId="5" applyNumberFormat="1" applyFont="1" applyAlignment="1"/>
    <xf numFmtId="167" fontId="0" fillId="4" borderId="1" xfId="5" applyNumberFormat="1" applyFont="1" applyAlignment="1"/>
    <xf numFmtId="164" fontId="0" fillId="3" borderId="1" xfId="7" applyNumberFormat="1" applyFont="1"/>
    <xf numFmtId="165" fontId="0" fillId="3" borderId="1" xfId="7" applyNumberFormat="1" applyFont="1"/>
    <xf numFmtId="0" fontId="0" fillId="3" borderId="1" xfId="7" applyNumberFormat="1" applyFont="1"/>
    <xf numFmtId="166" fontId="0" fillId="3" borderId="1" xfId="7" applyNumberFormat="1" applyFont="1"/>
    <xf numFmtId="49" fontId="6" fillId="6" borderId="1" xfId="6" applyNumberFormat="1"/>
    <xf numFmtId="0"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2"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applyAlignment="1"/>
    <xf numFmtId="167" fontId="5" fillId="4" borderId="1" xfId="5" applyNumberFormat="1" applyAlignment="1"/>
    <xf numFmtId="0" fontId="6" fillId="6" borderId="1" xfId="6"/>
    <xf numFmtId="0" fontId="0" fillId="0" borderId="0" xfId="0" applyBorder="1" applyAlignment="1">
      <alignment wrapText="1"/>
    </xf>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6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30" formatCode="@"/>
    </dxf>
    <dxf>
      <numFmt numFmtId="30" formatCode="@"/>
    </dxf>
    <dxf>
      <numFmt numFmtId="30" formatCode="@"/>
      <alignment horizontal="general" vertical="bottom" textRotation="0" wrapText="1" indent="0" justifyLastLine="0" shrinkToFit="0" readingOrder="0"/>
    </dxf>
    <dxf>
      <numFmt numFmtId="0" formatCode="General"/>
    </dxf>
    <dxf>
      <numFmt numFmtId="0" formatCode="General"/>
    </dxf>
    <dxf>
      <numFmt numFmtId="0" formatCode="General"/>
    </dxf>
    <dxf>
      <numFmt numFmtId="30" formatCode="@"/>
    </dxf>
    <dxf>
      <numFmt numFmtId="0" formatCode="General"/>
    </dxf>
    <dxf>
      <numFmt numFmtId="1" formatCode="0"/>
    </dxf>
    <dxf>
      <numFmt numFmtId="164" formatCode="0.0"/>
    </dxf>
    <dxf>
      <numFmt numFmtId="0" formatCode="Genera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xr9:uid="{00000000-0011-0000-FFFF-FFFF00000000}">
      <tableStyleElement type="headerRow"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Metrics'!$F$2</c:f>
              <c:strCache>
                <c:ptCount val="1"/>
                <c:pt idx="0">
                  <c:v>0</c:v>
                </c:pt>
              </c:strCache>
            </c:strRef>
          </c:tx>
          <c:spPr>
            <a:solidFill>
              <a:schemeClr val="accent1"/>
            </a:solidFill>
          </c:spPr>
          <c:invertIfNegative val="0"/>
          <c:cat>
            <c:numRef>
              <c:f>'Overall Metrics'!$E$2:$E$45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Metrics'!$F$2:$F$45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C8A-430A-B683-09942B5C77C6}"/>
            </c:ext>
          </c:extLst>
        </c:ser>
        <c:dLbls>
          <c:showLegendKey val="0"/>
          <c:showVal val="0"/>
          <c:showCatName val="0"/>
          <c:showSerName val="0"/>
          <c:showPercent val="0"/>
          <c:showBubbleSize val="0"/>
        </c:dLbls>
        <c:gapWidth val="0"/>
        <c:axId val="83964672"/>
        <c:axId val="84100992"/>
      </c:barChart>
      <c:catAx>
        <c:axId val="8396467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84100992"/>
        <c:crosses val="autoZero"/>
        <c:auto val="1"/>
        <c:lblAlgn val="ctr"/>
        <c:lblOffset val="100"/>
        <c:noMultiLvlLbl val="0"/>
      </c:catAx>
      <c:valAx>
        <c:axId val="841009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3964672"/>
        <c:crosses val="autoZero"/>
        <c:crossBetween val="between"/>
      </c:valAx>
    </c:plotArea>
    <c:plotVisOnly val="0"/>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Metrics'!$H$2</c:f>
              <c:strCache>
                <c:ptCount val="1"/>
                <c:pt idx="0">
                  <c:v>0</c:v>
                </c:pt>
              </c:strCache>
            </c:strRef>
          </c:tx>
          <c:spPr>
            <a:solidFill>
              <a:schemeClr val="accent1"/>
            </a:solidFill>
          </c:spPr>
          <c:invertIfNegative val="0"/>
          <c:cat>
            <c:numRef>
              <c:f>'Overall Metrics'!$G$2:$G$45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Metrics'!$H$2:$H$45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328-42C1-9F5E-A10E48A0ABA5}"/>
            </c:ext>
          </c:extLst>
        </c:ser>
        <c:dLbls>
          <c:showLegendKey val="0"/>
          <c:showVal val="0"/>
          <c:showCatName val="0"/>
          <c:showSerName val="0"/>
          <c:showPercent val="0"/>
          <c:showBubbleSize val="0"/>
        </c:dLbls>
        <c:gapWidth val="0"/>
        <c:axId val="213066112"/>
        <c:axId val="213068416"/>
      </c:barChart>
      <c:catAx>
        <c:axId val="213066112"/>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213068416"/>
        <c:crosses val="autoZero"/>
        <c:auto val="1"/>
        <c:lblAlgn val="ctr"/>
        <c:lblOffset val="100"/>
        <c:noMultiLvlLbl val="0"/>
      </c:catAx>
      <c:valAx>
        <c:axId val="213068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3066112"/>
        <c:crosses val="autoZero"/>
        <c:crossBetween val="between"/>
      </c:valAx>
    </c:plotArea>
    <c:plotVisOnly val="0"/>
    <c:dispBlanksAs val="gap"/>
    <c:showDLblsOverMax val="0"/>
  </c:chart>
  <c:printSettings>
    <c:headerFooter/>
    <c:pageMargins b="0.75000000000000566" l="0.70000000000000062" r="0.70000000000000062" t="0.750000000000005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Metrics'!$J$2</c:f>
              <c:strCache>
                <c:ptCount val="1"/>
                <c:pt idx="0">
                  <c:v>0</c:v>
                </c:pt>
              </c:strCache>
            </c:strRef>
          </c:tx>
          <c:spPr>
            <a:solidFill>
              <a:schemeClr val="accent1"/>
            </a:solidFill>
          </c:spPr>
          <c:invertIfNegative val="0"/>
          <c:cat>
            <c:numRef>
              <c:f>'Overall Metrics'!$I$2:$I$45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Metrics'!$J$2:$J$45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A49-45DF-A9DF-4ED0E9B724B0}"/>
            </c:ext>
          </c:extLst>
        </c:ser>
        <c:dLbls>
          <c:showLegendKey val="0"/>
          <c:showVal val="0"/>
          <c:showCatName val="0"/>
          <c:showSerName val="0"/>
          <c:showPercent val="0"/>
          <c:showBubbleSize val="0"/>
        </c:dLbls>
        <c:gapWidth val="0"/>
        <c:axId val="286841856"/>
        <c:axId val="286852224"/>
      </c:barChart>
      <c:catAx>
        <c:axId val="286841856"/>
        <c:scaling>
          <c:orientation val="minMax"/>
        </c:scaling>
        <c:delete val="1"/>
        <c:axPos val="b"/>
        <c:title>
          <c:tx>
            <c:rich>
              <a:bodyPr/>
              <a:lstStyle/>
              <a:p>
                <a:pPr>
                  <a:defRPr/>
                </a:pPr>
                <a:r>
                  <a:rPr lang="en-US"/>
                  <a:t>Out-Degree</a:t>
                </a:r>
              </a:p>
            </c:rich>
          </c:tx>
          <c:layout>
            <c:manualLayout>
              <c:xMode val="edge"/>
              <c:yMode val="edge"/>
              <c:x val="0.41379516818709683"/>
              <c:y val="0.80898890864448736"/>
            </c:manualLayout>
          </c:layout>
          <c:overlay val="0"/>
        </c:title>
        <c:numFmt formatCode="#,##0.00" sourceLinked="1"/>
        <c:majorTickMark val="out"/>
        <c:minorTickMark val="none"/>
        <c:tickLblPos val="none"/>
        <c:crossAx val="286852224"/>
        <c:crosses val="autoZero"/>
        <c:auto val="1"/>
        <c:lblAlgn val="ctr"/>
        <c:lblOffset val="100"/>
        <c:noMultiLvlLbl val="0"/>
      </c:catAx>
      <c:valAx>
        <c:axId val="2868522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6841856"/>
        <c:crosses val="autoZero"/>
        <c:crossBetween val="between"/>
      </c:valAx>
    </c:plotArea>
    <c:plotVisOnly val="0"/>
    <c:dispBlanksAs val="gap"/>
    <c:showDLblsOverMax val="0"/>
  </c:chart>
  <c:printSettings>
    <c:headerFooter/>
    <c:pageMargins b="0.75000000000000566" l="0.70000000000000062" r="0.70000000000000062" t="0.750000000000005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Metrics'!$L$2</c:f>
              <c:strCache>
                <c:ptCount val="1"/>
                <c:pt idx="0">
                  <c:v>0</c:v>
                </c:pt>
              </c:strCache>
            </c:strRef>
          </c:tx>
          <c:spPr>
            <a:solidFill>
              <a:schemeClr val="accent1"/>
            </a:solidFill>
          </c:spPr>
          <c:invertIfNegative val="0"/>
          <c:cat>
            <c:numRef>
              <c:f>'Overall Metrics'!$K$2:$K$45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Metrics'!$L$2:$L$45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2F3-46DD-8E13-A0BB2466F8C2}"/>
            </c:ext>
          </c:extLst>
        </c:ser>
        <c:dLbls>
          <c:showLegendKey val="0"/>
          <c:showVal val="0"/>
          <c:showCatName val="0"/>
          <c:showSerName val="0"/>
          <c:showPercent val="0"/>
          <c:showBubbleSize val="0"/>
        </c:dLbls>
        <c:gapWidth val="0"/>
        <c:axId val="286872704"/>
        <c:axId val="286874624"/>
      </c:barChart>
      <c:catAx>
        <c:axId val="286872704"/>
        <c:scaling>
          <c:orientation val="minMax"/>
        </c:scaling>
        <c:delete val="1"/>
        <c:axPos val="b"/>
        <c:title>
          <c:tx>
            <c:rich>
              <a:bodyPr/>
              <a:lstStyle/>
              <a:p>
                <a:pPr>
                  <a:defRPr/>
                </a:pPr>
                <a:r>
                  <a:rPr lang="en-US"/>
                  <a:t>Betweenness Centrality</a:t>
                </a:r>
              </a:p>
            </c:rich>
          </c:tx>
          <c:layout>
            <c:manualLayout>
              <c:xMode val="edge"/>
              <c:yMode val="edge"/>
              <c:x val="0.32728710116055004"/>
              <c:y val="0.82619320971975252"/>
            </c:manualLayout>
          </c:layout>
          <c:overlay val="0"/>
        </c:title>
        <c:numFmt formatCode="#,##0.00" sourceLinked="1"/>
        <c:majorTickMark val="out"/>
        <c:minorTickMark val="none"/>
        <c:tickLblPos val="none"/>
        <c:crossAx val="286874624"/>
        <c:crosses val="autoZero"/>
        <c:auto val="1"/>
        <c:lblAlgn val="ctr"/>
        <c:lblOffset val="100"/>
        <c:noMultiLvlLbl val="0"/>
      </c:catAx>
      <c:valAx>
        <c:axId val="2868746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6872704"/>
        <c:crosses val="autoZero"/>
        <c:crossBetween val="between"/>
      </c:valAx>
    </c:plotArea>
    <c:plotVisOnly val="0"/>
    <c:dispBlanksAs val="gap"/>
    <c:showDLblsOverMax val="0"/>
  </c:chart>
  <c:printSettings>
    <c:headerFooter/>
    <c:pageMargins b="0.75000000000000566" l="0.70000000000000062" r="0.70000000000000062" t="0.750000000000005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Metrics'!$N$2</c:f>
              <c:strCache>
                <c:ptCount val="1"/>
                <c:pt idx="0">
                  <c:v>0</c:v>
                </c:pt>
              </c:strCache>
            </c:strRef>
          </c:tx>
          <c:spPr>
            <a:solidFill>
              <a:schemeClr val="accent1"/>
            </a:solidFill>
          </c:spPr>
          <c:invertIfNegative val="0"/>
          <c:cat>
            <c:numRef>
              <c:f>'Overall Metrics'!$M$2:$M$45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Metrics'!$N$2:$N$45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661-4284-9C9B-745AB318337D}"/>
            </c:ext>
          </c:extLst>
        </c:ser>
        <c:dLbls>
          <c:showLegendKey val="0"/>
          <c:showVal val="0"/>
          <c:showCatName val="0"/>
          <c:showSerName val="0"/>
          <c:showPercent val="0"/>
          <c:showBubbleSize val="0"/>
        </c:dLbls>
        <c:gapWidth val="0"/>
        <c:axId val="286915584"/>
        <c:axId val="286930048"/>
      </c:barChart>
      <c:catAx>
        <c:axId val="286915584"/>
        <c:scaling>
          <c:orientation val="minMax"/>
        </c:scaling>
        <c:delete val="1"/>
        <c:axPos val="b"/>
        <c:title>
          <c:tx>
            <c:rich>
              <a:bodyPr/>
              <a:lstStyle/>
              <a:p>
                <a:pPr>
                  <a:defRPr/>
                </a:pPr>
                <a:r>
                  <a:rPr lang="en-US"/>
                  <a:t>Closeness Centrality</a:t>
                </a:r>
              </a:p>
            </c:rich>
          </c:tx>
          <c:layout>
            <c:manualLayout>
              <c:xMode val="edge"/>
              <c:yMode val="edge"/>
              <c:x val="0.35406086287407129"/>
              <c:y val="0.82619320971975252"/>
            </c:manualLayout>
          </c:layout>
          <c:overlay val="0"/>
        </c:title>
        <c:numFmt formatCode="#,##0.00" sourceLinked="1"/>
        <c:majorTickMark val="out"/>
        <c:minorTickMark val="none"/>
        <c:tickLblPos val="none"/>
        <c:crossAx val="286930048"/>
        <c:crosses val="autoZero"/>
        <c:auto val="1"/>
        <c:lblAlgn val="ctr"/>
        <c:lblOffset val="100"/>
        <c:noMultiLvlLbl val="0"/>
      </c:catAx>
      <c:valAx>
        <c:axId val="2869300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6915584"/>
        <c:crosses val="autoZero"/>
        <c:crossBetween val="between"/>
      </c:valAx>
    </c:plotArea>
    <c:plotVisOnly val="0"/>
    <c:dispBlanksAs val="gap"/>
    <c:showDLblsOverMax val="0"/>
  </c:chart>
  <c:printSettings>
    <c:headerFooter/>
    <c:pageMargins b="0.75000000000000588" l="0.70000000000000062" r="0.70000000000000062" t="0.7500000000000058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Metrics'!$P$2</c:f>
              <c:strCache>
                <c:ptCount val="1"/>
                <c:pt idx="0">
                  <c:v>0</c:v>
                </c:pt>
              </c:strCache>
            </c:strRef>
          </c:tx>
          <c:spPr>
            <a:solidFill>
              <a:schemeClr val="accent1"/>
            </a:solidFill>
          </c:spPr>
          <c:invertIfNegative val="0"/>
          <c:cat>
            <c:numRef>
              <c:f>'Overall Metrics'!$O$2:$O$45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Metrics'!$P$2:$P$45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C56-40F2-9CE9-0B9B8147D0ED}"/>
            </c:ext>
          </c:extLst>
        </c:ser>
        <c:dLbls>
          <c:showLegendKey val="0"/>
          <c:showVal val="0"/>
          <c:showCatName val="0"/>
          <c:showSerName val="0"/>
          <c:showPercent val="0"/>
          <c:showBubbleSize val="0"/>
        </c:dLbls>
        <c:gapWidth val="0"/>
        <c:axId val="286958720"/>
        <c:axId val="286960640"/>
      </c:barChart>
      <c:catAx>
        <c:axId val="2869587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2073"/>
              <c:y val="0.82619320971975252"/>
            </c:manualLayout>
          </c:layout>
          <c:overlay val="0"/>
        </c:title>
        <c:numFmt formatCode="#,##0.00" sourceLinked="1"/>
        <c:majorTickMark val="out"/>
        <c:minorTickMark val="none"/>
        <c:tickLblPos val="none"/>
        <c:crossAx val="286960640"/>
        <c:crosses val="autoZero"/>
        <c:auto val="1"/>
        <c:lblAlgn val="ctr"/>
        <c:lblOffset val="100"/>
        <c:noMultiLvlLbl val="0"/>
      </c:catAx>
      <c:valAx>
        <c:axId val="2869606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6958720"/>
        <c:crosses val="autoZero"/>
        <c:crossBetween val="between"/>
      </c:valAx>
    </c:plotArea>
    <c:plotVisOnly val="0"/>
    <c:dispBlanksAs val="gap"/>
    <c:showDLblsOverMax val="0"/>
  </c:chart>
  <c:printSettings>
    <c:headerFooter/>
    <c:pageMargins b="0.75000000000000611" l="0.70000000000000062" r="0.70000000000000062" t="0.750000000000006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Metrics'!$R$2</c:f>
              <c:strCache>
                <c:ptCount val="1"/>
                <c:pt idx="0">
                  <c:v>0</c:v>
                </c:pt>
              </c:strCache>
            </c:strRef>
          </c:tx>
          <c:spPr>
            <a:solidFill>
              <a:schemeClr val="accent1"/>
            </a:solidFill>
          </c:spPr>
          <c:invertIfNegative val="0"/>
          <c:cat>
            <c:numRef>
              <c:f>'Overall Metrics'!$Q$2:$Q$45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Metrics'!$R$2:$R$45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39D-4F6D-A4BB-683637EF8E01}"/>
            </c:ext>
          </c:extLst>
        </c:ser>
        <c:dLbls>
          <c:showLegendKey val="0"/>
          <c:showVal val="0"/>
          <c:showCatName val="0"/>
          <c:showSerName val="0"/>
          <c:showPercent val="0"/>
          <c:showBubbleSize val="0"/>
        </c:dLbls>
        <c:gapWidth val="0"/>
        <c:axId val="326515712"/>
        <c:axId val="326542464"/>
      </c:barChart>
      <c:catAx>
        <c:axId val="326515712"/>
        <c:scaling>
          <c:orientation val="minMax"/>
        </c:scaling>
        <c:delete val="1"/>
        <c:axPos val="b"/>
        <c:title>
          <c:tx>
            <c:rich>
              <a:bodyPr/>
              <a:lstStyle/>
              <a:p>
                <a:pPr>
                  <a:defRPr/>
                </a:pPr>
                <a:r>
                  <a:rPr lang="en-US"/>
                  <a:t>Clustering Coefficient</a:t>
                </a:r>
              </a:p>
            </c:rich>
          </c:tx>
          <c:layout>
            <c:manualLayout>
              <c:xMode val="edge"/>
              <c:yMode val="edge"/>
              <c:x val="0.337327261803121"/>
              <c:y val="0.82619320971975252"/>
            </c:manualLayout>
          </c:layout>
          <c:overlay val="0"/>
        </c:title>
        <c:numFmt formatCode="#,##0.00" sourceLinked="1"/>
        <c:majorTickMark val="out"/>
        <c:minorTickMark val="none"/>
        <c:tickLblPos val="none"/>
        <c:crossAx val="326542464"/>
        <c:crosses val="autoZero"/>
        <c:auto val="1"/>
        <c:lblAlgn val="ctr"/>
        <c:lblOffset val="100"/>
        <c:noMultiLvlLbl val="0"/>
      </c:catAx>
      <c:valAx>
        <c:axId val="32654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6515712"/>
        <c:crosses val="autoZero"/>
        <c:crossBetween val="between"/>
      </c:valAx>
    </c:plotArea>
    <c:plotVisOnly val="0"/>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5918E-3"/>
          <c:y val="8.0430855234004828E-3"/>
          <c:w val="0.99723592884222623"/>
          <c:h val="0.9839124654872663"/>
        </c:manualLayout>
      </c:layout>
      <c:barChart>
        <c:barDir val="col"/>
        <c:grouping val="clustered"/>
        <c:varyColors val="0"/>
        <c:ser>
          <c:idx val="1"/>
          <c:order val="0"/>
          <c:tx>
            <c:strRef>
              <c:f>'Overall Metrics'!$T$2</c:f>
              <c:strCache>
                <c:ptCount val="1"/>
                <c:pt idx="0">
                  <c:v>#REF!</c:v>
                </c:pt>
              </c:strCache>
            </c:strRef>
          </c:tx>
          <c:spPr>
            <a:solidFill>
              <a:schemeClr val="accent1"/>
            </a:solidFill>
          </c:spPr>
          <c:invertIfNegative val="0"/>
          <c:cat>
            <c:numRef>
              <c:f>'Overall Metrics'!$S$2:$S$45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Metrics'!$T$2:$T$45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9-443B-8841-6AD37E5BC921}"/>
            </c:ext>
          </c:extLst>
        </c:ser>
        <c:dLbls>
          <c:showLegendKey val="0"/>
          <c:showVal val="0"/>
          <c:showCatName val="0"/>
          <c:showSerName val="0"/>
          <c:showPercent val="0"/>
          <c:showBubbleSize val="0"/>
        </c:dLbls>
        <c:gapWidth val="0"/>
        <c:axId val="326669440"/>
        <c:axId val="326670976"/>
      </c:barChart>
      <c:catAx>
        <c:axId val="326669440"/>
        <c:scaling>
          <c:orientation val="minMax"/>
        </c:scaling>
        <c:delete val="1"/>
        <c:axPos val="b"/>
        <c:numFmt formatCode="#,##0.00" sourceLinked="1"/>
        <c:majorTickMark val="out"/>
        <c:minorTickMark val="none"/>
        <c:tickLblPos val="none"/>
        <c:crossAx val="326670976"/>
        <c:crosses val="autoZero"/>
        <c:auto val="1"/>
        <c:lblAlgn val="ctr"/>
        <c:lblOffset val="100"/>
        <c:noMultiLvlLbl val="0"/>
      </c:catAx>
      <c:valAx>
        <c:axId val="326670976"/>
        <c:scaling>
          <c:orientation val="minMax"/>
        </c:scaling>
        <c:delete val="1"/>
        <c:axPos val="l"/>
        <c:numFmt formatCode="General" sourceLinked="1"/>
        <c:majorTickMark val="out"/>
        <c:minorTickMark val="none"/>
        <c:tickLblPos val="none"/>
        <c:crossAx val="32666944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0677" l="0.70000000000000062" r="0.70000000000000062" t="0.7500000000000067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24</xdr:row>
      <xdr:rowOff>38100</xdr:rowOff>
    </xdr:from>
    <xdr:to>
      <xdr:col>1</xdr:col>
      <xdr:colOff>918209</xdr:colOff>
      <xdr:row>31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38</xdr:row>
      <xdr:rowOff>38100</xdr:rowOff>
    </xdr:from>
    <xdr:to>
      <xdr:col>1</xdr:col>
      <xdr:colOff>918209</xdr:colOff>
      <xdr:row>45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52</xdr:row>
      <xdr:rowOff>28575</xdr:rowOff>
    </xdr:from>
    <xdr:to>
      <xdr:col>1</xdr:col>
      <xdr:colOff>918209</xdr:colOff>
      <xdr:row>59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66</xdr:row>
      <xdr:rowOff>9525</xdr:rowOff>
    </xdr:from>
    <xdr:to>
      <xdr:col>1</xdr:col>
      <xdr:colOff>918210</xdr:colOff>
      <xdr:row>73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80</xdr:row>
      <xdr:rowOff>19050</xdr:rowOff>
    </xdr:from>
    <xdr:to>
      <xdr:col>2</xdr:col>
      <xdr:colOff>3810</xdr:colOff>
      <xdr:row>87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94</xdr:row>
      <xdr:rowOff>19050</xdr:rowOff>
    </xdr:from>
    <xdr:to>
      <xdr:col>1</xdr:col>
      <xdr:colOff>918210</xdr:colOff>
      <xdr:row>101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108</xdr:row>
      <xdr:rowOff>9525</xdr:rowOff>
    </xdr:from>
    <xdr:to>
      <xdr:col>1</xdr:col>
      <xdr:colOff>918210</xdr:colOff>
      <xdr:row>115</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xdr:row>
      <xdr:rowOff>0</xdr:rowOff>
    </xdr:from>
    <xdr:to>
      <xdr:col>19</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J20" totalsRowShown="0">
  <autoFilter ref="A2:J20" xr:uid="{00000000-0009-0000-0100-000001000000}"/>
  <tableColumns count="10">
    <tableColumn id="1" xr3:uid="{00000000-0010-0000-0000-000001000000}" name="Vertex 1" dataDxfId="67" dataCellStyle="NodeXL Required"/>
    <tableColumn id="2" xr3:uid="{00000000-0010-0000-0000-000002000000}" name="Vertex 2" dataDxfId="66" dataCellStyle="NodeXL Required"/>
    <tableColumn id="3" xr3:uid="{00000000-0010-0000-0000-000003000000}" name="Color" dataDxfId="65" dataCellStyle="NodeXL Visual Property"/>
    <tableColumn id="4" xr3:uid="{00000000-0010-0000-0000-000004000000}" name="Width" dataDxfId="64" dataCellStyle="NodeXL Visual Property"/>
    <tableColumn id="5" xr3:uid="{00000000-0010-0000-0000-000005000000}" name="Opacity" dataDxfId="63" dataCellStyle="NodeXL Visual Property"/>
    <tableColumn id="6" xr3:uid="{00000000-0010-0000-0000-000006000000}" name="Visibility" dataDxfId="62" dataCellStyle="NodeXL Visual Property"/>
    <tableColumn id="10" xr3:uid="{00000000-0010-0000-0000-00000A000000}" name="Label" dataDxfId="61" dataCellStyle="NodeXL Label"/>
    <tableColumn id="7" xr3:uid="{00000000-0010-0000-0000-000007000000}" name="ID" dataDxfId="60" dataCellStyle="NodeXL Do Not Edit"/>
    <tableColumn id="9" xr3:uid="{00000000-0010-0000-0000-000009000000}" name="Dynamic Filter" dataDxfId="59" dataCellStyle="NodeXL Do Not Edit"/>
    <tableColumn id="8" xr3:uid="{00000000-0010-0000-0000-000008000000}" name="Add Your Own Columns Here" dataDxfId="58" dataCellStyle="NodeXL Other Column"/>
  </tableColumns>
  <tableStyleInfo name="NodeXL Tab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A12" totalsRowShown="0" headerRowDxfId="57" dataDxfId="56">
  <autoFilter ref="A2:AA12" xr:uid="{00000000-0009-0000-0100-000002000000}"/>
  <sortState ref="A3:AA12">
    <sortCondition ref="A2:A12"/>
  </sortState>
  <tableColumns count="27">
    <tableColumn id="1" xr3:uid="{00000000-0010-0000-0100-000001000000}" name="Vertex" dataDxfId="55" dataCellStyle="NodeXL Required"/>
    <tableColumn id="21" xr3:uid="{00000000-0010-0000-0100-000015000000}" name="Degree" dataDxfId="54" dataCellStyle="NodeXL Graph Metric"/>
    <tableColumn id="22" xr3:uid="{00000000-0010-0000-0100-000016000000}" name="In-Degree" dataDxfId="53" dataCellStyle="NodeXL Graph Metric"/>
    <tableColumn id="23" xr3:uid="{00000000-0010-0000-0100-000017000000}" name="Out-Degree" dataDxfId="52" dataCellStyle="NodeXL Graph Metric"/>
    <tableColumn id="24" xr3:uid="{00000000-0010-0000-0100-000018000000}" name="Betweenness Centrality" dataDxfId="51" dataCellStyle="NodeXL Graph Metric"/>
    <tableColumn id="25" xr3:uid="{00000000-0010-0000-0100-000019000000}" name="Closeness Centrality" dataDxfId="50" dataCellStyle="NodeXL Graph Metric"/>
    <tableColumn id="26" xr3:uid="{00000000-0010-0000-0100-00001A000000}" name="Eigenvector Centrality" dataDxfId="49" dataCellStyle="NodeXL Graph Metric"/>
    <tableColumn id="27" xr3:uid="{00000000-0010-0000-0100-00001B000000}" name="Clustering Coefficient" dataDxfId="48" dataCellStyle="NodeXL Graph Metric"/>
    <tableColumn id="2" xr3:uid="{00000000-0010-0000-0100-000002000000}" name="Color" dataDxfId="47" dataCellStyle="NodeXL Visual Property"/>
    <tableColumn id="5" xr3:uid="{00000000-0010-0000-0100-000005000000}" name="Shape" dataDxfId="46" dataCellStyle="NodeXL Visual Property"/>
    <tableColumn id="6" xr3:uid="{00000000-0010-0000-0100-000006000000}" name="Size" dataDxfId="45" dataCellStyle="NodeXL Visual Property"/>
    <tableColumn id="4" xr3:uid="{00000000-0010-0000-0100-000004000000}" name="Opacity" dataDxfId="44" dataCellStyle="NodeXL Visual Property"/>
    <tableColumn id="7" xr3:uid="{00000000-0010-0000-0100-000007000000}" name="Image File" dataDxfId="43" dataCellStyle="NodeXL Visual Property"/>
    <tableColumn id="3" xr3:uid="{00000000-0010-0000-0100-000003000000}" name="Visibility" dataDxfId="42" dataCellStyle="NodeXL Visual Property"/>
    <tableColumn id="10" xr3:uid="{00000000-0010-0000-0100-00000A000000}" name="Label" dataDxfId="41" dataCellStyle="NodeXL Label"/>
    <tableColumn id="16" xr3:uid="{00000000-0010-0000-0100-000010000000}" name="Label Fill Color" dataDxfId="40" dataCellStyle="NodeXL Label"/>
    <tableColumn id="9" xr3:uid="{00000000-0010-0000-0100-000009000000}" name="Label Position" dataDxfId="39" dataCellStyle="NodeXL Label"/>
    <tableColumn id="8" xr3:uid="{00000000-0010-0000-0100-000008000000}" name="Tooltip" dataDxfId="38" dataCellStyle="NodeXL Label"/>
    <tableColumn id="18" xr3:uid="{00000000-0010-0000-0100-000012000000}" name="Layout Order" dataDxfId="37" dataCellStyle="NodeXL Layout"/>
    <tableColumn id="13" xr3:uid="{00000000-0010-0000-0100-00000D000000}" name="X" dataDxfId="36" dataCellStyle="NodeXL Layout"/>
    <tableColumn id="14" xr3:uid="{00000000-0010-0000-0100-00000E000000}" name="Y" dataDxfId="35" dataCellStyle="NodeXL Layout"/>
    <tableColumn id="12" xr3:uid="{00000000-0010-0000-0100-00000C000000}" name="Locked?" dataDxfId="34" dataCellStyle="NodeXL Layout"/>
    <tableColumn id="19" xr3:uid="{00000000-0010-0000-0100-000013000000}" name="Polar R" dataDxfId="33" dataCellStyle="NodeXL Layout"/>
    <tableColumn id="20" xr3:uid="{00000000-0010-0000-0100-000014000000}" name="Polar Angle" dataDxfId="32" dataCellStyle="NodeXL Layout"/>
    <tableColumn id="11" xr3:uid="{00000000-0010-0000-0100-00000B000000}" name="ID" dataDxfId="31" dataCellStyle="NodeXL Do Not Edit"/>
    <tableColumn id="28" xr3:uid="{00000000-0010-0000-0100-00001C000000}" name="Dynamic Filter" dataDxfId="30" dataCellStyle="NodeXL Do Not Edit"/>
    <tableColumn id="17" xr3:uid="{00000000-0010-0000-0100-000011000000}" name="Add Your Own Columns Here" dataDxfId="2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1:D2" totalsRowShown="0">
  <autoFilter ref="A1:D2" xr:uid="{00000000-0009-0000-0100-000004000000}"/>
  <tableColumns count="4">
    <tableColumn id="1" xr3:uid="{00000000-0010-0000-0200-000001000000}" name="Group" dataDxfId="28"/>
    <tableColumn id="2" xr3:uid="{00000000-0010-0000-0200-000002000000}" name="Vertex Color" dataDxfId="27"/>
    <tableColumn id="3" xr3:uid="{00000000-0010-0000-0200-000003000000}" name="Vertex Shape" dataDxfId="26"/>
    <tableColumn id="4" xr3:uid="{00000000-0010-0000-0200-000004000000}" name="Label" dataDxfId="25" dataCellStyle="NodeXL Label"/>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B2" totalsRowShown="0" headerRowDxfId="24" dataDxfId="23">
  <autoFilter ref="A1:B2" xr:uid="{00000000-0009-0000-0100-000005000000}"/>
  <tableColumns count="2">
    <tableColumn id="1" xr3:uid="{00000000-0010-0000-0300-000001000000}" name="Group" dataDxfId="22"/>
    <tableColumn id="2" xr3:uid="{00000000-0010-0000-0300-000002000000}" name="Vertex" dataDxfId="2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C22" totalsRowShown="0" dataCellStyle="NodeXL Graph Metric">
  <autoFilter ref="A1:C22" xr:uid="{00000000-0009-0000-0100-000006000000}"/>
  <tableColumns count="3">
    <tableColumn id="1" xr3:uid="{00000000-0010-0000-0400-000001000000}" name="Graph Metric" dataDxfId="20" dataCellStyle="NodeXL Graph Metric"/>
    <tableColumn id="2" xr3:uid="{00000000-0010-0000-0400-000002000000}" name="Value" dataDxfId="19" dataCellStyle="NodeXL Graph Metric"/>
    <tableColumn id="3" xr3:uid="{00000000-0010-0000-0400-000003000000}" name="Comments" dataDxfId="18"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E1:T45" totalsRowShown="0">
  <autoFilter ref="E1:T45" xr:uid="{00000000-0009-0000-0100-000003000000}"/>
  <tableColumns count="16">
    <tableColumn id="1" xr3:uid="{00000000-0010-0000-0500-000001000000}" name="Degree Bin" dataDxfId="17"/>
    <tableColumn id="2" xr3:uid="{00000000-0010-0000-0500-000002000000}" name="Degree Frequency" dataDxfId="16">
      <calculatedColumnFormula>COUNTIF(Vertices[Degree], "&gt;= " &amp; E2) - COUNTIF(Vertices[Degree], "&gt;=" &amp; E3)</calculatedColumnFormula>
    </tableColumn>
    <tableColumn id="3" xr3:uid="{00000000-0010-0000-0500-000003000000}" name="In-Degree Bin" dataDxfId="15"/>
    <tableColumn id="4" xr3:uid="{00000000-0010-0000-0500-000004000000}" name="In-Degree Frequency" dataDxfId="14">
      <calculatedColumnFormula>COUNTIF(Vertices[In-Degree], "&gt;= " &amp; G2) - COUNTIF(Vertices[In-Degree], "&gt;=" &amp; G3)</calculatedColumnFormula>
    </tableColumn>
    <tableColumn id="5" xr3:uid="{00000000-0010-0000-0500-000005000000}" name="Out-Degree Bin" dataDxfId="13"/>
    <tableColumn id="6" xr3:uid="{00000000-0010-0000-0500-000006000000}" name="Out-Degree Frequency" dataDxfId="12">
      <calculatedColumnFormula>COUNTIF(Vertices[Out-Degree], "&gt;= " &amp; I2) - COUNTIF(Vertices[Out-Degree], "&gt;=" &amp; I3)</calculatedColumnFormula>
    </tableColumn>
    <tableColumn id="7" xr3:uid="{00000000-0010-0000-0500-000007000000}" name="Betweenness Centrality Bin" dataDxfId="11"/>
    <tableColumn id="8" xr3:uid="{00000000-0010-0000-0500-000008000000}" name="Betweenness Centrality Frequency" dataDxfId="10">
      <calculatedColumnFormula>COUNTIF(Vertices[Betweenness Centrality], "&gt;= " &amp; K2) - COUNTIF(Vertices[Betweenness Centrality], "&gt;=" &amp; K3)</calculatedColumnFormula>
    </tableColumn>
    <tableColumn id="9" xr3:uid="{00000000-0010-0000-0500-000009000000}" name="Closeness Centrality Bin" dataDxfId="9"/>
    <tableColumn id="10" xr3:uid="{00000000-0010-0000-0500-00000A000000}" name="Closeness Centrality Frequency" dataDxfId="8">
      <calculatedColumnFormula>COUNTIF(Vertices[Closeness Centrality], "&gt;= " &amp; M2) - COUNTIF(Vertices[Closeness Centrality], "&gt;=" &amp; M3)</calculatedColumnFormula>
    </tableColumn>
    <tableColumn id="11" xr3:uid="{00000000-0010-0000-0500-00000B000000}" name="Eigenvector Centrality Bin" dataDxfId="7"/>
    <tableColumn id="12" xr3:uid="{00000000-0010-0000-0500-00000C000000}" name="Eigenvector Centrality Frequency" dataDxfId="6">
      <calculatedColumnFormula>COUNTIF(Vertices[Eigenvector Centrality], "&gt;= " &amp; O2) - COUNTIF(Vertices[Eigenvector Centrality], "&gt;=" &amp; O3)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Q2) - COUNTIF(Vertices[Clustering Coefficient], "&gt;=" &amp; Q3)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S2) - COUNTIF(Vertices[Clustering Coefficient], "&gt;=" &amp; S3)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V1:W4" totalsRowShown="0">
  <autoFilter ref="V1:W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PerWorkbookSettings" displayName="PerWorkbookSettings" ref="G1:H17" totalsRowShown="0" headerRowDxfId="1">
  <autoFilter ref="G1:H17" xr:uid="{00000000-0009-0000-0100-000007000000}"/>
  <tableColumns count="2">
    <tableColumn id="1" xr3:uid="{00000000-0010-0000-0700-000001000000}" name="Per-Workbook Setting"/>
    <tableColumn id="2" xr3:uid="{00000000-0010-0000-0700-000002000000}" name="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DynamicFilterSettings" displayName="DynamicFilterSettings" ref="J1:M2" totalsRowShown="0" headerRowDxfId="0">
  <autoFilter ref="J1:M2" xr:uid="{00000000-0009-0000-0100-000008000000}"/>
  <tableColumns count="4">
    <tableColumn id="1" xr3:uid="{00000000-0010-0000-0800-000001000000}" name="Table Name"/>
    <tableColumn id="2" xr3:uid="{00000000-0010-0000-0800-000002000000}" name="Column Name"/>
    <tableColumn id="3" xr3:uid="{00000000-0010-0000-0800-000003000000}" name="Selected Minimum"/>
    <tableColumn id="4" xr3:uid="{00000000-0010-0000-0800-000004000000}"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3"/>
  <sheetViews>
    <sheetView tabSelected="1" workbookViewId="0">
      <pane ySplit="2" topLeftCell="A3" activePane="bottomLeft" state="frozen"/>
      <selection pane="bottomLeft"/>
    </sheetView>
  </sheetViews>
  <sheetFormatPr defaultRowHeight="14.4" x14ac:dyDescent="0.55000000000000004"/>
  <cols>
    <col min="1" max="2" width="10.47265625" style="1" customWidth="1"/>
    <col min="3" max="3" width="7.7890625" style="3" bestFit="1" customWidth="1"/>
    <col min="4" max="4" width="8.734375" style="2" bestFit="1" customWidth="1"/>
    <col min="5" max="5" width="9.7890625" style="2" bestFit="1" customWidth="1"/>
    <col min="6" max="6" width="11" style="3" bestFit="1" customWidth="1"/>
    <col min="7" max="7" width="7.7890625" style="1" customWidth="1"/>
    <col min="8" max="8" width="5" style="3" hidden="1" customWidth="1"/>
    <col min="9" max="9" width="16" style="3" hidden="1" customWidth="1"/>
    <col min="10" max="10" width="29.26171875" bestFit="1" customWidth="1"/>
    <col min="11" max="12" width="9.15625" customWidth="1"/>
  </cols>
  <sheetData>
    <row r="1" spans="1:10" x14ac:dyDescent="0.55000000000000004">
      <c r="C1" s="30" t="s">
        <v>48</v>
      </c>
      <c r="D1" s="31"/>
      <c r="E1" s="31"/>
      <c r="F1" s="30"/>
      <c r="G1" s="27" t="s">
        <v>55</v>
      </c>
      <c r="H1" s="32" t="s">
        <v>49</v>
      </c>
      <c r="I1" s="32"/>
      <c r="J1" s="29" t="s">
        <v>50</v>
      </c>
    </row>
    <row r="2" spans="1:10" x14ac:dyDescent="0.55000000000000004">
      <c r="A2" s="1" t="s">
        <v>0</v>
      </c>
      <c r="B2" s="1" t="s">
        <v>1</v>
      </c>
      <c r="C2" t="s">
        <v>2</v>
      </c>
      <c r="D2" t="s">
        <v>3</v>
      </c>
      <c r="E2" t="s">
        <v>4</v>
      </c>
      <c r="F2" t="s">
        <v>11</v>
      </c>
      <c r="G2" s="1" t="s">
        <v>55</v>
      </c>
      <c r="H2" t="s">
        <v>12</v>
      </c>
      <c r="I2" t="s">
        <v>45</v>
      </c>
      <c r="J2" t="s">
        <v>26</v>
      </c>
    </row>
    <row r="3" spans="1:10" ht="15" customHeight="1" x14ac:dyDescent="0.55000000000000004">
      <c r="A3" s="17" t="s">
        <v>144</v>
      </c>
      <c r="B3" s="17" t="s">
        <v>145</v>
      </c>
      <c r="C3" s="18"/>
      <c r="D3" s="19"/>
      <c r="E3" s="20"/>
      <c r="F3" s="18"/>
      <c r="G3" s="27"/>
      <c r="H3" s="15">
        <v>3</v>
      </c>
      <c r="I3" s="15"/>
      <c r="J3" s="16"/>
    </row>
    <row r="4" spans="1:10" ht="15" customHeight="1" x14ac:dyDescent="0.55000000000000004">
      <c r="A4" s="17" t="s">
        <v>144</v>
      </c>
      <c r="B4" s="17" t="s">
        <v>146</v>
      </c>
      <c r="C4" s="18"/>
      <c r="D4" s="19"/>
      <c r="E4" s="20"/>
      <c r="F4" s="18"/>
      <c r="G4" s="27"/>
      <c r="H4" s="15">
        <v>4</v>
      </c>
      <c r="I4" s="15"/>
      <c r="J4" s="16"/>
    </row>
    <row r="5" spans="1:10" x14ac:dyDescent="0.55000000000000004">
      <c r="A5" s="17" t="s">
        <v>144</v>
      </c>
      <c r="B5" s="17" t="s">
        <v>147</v>
      </c>
      <c r="C5" s="18"/>
      <c r="D5" s="19"/>
      <c r="E5" s="20"/>
      <c r="F5" s="18"/>
      <c r="G5" s="27"/>
      <c r="H5" s="15">
        <v>5</v>
      </c>
      <c r="I5" s="15"/>
      <c r="J5" s="16"/>
    </row>
    <row r="6" spans="1:10" x14ac:dyDescent="0.55000000000000004">
      <c r="A6" s="17" t="s">
        <v>144</v>
      </c>
      <c r="B6" s="17" t="s">
        <v>148</v>
      </c>
      <c r="C6" s="18"/>
      <c r="D6" s="19"/>
      <c r="E6" s="20"/>
      <c r="F6" s="18"/>
      <c r="G6" s="27"/>
      <c r="H6" s="15">
        <v>6</v>
      </c>
      <c r="I6" s="15"/>
      <c r="J6" s="16"/>
    </row>
    <row r="7" spans="1:10" x14ac:dyDescent="0.55000000000000004">
      <c r="A7" s="17" t="s">
        <v>145</v>
      </c>
      <c r="B7" s="17" t="s">
        <v>146</v>
      </c>
      <c r="C7" s="18"/>
      <c r="D7" s="19"/>
      <c r="E7" s="20"/>
      <c r="F7" s="18"/>
      <c r="G7" s="27"/>
      <c r="H7" s="15">
        <v>7</v>
      </c>
      <c r="I7" s="15"/>
      <c r="J7" s="16"/>
    </row>
    <row r="8" spans="1:10" x14ac:dyDescent="0.55000000000000004">
      <c r="A8" s="17" t="s">
        <v>145</v>
      </c>
      <c r="B8" s="17" t="s">
        <v>149</v>
      </c>
      <c r="C8" s="18"/>
      <c r="D8" s="19"/>
      <c r="E8" s="20"/>
      <c r="F8" s="18"/>
      <c r="G8" s="27"/>
      <c r="H8" s="15">
        <v>8</v>
      </c>
      <c r="I8" s="15"/>
      <c r="J8" s="16"/>
    </row>
    <row r="9" spans="1:10" x14ac:dyDescent="0.55000000000000004">
      <c r="A9" s="17" t="s">
        <v>145</v>
      </c>
      <c r="B9" s="17" t="s">
        <v>150</v>
      </c>
      <c r="C9" s="18"/>
      <c r="D9" s="19"/>
      <c r="E9" s="20"/>
      <c r="F9" s="18"/>
      <c r="G9" s="27"/>
      <c r="H9" s="15">
        <v>9</v>
      </c>
      <c r="I9" s="15"/>
      <c r="J9" s="16"/>
    </row>
    <row r="10" spans="1:10" x14ac:dyDescent="0.55000000000000004">
      <c r="A10" s="17" t="s">
        <v>147</v>
      </c>
      <c r="B10" s="17" t="s">
        <v>146</v>
      </c>
      <c r="C10" s="18"/>
      <c r="D10" s="19"/>
      <c r="E10" s="20"/>
      <c r="F10" s="18"/>
      <c r="G10" s="27"/>
      <c r="H10" s="15">
        <v>10</v>
      </c>
      <c r="I10" s="15"/>
      <c r="J10" s="16"/>
    </row>
    <row r="11" spans="1:10" x14ac:dyDescent="0.55000000000000004">
      <c r="A11" s="17" t="s">
        <v>147</v>
      </c>
      <c r="B11" s="17" t="s">
        <v>148</v>
      </c>
      <c r="C11" s="18"/>
      <c r="D11" s="19"/>
      <c r="E11" s="20"/>
      <c r="F11" s="18"/>
      <c r="G11" s="27"/>
      <c r="H11" s="15">
        <v>11</v>
      </c>
      <c r="I11" s="15"/>
      <c r="J11" s="16"/>
    </row>
    <row r="12" spans="1:10" x14ac:dyDescent="0.55000000000000004">
      <c r="A12" s="17" t="s">
        <v>146</v>
      </c>
      <c r="B12" s="17" t="s">
        <v>149</v>
      </c>
      <c r="C12" s="18"/>
      <c r="D12" s="19"/>
      <c r="E12" s="20"/>
      <c r="F12" s="18"/>
      <c r="G12" s="27"/>
      <c r="H12" s="15">
        <v>12</v>
      </c>
      <c r="I12" s="15"/>
      <c r="J12" s="16"/>
    </row>
    <row r="13" spans="1:10" x14ac:dyDescent="0.55000000000000004">
      <c r="A13" s="17" t="s">
        <v>146</v>
      </c>
      <c r="B13" s="17" t="s">
        <v>148</v>
      </c>
      <c r="C13" s="18"/>
      <c r="D13" s="19"/>
      <c r="E13" s="20"/>
      <c r="F13" s="18"/>
      <c r="G13" s="27"/>
      <c r="H13" s="15">
        <v>13</v>
      </c>
      <c r="I13" s="15"/>
      <c r="J13" s="16"/>
    </row>
    <row r="14" spans="1:10" x14ac:dyDescent="0.55000000000000004">
      <c r="A14" s="17" t="s">
        <v>146</v>
      </c>
      <c r="B14" s="17" t="s">
        <v>150</v>
      </c>
      <c r="C14" s="18"/>
      <c r="D14" s="19"/>
      <c r="E14" s="20"/>
      <c r="F14" s="18"/>
      <c r="G14" s="27"/>
      <c r="H14" s="15">
        <v>14</v>
      </c>
      <c r="I14" s="15"/>
      <c r="J14" s="16"/>
    </row>
    <row r="15" spans="1:10" x14ac:dyDescent="0.55000000000000004">
      <c r="A15" s="17" t="s">
        <v>149</v>
      </c>
      <c r="B15" s="17" t="s">
        <v>150</v>
      </c>
      <c r="C15" s="18"/>
      <c r="D15" s="19"/>
      <c r="E15" s="20"/>
      <c r="F15" s="18"/>
      <c r="G15" s="27"/>
      <c r="H15" s="15">
        <v>15</v>
      </c>
      <c r="I15" s="15"/>
      <c r="J15" s="16"/>
    </row>
    <row r="16" spans="1:10" x14ac:dyDescent="0.55000000000000004">
      <c r="A16" s="17" t="s">
        <v>148</v>
      </c>
      <c r="B16" s="17" t="s">
        <v>150</v>
      </c>
      <c r="C16" s="18"/>
      <c r="D16" s="19"/>
      <c r="E16" s="20"/>
      <c r="F16" s="18"/>
      <c r="G16" s="27"/>
      <c r="H16" s="15">
        <v>16</v>
      </c>
      <c r="I16" s="15"/>
      <c r="J16" s="16"/>
    </row>
    <row r="17" spans="1:11" x14ac:dyDescent="0.55000000000000004">
      <c r="A17" s="17" t="s">
        <v>148</v>
      </c>
      <c r="B17" s="17" t="s">
        <v>151</v>
      </c>
      <c r="C17" s="18"/>
      <c r="D17" s="19"/>
      <c r="E17" s="20"/>
      <c r="F17" s="18"/>
      <c r="G17" s="27"/>
      <c r="H17" s="15">
        <v>17</v>
      </c>
      <c r="I17" s="15"/>
      <c r="J17" s="16"/>
    </row>
    <row r="18" spans="1:11" x14ac:dyDescent="0.55000000000000004">
      <c r="A18" s="17" t="s">
        <v>150</v>
      </c>
      <c r="B18" s="17" t="s">
        <v>151</v>
      </c>
      <c r="C18" s="18"/>
      <c r="D18" s="19"/>
      <c r="E18" s="20"/>
      <c r="F18" s="18"/>
      <c r="G18" s="27"/>
      <c r="H18" s="15">
        <v>18</v>
      </c>
      <c r="I18" s="15"/>
      <c r="J18" s="16"/>
    </row>
    <row r="19" spans="1:11" x14ac:dyDescent="0.55000000000000004">
      <c r="A19" s="17" t="s">
        <v>151</v>
      </c>
      <c r="B19" s="17" t="s">
        <v>157</v>
      </c>
      <c r="C19" s="18"/>
      <c r="D19" s="19"/>
      <c r="E19" s="20"/>
      <c r="F19" s="18"/>
      <c r="G19" s="27"/>
      <c r="H19" s="15">
        <v>19</v>
      </c>
      <c r="I19" s="15"/>
      <c r="J19" s="16"/>
    </row>
    <row r="20" spans="1:11" x14ac:dyDescent="0.55000000000000004">
      <c r="A20" s="17" t="s">
        <v>157</v>
      </c>
      <c r="B20" s="17" t="s">
        <v>152</v>
      </c>
      <c r="C20" s="18"/>
      <c r="D20" s="19"/>
      <c r="E20" s="20"/>
      <c r="F20" s="18"/>
      <c r="G20" s="27"/>
      <c r="H20" s="15">
        <v>20</v>
      </c>
      <c r="I20" s="15"/>
      <c r="J20" s="16"/>
    </row>
    <row r="23" spans="1:11" x14ac:dyDescent="0.55000000000000004">
      <c r="K23" s="7"/>
    </row>
  </sheetData>
  <dataConsolidate/>
  <dataValidations count="10">
    <dataValidation allowBlank="1" showInputMessage="1" promptTitle="Edge Color" prompt="To select an optional edge color, right-click and select Select Color on the right-click menu." sqref="C3:C20" xr:uid="{00000000-0002-0000-0000-000000000000}"/>
    <dataValidation allowBlank="1" showInputMessage="1" errorTitle="Invalid Edge Width" error="The optional edge width must be a whole number between 1 and 10." promptTitle="Edge Width" prompt="Enter an optional edge width between 1 and 10." sqref="D3:D20" xr:uid="{00000000-0002-0000-0000-000001000000}"/>
    <dataValidation allowBlank="1" showInputMessage="1" errorTitle="Invalid Edge Opacity" error="The optional edge opacity must be a whole number between 0 and 10." promptTitle="Edge Opacity" prompt="Enter an optional edge opacity between 0 (transparent) and 100 (opaque)." sqref="E3:E20" xr:uid="{00000000-0002-0000-0000-000002000000}"/>
    <dataValidation type="list" allowBlank="1" showInputMessage="1" showErrorMessage="1" errorTitle="Invalid Edge Visibility" error="You have entered an unrecognized edge visibility.  Try selecting from the drop-down list instead." promptTitle="Edge Visibility" prompt="Select an optional edge visibility.  Edges are shown by default." sqref="F3:F20" xr:uid="{00000000-0002-0000-0000-000003000000}">
      <formula1>ValidEdgeVisibilities</formula1>
    </dataValidation>
    <dataValidation allowBlank="1" showInputMessage="1" showErrorMessage="1" promptTitle="Vertex 1 Name" prompt="Enter the name of the edge's first vertex." sqref="A3:A20" xr:uid="{00000000-0002-0000-0000-000004000000}"/>
    <dataValidation allowBlank="1" showInputMessage="1" showErrorMessage="1" promptTitle="Vertex 2 Name" prompt="Enter the name of the edge's second vertex." sqref="B3:B20" xr:uid="{00000000-0002-0000-0000-000005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H3:H20" xr:uid="{00000000-0002-0000-0000-000006000000}"/>
    <dataValidation allowBlank="1" showErrorMessage="1" sqref="J2:J20" xr:uid="{00000000-0002-0000-0000-000007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I3:I20" xr:uid="{00000000-0002-0000-0000-000008000000}"/>
    <dataValidation allowBlank="1" showInputMessage="1" showErrorMessage="1" errorTitle="Invalid Edge Visibility" error="You have entered an unrecognized edge visibility.  Try selecting from the drop-down list instead." promptTitle="Edge Label" prompt="Enter an optional edge label." sqref="G3:G20" xr:uid="{00000000-0002-0000-0000-00000900000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C12"/>
  <sheetViews>
    <sheetView workbookViewId="0">
      <pane ySplit="2" topLeftCell="A3" activePane="bottomLeft" state="frozen"/>
      <selection pane="bottomLeft" activeCell="A11" sqref="A11"/>
    </sheetView>
  </sheetViews>
  <sheetFormatPr defaultRowHeight="14.4" x14ac:dyDescent="0.55000000000000004"/>
  <cols>
    <col min="1" max="1" width="9.15625" style="1"/>
    <col min="2" max="2" width="9.5234375" style="3" hidden="1" customWidth="1"/>
    <col min="3" max="3" width="9.26171875" style="3" hidden="1" customWidth="1"/>
    <col min="4" max="4" width="9.5234375" style="6" hidden="1" customWidth="1"/>
    <col min="5" max="5" width="14.26171875" style="2" hidden="1" customWidth="1"/>
    <col min="6" max="7" width="14.26171875" style="3" hidden="1" customWidth="1"/>
    <col min="8" max="8" width="14.47265625" style="3" hidden="1" customWidth="1"/>
    <col min="9" max="9" width="7.7890625" style="3" customWidth="1"/>
    <col min="10" max="10" width="8.5234375" customWidth="1"/>
    <col min="11" max="11" width="6.734375" bestFit="1" customWidth="1"/>
    <col min="12" max="12" width="9.7890625" customWidth="1"/>
    <col min="13" max="13" width="7.734375" customWidth="1"/>
    <col min="14" max="14" width="11" customWidth="1"/>
    <col min="15" max="15" width="8.5234375" customWidth="1"/>
    <col min="16" max="16" width="9.734375" customWidth="1"/>
    <col min="17" max="17" width="10.5234375" customWidth="1"/>
    <col min="18" max="18" width="9.15625" customWidth="1"/>
    <col min="19" max="19" width="9.15625" hidden="1" customWidth="1"/>
    <col min="20" max="21" width="4.26171875" hidden="1" customWidth="1"/>
    <col min="22" max="22" width="10.26171875" hidden="1" customWidth="1"/>
    <col min="23" max="23" width="6.47265625" hidden="1" customWidth="1"/>
    <col min="24" max="24" width="8.26171875" hidden="1" customWidth="1"/>
    <col min="25" max="25" width="5" hidden="1" customWidth="1"/>
    <col min="26" max="26" width="16" hidden="1" customWidth="1"/>
    <col min="27" max="27" width="16" bestFit="1" customWidth="1"/>
    <col min="28" max="29" width="9.15625" customWidth="1"/>
  </cols>
  <sheetData>
    <row r="1" spans="1:29" x14ac:dyDescent="0.55000000000000004">
      <c r="B1" s="36" t="s">
        <v>51</v>
      </c>
      <c r="C1" s="33"/>
      <c r="D1" s="34"/>
      <c r="E1" s="35"/>
      <c r="F1" s="33"/>
      <c r="G1" s="33"/>
      <c r="H1" s="33"/>
      <c r="I1" s="37" t="s">
        <v>48</v>
      </c>
      <c r="J1" s="30"/>
      <c r="K1" s="30"/>
      <c r="L1" s="30"/>
      <c r="M1" s="30"/>
      <c r="N1" s="30"/>
      <c r="O1" s="39" t="s">
        <v>52</v>
      </c>
      <c r="P1" s="38"/>
      <c r="Q1" s="38"/>
      <c r="R1" s="38"/>
      <c r="S1" s="41" t="s">
        <v>53</v>
      </c>
      <c r="T1" s="40"/>
      <c r="U1" s="40"/>
      <c r="V1" s="40"/>
      <c r="W1" s="40"/>
      <c r="X1" s="40"/>
      <c r="Y1" s="42" t="s">
        <v>49</v>
      </c>
      <c r="Z1" s="32"/>
      <c r="AA1" s="43" t="s">
        <v>50</v>
      </c>
    </row>
    <row r="2" spans="1:29" ht="30" customHeight="1" x14ac:dyDescent="0.55000000000000004">
      <c r="A2" s="11" t="s">
        <v>5</v>
      </c>
      <c r="B2" s="14" t="s">
        <v>33</v>
      </c>
      <c r="C2" s="14" t="s">
        <v>34</v>
      </c>
      <c r="D2" s="14" t="s">
        <v>35</v>
      </c>
      <c r="E2" s="14" t="s">
        <v>36</v>
      </c>
      <c r="F2" s="14" t="s">
        <v>37</v>
      </c>
      <c r="G2" s="14" t="s">
        <v>38</v>
      </c>
      <c r="H2" s="14" t="s">
        <v>39</v>
      </c>
      <c r="I2" s="8" t="s">
        <v>2</v>
      </c>
      <c r="J2" s="8" t="s">
        <v>8</v>
      </c>
      <c r="K2" s="9" t="s">
        <v>54</v>
      </c>
      <c r="L2" s="10" t="s">
        <v>4</v>
      </c>
      <c r="M2" s="8" t="s">
        <v>57</v>
      </c>
      <c r="N2" s="8" t="s">
        <v>11</v>
      </c>
      <c r="O2" s="8" t="s">
        <v>55</v>
      </c>
      <c r="P2" s="8" t="s">
        <v>56</v>
      </c>
      <c r="Q2" s="8" t="s">
        <v>86</v>
      </c>
      <c r="R2" s="8" t="s">
        <v>10</v>
      </c>
      <c r="S2" s="8" t="s">
        <v>27</v>
      </c>
      <c r="T2" s="8" t="s">
        <v>15</v>
      </c>
      <c r="U2" s="8" t="s">
        <v>16</v>
      </c>
      <c r="V2" s="8" t="s">
        <v>13</v>
      </c>
      <c r="W2" s="8" t="s">
        <v>28</v>
      </c>
      <c r="X2" s="8" t="s">
        <v>29</v>
      </c>
      <c r="Y2" s="11" t="s">
        <v>12</v>
      </c>
      <c r="Z2" s="11" t="s">
        <v>45</v>
      </c>
      <c r="AA2" s="8" t="s">
        <v>26</v>
      </c>
      <c r="AB2" s="3"/>
      <c r="AC2" s="3"/>
    </row>
    <row r="3" spans="1:29" ht="15" customHeight="1" x14ac:dyDescent="0.55000000000000004">
      <c r="A3" s="17" t="s">
        <v>144</v>
      </c>
      <c r="B3" s="21"/>
      <c r="C3" s="21"/>
      <c r="D3" s="21"/>
      <c r="E3" s="22"/>
      <c r="F3" s="22"/>
      <c r="G3" s="22"/>
      <c r="H3" s="22"/>
      <c r="I3" s="18"/>
      <c r="J3" s="18"/>
      <c r="K3" s="19"/>
      <c r="L3" s="20"/>
      <c r="M3" s="18"/>
      <c r="N3" s="18"/>
      <c r="O3" s="27"/>
      <c r="P3" s="28"/>
      <c r="Q3" s="28"/>
      <c r="R3" s="27"/>
      <c r="S3" s="23"/>
      <c r="T3" s="24">
        <v>1075.15100097656</v>
      </c>
      <c r="U3" s="24">
        <v>2320.45483398437</v>
      </c>
      <c r="V3" s="25" t="s">
        <v>75</v>
      </c>
      <c r="W3" s="26"/>
      <c r="X3" s="26"/>
      <c r="Y3" s="15">
        <v>3</v>
      </c>
      <c r="Z3" s="15"/>
      <c r="AA3" s="16"/>
      <c r="AB3" s="3"/>
      <c r="AC3" s="3"/>
    </row>
    <row r="4" spans="1:29" x14ac:dyDescent="0.55000000000000004">
      <c r="A4" s="17" t="s">
        <v>145</v>
      </c>
      <c r="B4" s="61"/>
      <c r="C4" s="61"/>
      <c r="D4" s="61"/>
      <c r="E4" s="62"/>
      <c r="F4" s="62"/>
      <c r="G4" s="62"/>
      <c r="H4" s="62"/>
      <c r="I4" s="18"/>
      <c r="J4" s="18"/>
      <c r="K4" s="19"/>
      <c r="L4" s="20"/>
      <c r="M4" s="18"/>
      <c r="N4" s="18"/>
      <c r="O4" s="27"/>
      <c r="P4" s="28"/>
      <c r="Q4" s="28"/>
      <c r="R4" s="27"/>
      <c r="S4" s="23"/>
      <c r="T4" s="24">
        <v>1521.75451660156</v>
      </c>
      <c r="U4" s="24">
        <v>5521.47265625</v>
      </c>
      <c r="V4" s="25" t="s">
        <v>75</v>
      </c>
      <c r="W4" s="26"/>
      <c r="X4" s="26"/>
      <c r="Y4" s="15">
        <v>4</v>
      </c>
      <c r="Z4" s="15"/>
      <c r="AA4" s="16"/>
    </row>
    <row r="5" spans="1:29" x14ac:dyDescent="0.55000000000000004">
      <c r="A5" s="17" t="s">
        <v>147</v>
      </c>
      <c r="B5" s="61"/>
      <c r="C5" s="61"/>
      <c r="D5" s="61"/>
      <c r="E5" s="62"/>
      <c r="F5" s="62"/>
      <c r="G5" s="62"/>
      <c r="H5" s="62"/>
      <c r="I5" s="18"/>
      <c r="J5" s="18"/>
      <c r="K5" s="19"/>
      <c r="L5" s="20"/>
      <c r="M5" s="18"/>
      <c r="N5" s="18"/>
      <c r="O5" s="27"/>
      <c r="P5" s="28"/>
      <c r="Q5" s="28"/>
      <c r="R5" s="27"/>
      <c r="S5" s="23"/>
      <c r="T5" s="24">
        <v>2652.82397460937</v>
      </c>
      <c r="U5" s="24">
        <v>831.27197265625</v>
      </c>
      <c r="V5" s="25" t="s">
        <v>75</v>
      </c>
      <c r="W5" s="26"/>
      <c r="X5" s="26"/>
      <c r="Y5" s="15">
        <v>5</v>
      </c>
      <c r="Z5" s="15"/>
      <c r="AA5" s="16"/>
    </row>
    <row r="6" spans="1:29" x14ac:dyDescent="0.55000000000000004">
      <c r="A6" s="17" t="s">
        <v>146</v>
      </c>
      <c r="B6" s="61"/>
      <c r="C6" s="61"/>
      <c r="D6" s="61"/>
      <c r="E6" s="62"/>
      <c r="F6" s="62"/>
      <c r="G6" s="62"/>
      <c r="H6" s="62"/>
      <c r="I6" s="18"/>
      <c r="J6" s="18"/>
      <c r="K6" s="19"/>
      <c r="L6" s="20"/>
      <c r="M6" s="18"/>
      <c r="N6" s="18"/>
      <c r="O6" s="27"/>
      <c r="P6" s="28"/>
      <c r="Q6" s="28"/>
      <c r="R6" s="27"/>
      <c r="S6" s="23"/>
      <c r="T6" s="24">
        <v>3423.50830078125</v>
      </c>
      <c r="U6" s="24">
        <v>4778.37158203125</v>
      </c>
      <c r="V6" s="25" t="s">
        <v>75</v>
      </c>
      <c r="W6" s="26"/>
      <c r="X6" s="26"/>
      <c r="Y6" s="15">
        <v>6</v>
      </c>
      <c r="Z6" s="15"/>
      <c r="AA6" s="16"/>
    </row>
    <row r="7" spans="1:29" x14ac:dyDescent="0.55000000000000004">
      <c r="A7" s="17" t="s">
        <v>149</v>
      </c>
      <c r="B7" s="61"/>
      <c r="C7" s="61"/>
      <c r="D7" s="61"/>
      <c r="E7" s="62"/>
      <c r="F7" s="62"/>
      <c r="G7" s="62"/>
      <c r="H7" s="62"/>
      <c r="I7" s="18"/>
      <c r="J7" s="18"/>
      <c r="K7" s="19"/>
      <c r="L7" s="20"/>
      <c r="M7" s="18"/>
      <c r="N7" s="18"/>
      <c r="O7" s="27"/>
      <c r="P7" s="28"/>
      <c r="Q7" s="28"/>
      <c r="R7" s="27"/>
      <c r="S7" s="23"/>
      <c r="T7" s="24">
        <v>4337.62841796875</v>
      </c>
      <c r="U7" s="24">
        <v>7312.4931640625</v>
      </c>
      <c r="V7" s="25" t="s">
        <v>75</v>
      </c>
      <c r="W7" s="26"/>
      <c r="X7" s="26"/>
      <c r="Y7" s="15">
        <v>7</v>
      </c>
      <c r="Z7" s="15"/>
      <c r="AA7" s="16"/>
    </row>
    <row r="8" spans="1:29" x14ac:dyDescent="0.55000000000000004">
      <c r="A8" s="17" t="s">
        <v>148</v>
      </c>
      <c r="B8" s="61"/>
      <c r="C8" s="61"/>
      <c r="D8" s="61"/>
      <c r="E8" s="62"/>
      <c r="F8" s="62"/>
      <c r="G8" s="62"/>
      <c r="H8" s="62"/>
      <c r="I8" s="18"/>
      <c r="J8" s="18"/>
      <c r="K8" s="19"/>
      <c r="L8" s="20"/>
      <c r="M8" s="18"/>
      <c r="N8" s="18"/>
      <c r="O8" s="27"/>
      <c r="P8" s="28"/>
      <c r="Q8" s="28"/>
      <c r="R8" s="27"/>
      <c r="S8" s="23"/>
      <c r="T8" s="24">
        <v>5758.83544921875</v>
      </c>
      <c r="U8" s="24">
        <v>2685.52612304687</v>
      </c>
      <c r="V8" s="25" t="s">
        <v>75</v>
      </c>
      <c r="W8" s="26"/>
      <c r="X8" s="26"/>
      <c r="Y8" s="15">
        <v>8</v>
      </c>
      <c r="Z8" s="15"/>
      <c r="AA8" s="16"/>
    </row>
    <row r="9" spans="1:29" x14ac:dyDescent="0.55000000000000004">
      <c r="A9" s="17" t="s">
        <v>150</v>
      </c>
      <c r="B9" s="61"/>
      <c r="C9" s="61"/>
      <c r="D9" s="61"/>
      <c r="E9" s="62"/>
      <c r="F9" s="62"/>
      <c r="G9" s="62"/>
      <c r="H9" s="62"/>
      <c r="I9" s="18"/>
      <c r="J9" s="18"/>
      <c r="K9" s="19"/>
      <c r="L9" s="20"/>
      <c r="M9" s="18"/>
      <c r="N9" s="18"/>
      <c r="O9" s="27"/>
      <c r="P9" s="28"/>
      <c r="Q9" s="28"/>
      <c r="R9" s="27"/>
      <c r="S9" s="23"/>
      <c r="T9" s="24">
        <v>6231.255859375</v>
      </c>
      <c r="U9" s="24">
        <v>5894.3974609375</v>
      </c>
      <c r="V9" s="25" t="s">
        <v>75</v>
      </c>
      <c r="W9" s="26"/>
      <c r="X9" s="26"/>
      <c r="Y9" s="15">
        <v>9</v>
      </c>
      <c r="Z9" s="15"/>
      <c r="AA9" s="16"/>
    </row>
    <row r="10" spans="1:29" x14ac:dyDescent="0.55000000000000004">
      <c r="A10" s="17" t="s">
        <v>151</v>
      </c>
      <c r="B10" s="61"/>
      <c r="C10" s="61"/>
      <c r="D10" s="61"/>
      <c r="E10" s="62"/>
      <c r="F10" s="62"/>
      <c r="G10" s="62"/>
      <c r="H10" s="62"/>
      <c r="I10" s="18"/>
      <c r="J10" s="18"/>
      <c r="K10" s="19"/>
      <c r="L10" s="20"/>
      <c r="M10" s="18"/>
      <c r="N10" s="18"/>
      <c r="O10" s="27"/>
      <c r="P10" s="28"/>
      <c r="Q10" s="28"/>
      <c r="R10" s="27"/>
      <c r="S10" s="23"/>
      <c r="T10" s="24">
        <v>7670.1064453125</v>
      </c>
      <c r="U10" s="24">
        <v>4632.03173828125</v>
      </c>
      <c r="V10" s="25" t="s">
        <v>75</v>
      </c>
      <c r="W10" s="26"/>
      <c r="X10" s="26"/>
      <c r="Y10" s="15">
        <v>10</v>
      </c>
      <c r="Z10" s="15"/>
      <c r="AA10" s="16"/>
    </row>
    <row r="11" spans="1:29" x14ac:dyDescent="0.55000000000000004">
      <c r="A11" s="17" t="s">
        <v>157</v>
      </c>
      <c r="B11" s="61"/>
      <c r="C11" s="61"/>
      <c r="D11" s="61"/>
      <c r="E11" s="62"/>
      <c r="F11" s="62"/>
      <c r="G11" s="62"/>
      <c r="H11" s="62"/>
      <c r="I11" s="18"/>
      <c r="J11" s="18"/>
      <c r="K11" s="19"/>
      <c r="L11" s="20"/>
      <c r="M11" s="18"/>
      <c r="N11" s="18"/>
      <c r="O11" s="27"/>
      <c r="P11" s="28"/>
      <c r="Q11" s="28"/>
      <c r="R11" s="27"/>
      <c r="S11" s="23"/>
      <c r="T11" s="24">
        <v>8259.880859375</v>
      </c>
      <c r="U11" s="24">
        <v>6403.955078125</v>
      </c>
      <c r="V11" s="25" t="s">
        <v>75</v>
      </c>
      <c r="W11" s="26"/>
      <c r="X11" s="26"/>
      <c r="Y11" s="15">
        <v>11</v>
      </c>
      <c r="Z11" s="15"/>
      <c r="AA11" s="16"/>
    </row>
    <row r="12" spans="1:29" x14ac:dyDescent="0.55000000000000004">
      <c r="A12" s="17" t="s">
        <v>152</v>
      </c>
      <c r="B12" s="61"/>
      <c r="C12" s="61"/>
      <c r="D12" s="61"/>
      <c r="E12" s="62"/>
      <c r="F12" s="62"/>
      <c r="G12" s="62"/>
      <c r="H12" s="62"/>
      <c r="I12" s="18"/>
      <c r="J12" s="18"/>
      <c r="K12" s="19"/>
      <c r="L12" s="20"/>
      <c r="M12" s="18"/>
      <c r="N12" s="18"/>
      <c r="O12" s="27"/>
      <c r="P12" s="28"/>
      <c r="Q12" s="28"/>
      <c r="R12" s="27"/>
      <c r="S12" s="23"/>
      <c r="T12" s="24">
        <v>8823.0712890625</v>
      </c>
      <c r="U12" s="24">
        <v>8509.6162109375</v>
      </c>
      <c r="V12" s="25" t="s">
        <v>75</v>
      </c>
      <c r="W12" s="26"/>
      <c r="X12" s="26"/>
      <c r="Y12" s="15">
        <v>12</v>
      </c>
      <c r="Z12" s="15"/>
      <c r="AA12" s="16"/>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Y3:Y12" xr:uid="{00000000-0002-0000-0100-000000000000}"/>
    <dataValidation allowBlank="1" errorTitle="Invalid Vertex Visibility" error="You have entered an unrecognized vertex visibility.  Try selecting from the drop-down list instead." sqref="AB3" xr:uid="{00000000-0002-0000-0100-000001000000}"/>
    <dataValidation allowBlank="1" showErrorMessage="1" sqref="AB2" xr:uid="{00000000-0002-0000-0100-000002000000}"/>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V3:V1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T3:U1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in the graph.  This is ignored if the Fruchterman-Reingold, Sugiyama, or Random layout type is selected." sqref="S3:S1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W3:W1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X3:X12" xr:uid="{00000000-0002-0000-0100-000007000000}"/>
    <dataValidation allowBlank="1" showInputMessage="1" errorTitle="Invalid Vertex Image Key" promptTitle="Vertex Tooltip" prompt="Enter optional text that will pop up when the mouse is hovered over the vertex." sqref="R3:R1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Z3:Z12" xr:uid="{00000000-0002-0000-0100-000009000000}"/>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Show if in an Edge&quot; by default." sqref="N3:N1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O3:O12" xr:uid="{00000000-0002-0000-0100-00000B000000}"/>
    <dataValidation allowBlank="1" showInputMessage="1" promptTitle="Vertex Label Fill Color" prompt="To select an optional fill color for the Label shape, right-click and select Select Color on the right-click menu." sqref="P3:P12" xr:uid="{00000000-0002-0000-0100-00000C000000}"/>
    <dataValidation allowBlank="1" showInputMessage="1" errorTitle="Invalid Vertex Image Key" promptTitle="Image File" prompt="Enter the path to an image file.  Hover over the column header for examples." sqref="M3:M12" xr:uid="{00000000-0002-0000-0100-00000D000000}"/>
    <dataValidation allowBlank="1" showInputMessage="1" showErrorMessage="1" promptTitle="Vertex Name" prompt="Enter the name of the vertex." sqref="A3:A12" xr:uid="{00000000-0002-0000-0100-00000E000000}"/>
    <dataValidation allowBlank="1" showInputMessage="1" promptTitle="Vertex Color" prompt="To select an optional vertex color, right-click and select Select Color on the right-click menu." sqref="I3:I12" xr:uid="{00000000-0002-0000-0100-00000F000000}"/>
    <dataValidation allowBlank="1" showInputMessage="1" errorTitle="Invalid Vertex Opacity" error="The optional vertex opacity must be a whole number between 0 and 10." promptTitle="Vertex Opacity" prompt="Enter an optional vertex opacity between 0 (transparent) and 100 (opaque)." sqref="L3:L12" xr:uid="{00000000-0002-0000-0100-000010000000}"/>
    <dataValidation type="list" allowBlank="1" showInputMessage="1" showErrorMessage="1" errorTitle="Unrecognized Vertex Shape" error="You have entered an unrecognized vertex shape.  Try selecting from the drop-down list instead." promptTitle="Vertex Shape" prompt="Select an optional vertex shape." sqref="J3:J12" xr:uid="{00000000-0002-0000-0100-000011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K3:K12" xr:uid="{00000000-0002-0000-0100-000012000000}"/>
    <dataValidation type="list" allowBlank="1" showInputMessage="1" showErrorMessage="1" errorTitle="Unrecognized Label Position" error="You have entered an unrecognized vertex label position.  Try selecting from the drop-down list instead." promptTitle="Vertex Label Position" prompt="Select an optional vertex label position." sqref="Q3:Q12" xr:uid="{00000000-0002-0000-0100-000013000000}">
      <formula1>ValidVertexLabelPositions</formula1>
    </dataValidation>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55000000000000004"/>
  <cols>
    <col min="1" max="1" width="10.7890625" style="3" bestFit="1" customWidth="1"/>
    <col min="2" max="2" width="16.7890625" style="3" bestFit="1" customWidth="1"/>
    <col min="4" max="5" width="9.15625" customWidth="1"/>
  </cols>
  <sheetData>
    <row r="1" spans="1:1" x14ac:dyDescent="0.55000000000000004">
      <c r="A1" s="3" t="s">
        <v>58</v>
      </c>
    </row>
    <row r="2" spans="1:1" ht="15" customHeight="1" x14ac:dyDescent="0.55000000000000004"/>
    <row r="3" spans="1:1" ht="15" customHeight="1" x14ac:dyDescent="0.55000000000000004">
      <c r="A3" s="44" t="s">
        <v>59</v>
      </c>
    </row>
    <row r="21" spans="4:4" x14ac:dyDescent="0.55000000000000004">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D9"/>
  <sheetViews>
    <sheetView workbookViewId="0">
      <selection activeCell="A2" sqref="A2"/>
    </sheetView>
  </sheetViews>
  <sheetFormatPr defaultRowHeight="14.4" x14ac:dyDescent="0.55000000000000004"/>
  <cols>
    <col min="1" max="1" width="9.47265625" style="1" bestFit="1" customWidth="1"/>
    <col min="2" max="2" width="14.26171875" bestFit="1" customWidth="1"/>
    <col min="3" max="3" width="15" bestFit="1" customWidth="1"/>
    <col min="4" max="4" width="8" bestFit="1" customWidth="1"/>
    <col min="5" max="5" width="9.15625" customWidth="1"/>
  </cols>
  <sheetData>
    <row r="1" spans="1:4" x14ac:dyDescent="0.55000000000000004">
      <c r="A1" s="1" t="s">
        <v>153</v>
      </c>
      <c r="B1" t="s">
        <v>21</v>
      </c>
      <c r="C1" t="s">
        <v>20</v>
      </c>
      <c r="D1" s="63" t="s">
        <v>55</v>
      </c>
    </row>
    <row r="2" spans="1:4" x14ac:dyDescent="0.55000000000000004">
      <c r="B2" s="3"/>
      <c r="C2" s="3"/>
      <c r="D2" s="28"/>
    </row>
    <row r="9" spans="1:4" ht="14.25" customHeight="1" x14ac:dyDescent="0.55000000000000004"/>
  </sheetData>
  <dataConsolidate/>
  <dataValidations count="3">
    <dataValidation allowBlank="1" showInputMessage="1" promptTitle="Vertex Color" prompt="To select a color to use for all vertices in the cluster, right-click and select Select Color on the right-click menu." sqref="B2" xr:uid="{00000000-0002-0000-0300-000000000000}"/>
    <dataValidation type="list" allowBlank="1" showInputMessage="1" showErrorMessage="1" errorTitle="Unrecognized Vertex Shape" error="You have entered an unrecognized vertex shape.  Try selecting from the drop-down list instead." promptTitle="Vertex Shape" prompt="Select a shape to use for all vertices in the cluster." sqref="C2" xr:uid="{00000000-0002-0000-0300-000001000000}">
      <formula1>ValidVertexShapes</formula1>
    </dataValidation>
    <dataValidation allowBlank="1" showInputMessage="1" showErrorMessage="1" promptTitle="Cluster Name" prompt="Enter the name of the cluster." sqref="A2" xr:uid="{00000000-0002-0000-0300-000002000000}"/>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1"/>
  <sheetViews>
    <sheetView workbookViewId="0">
      <selection activeCell="A2" sqref="A2"/>
    </sheetView>
  </sheetViews>
  <sheetFormatPr defaultRowHeight="14.4" x14ac:dyDescent="0.55000000000000004"/>
  <cols>
    <col min="1" max="1" width="9.47265625" style="1" bestFit="1" customWidth="1"/>
    <col min="2" max="2" width="9.15625" style="1"/>
    <col min="4" max="4" width="9.15625" customWidth="1"/>
  </cols>
  <sheetData>
    <row r="1" spans="1:2" x14ac:dyDescent="0.55000000000000004">
      <c r="A1" s="1" t="s">
        <v>153</v>
      </c>
      <c r="B1" s="1" t="s">
        <v>5</v>
      </c>
    </row>
  </sheetData>
  <dataConsolidate/>
  <dataValidations xWindow="58" yWindow="226" count="2">
    <dataValidation allowBlank="1" showInputMessage="1" showErrorMessage="1" promptTitle="Cluster Name" prompt="Enter the name of the cluster.  The cluster name must also be entered on the Clusters worksheet." sqref="A2" xr:uid="{00000000-0002-0000-0400-000000000000}"/>
    <dataValidation allowBlank="1" showInputMessage="1" showErrorMessage="1" promptTitle="Vertex Name" prompt="Enter the name of a vertex to include in this cluster." sqref="B2" xr:uid="{00000000-0002-0000-0400-000001000000}"/>
  </dataValidation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120"/>
  <sheetViews>
    <sheetView workbookViewId="0">
      <selection activeCell="A2" sqref="A2"/>
    </sheetView>
  </sheetViews>
  <sheetFormatPr defaultRowHeight="14.4" x14ac:dyDescent="0.55000000000000004"/>
  <cols>
    <col min="1" max="1" width="43.15625" customWidth="1"/>
    <col min="2" max="2" width="13.7890625" customWidth="1"/>
    <col min="3" max="3" width="69.26171875" customWidth="1"/>
    <col min="4" max="4" width="9.15625" customWidth="1"/>
    <col min="5" max="5" width="12.7890625" hidden="1" customWidth="1"/>
    <col min="6" max="6" width="19.734375" hidden="1" customWidth="1"/>
    <col min="7" max="7" width="15.5234375" hidden="1" customWidth="1"/>
    <col min="8" max="8" width="22.15625" hidden="1" customWidth="1"/>
    <col min="9" max="9" width="17.15625" hidden="1" customWidth="1"/>
    <col min="10" max="10" width="23.7890625" hidden="1" customWidth="1"/>
    <col min="11" max="11" width="28.26171875" hidden="1" customWidth="1"/>
    <col min="12" max="12" width="34.7890625" hidden="1" customWidth="1"/>
    <col min="13" max="13" width="25" hidden="1" customWidth="1"/>
    <col min="14" max="14" width="31.5234375" hidden="1" customWidth="1"/>
    <col min="15" max="15" width="26.5234375" hidden="1" customWidth="1"/>
    <col min="16" max="16" width="33.26171875" hidden="1" customWidth="1"/>
    <col min="17" max="17" width="26.5234375" hidden="1" customWidth="1"/>
    <col min="18" max="18" width="33" hidden="1" customWidth="1"/>
    <col min="19" max="19" width="19.5234375" hidden="1" customWidth="1"/>
    <col min="20" max="20" width="26.15625" hidden="1" customWidth="1"/>
    <col min="21" max="21" width="9.15625" hidden="1" customWidth="1"/>
    <col min="22" max="22" width="34.15625" hidden="1" customWidth="1"/>
    <col min="23" max="23" width="25.15625" hidden="1" customWidth="1"/>
  </cols>
  <sheetData>
    <row r="1" spans="1:23" ht="15" customHeight="1" thickBot="1" x14ac:dyDescent="0.6">
      <c r="A1" s="14" t="s">
        <v>154</v>
      </c>
      <c r="B1" s="14" t="s">
        <v>17</v>
      </c>
      <c r="C1" t="s">
        <v>91</v>
      </c>
      <c r="E1" t="s">
        <v>92</v>
      </c>
      <c r="F1" t="s">
        <v>93</v>
      </c>
      <c r="G1" s="50" t="s">
        <v>100</v>
      </c>
      <c r="H1" s="51" t="s">
        <v>101</v>
      </c>
      <c r="I1" s="50" t="s">
        <v>106</v>
      </c>
      <c r="J1" s="51" t="s">
        <v>107</v>
      </c>
      <c r="K1" s="50" t="s">
        <v>112</v>
      </c>
      <c r="L1" s="51" t="s">
        <v>113</v>
      </c>
      <c r="M1" s="50" t="s">
        <v>118</v>
      </c>
      <c r="N1" s="51" t="s">
        <v>119</v>
      </c>
      <c r="O1" s="50" t="s">
        <v>124</v>
      </c>
      <c r="P1" s="51" t="s">
        <v>125</v>
      </c>
      <c r="Q1" s="50" t="s">
        <v>130</v>
      </c>
      <c r="R1" s="50" t="s">
        <v>131</v>
      </c>
      <c r="S1" s="50" t="s">
        <v>136</v>
      </c>
      <c r="T1" s="51" t="s">
        <v>137</v>
      </c>
      <c r="V1" t="s">
        <v>141</v>
      </c>
      <c r="W1" t="s">
        <v>17</v>
      </c>
    </row>
    <row r="2" spans="1:23" ht="14.7" thickTop="1" x14ac:dyDescent="0.55000000000000004">
      <c r="A2" s="49"/>
      <c r="B2" s="49"/>
      <c r="C2" s="49"/>
      <c r="E2" s="45">
        <f>MIN(Vertices[Degree])</f>
        <v>0</v>
      </c>
      <c r="F2" s="3">
        <f>COUNTIF(Vertices[Degree], "&gt;= " &amp; E2) - COUNTIF(Vertices[Degree], "&gt;=" &amp; E3)</f>
        <v>0</v>
      </c>
      <c r="G2" s="52">
        <f>MIN(Vertices[In-Degree])</f>
        <v>0</v>
      </c>
      <c r="H2" s="53">
        <f>COUNTIF(Vertices[In-Degree], "&gt;= " &amp; G2) - COUNTIF(Vertices[In-Degree], "&gt;=" &amp; G3)</f>
        <v>0</v>
      </c>
      <c r="I2" s="52">
        <f>MIN(Vertices[Out-Degree])</f>
        <v>0</v>
      </c>
      <c r="J2" s="53">
        <f>COUNTIF(Vertices[Out-Degree], "&gt;= " &amp; I2) - COUNTIF(Vertices[Out-Degree], "&gt;=" &amp; I3)</f>
        <v>0</v>
      </c>
      <c r="K2" s="52">
        <f>MIN(Vertices[Betweenness Centrality])</f>
        <v>0</v>
      </c>
      <c r="L2" s="53">
        <f>COUNTIF(Vertices[Betweenness Centrality], "&gt;= " &amp; K2) - COUNTIF(Vertices[Betweenness Centrality], "&gt;=" &amp; K3)</f>
        <v>0</v>
      </c>
      <c r="M2" s="52">
        <f>MIN(Vertices[Closeness Centrality])</f>
        <v>0</v>
      </c>
      <c r="N2" s="53">
        <f>COUNTIF(Vertices[Closeness Centrality], "&gt;= " &amp; M2) - COUNTIF(Vertices[Closeness Centrality], "&gt;=" &amp; M3)</f>
        <v>0</v>
      </c>
      <c r="O2" s="52">
        <f>MIN(Vertices[Eigenvector Centrality])</f>
        <v>0</v>
      </c>
      <c r="P2" s="53">
        <f>COUNTIF(Vertices[Eigenvector Centrality], "&gt;= " &amp; O2) - COUNTIF(Vertices[Eigenvector Centrality], "&gt;=" &amp; O3)</f>
        <v>0</v>
      </c>
      <c r="Q2" s="52">
        <f>MIN(Vertices[Clustering Coefficient])</f>
        <v>0</v>
      </c>
      <c r="R2" s="58">
        <f>COUNTIF(Vertices[Clustering Coefficient], "&gt;= " &amp; Q2) - COUNTIF(Vertices[Clustering Coefficient], "&gt;=" &amp; Q3)</f>
        <v>0</v>
      </c>
      <c r="S2" s="52" t="e">
        <f ca="1">MIN(INDIRECT(DynamicFilterSourceColumnRange))</f>
        <v>#REF!</v>
      </c>
      <c r="T2" s="53" t="e">
        <f t="shared" ref="T2:T45" ca="1" si="0">COUNTIF(INDIRECT(DynamicFilterSourceColumnRange), "&gt;= " &amp; S2) - COUNTIF(INDIRECT(DynamicFilterSourceColumnRange), "&gt;=" &amp; S3)</f>
        <v>#REF!</v>
      </c>
      <c r="V2" t="s">
        <v>138</v>
      </c>
      <c r="W2">
        <f>ROWS(HistogramBins[Degree Bin]) - 1</f>
        <v>43</v>
      </c>
    </row>
    <row r="3" spans="1:23" x14ac:dyDescent="0.55000000000000004">
      <c r="A3" s="49"/>
      <c r="B3" s="49"/>
      <c r="C3" s="49"/>
      <c r="E3" s="46">
        <f t="shared" ref="E3:E44" si="1">E2+($E$45-$E$2)/BinDivisor</f>
        <v>0</v>
      </c>
      <c r="F3" s="3">
        <f>COUNTIF(Vertices[Degree], "&gt;= " &amp; E3) - COUNTIF(Vertices[Degree], "&gt;=" &amp; E4)</f>
        <v>0</v>
      </c>
      <c r="G3" s="54">
        <f t="shared" ref="G3:G44" si="2">G2+($G$45-$G$2)/BinDivisor</f>
        <v>0</v>
      </c>
      <c r="H3" s="55">
        <f>COUNTIF(Vertices[In-Degree], "&gt;= " &amp; G3) - COUNTIF(Vertices[In-Degree], "&gt;=" &amp; G4)</f>
        <v>0</v>
      </c>
      <c r="I3" s="54">
        <f t="shared" ref="I3:I44" si="3">I2+($I$45-$I$2)/BinDivisor</f>
        <v>0</v>
      </c>
      <c r="J3" s="55">
        <f>COUNTIF(Vertices[Out-Degree], "&gt;= " &amp; I3) - COUNTIF(Vertices[Out-Degree], "&gt;=" &amp; I4)</f>
        <v>0</v>
      </c>
      <c r="K3" s="54">
        <f t="shared" ref="K3:K44" si="4">K2+($K$45-$K$2)/BinDivisor</f>
        <v>0</v>
      </c>
      <c r="L3" s="55">
        <f>COUNTIF(Vertices[Betweenness Centrality], "&gt;= " &amp; K3) - COUNTIF(Vertices[Betweenness Centrality], "&gt;=" &amp; K4)</f>
        <v>0</v>
      </c>
      <c r="M3" s="54">
        <f t="shared" ref="M3:M44" si="5">M2+($M$45-$M$2)/BinDivisor</f>
        <v>0</v>
      </c>
      <c r="N3" s="55">
        <f>COUNTIF(Vertices[Closeness Centrality], "&gt;= " &amp; M3) - COUNTIF(Vertices[Closeness Centrality], "&gt;=" &amp; M4)</f>
        <v>0</v>
      </c>
      <c r="O3" s="54">
        <f t="shared" ref="O3:O44" si="6">O2+($O$45-$O$2)/BinDivisor</f>
        <v>0</v>
      </c>
      <c r="P3" s="55">
        <f>COUNTIF(Vertices[Eigenvector Centrality], "&gt;= " &amp; O3) - COUNTIF(Vertices[Eigenvector Centrality], "&gt;=" &amp; O4)</f>
        <v>0</v>
      </c>
      <c r="Q3" s="54">
        <f t="shared" ref="Q3:Q44" si="7">Q2+($Q$45-$Q$2)/BinDivisor</f>
        <v>0</v>
      </c>
      <c r="R3" s="59">
        <f>COUNTIF(Vertices[Clustering Coefficient], "&gt;= " &amp; Q3) - COUNTIF(Vertices[Clustering Coefficient], "&gt;=" &amp; Q4)</f>
        <v>0</v>
      </c>
      <c r="S3" s="54" t="e">
        <f t="shared" ref="S3:S44" ca="1" si="8">S2+($S$45-$S$2)/BinDivisor</f>
        <v>#REF!</v>
      </c>
      <c r="T3" s="55" t="e">
        <f t="shared" ca="1" si="0"/>
        <v>#REF!</v>
      </c>
      <c r="V3" t="s">
        <v>139</v>
      </c>
      <c r="W3" t="s">
        <v>98</v>
      </c>
    </row>
    <row r="4" spans="1:23" x14ac:dyDescent="0.55000000000000004">
      <c r="A4" s="49"/>
      <c r="B4" s="49"/>
      <c r="C4" s="49"/>
      <c r="E4" s="46">
        <f t="shared" si="1"/>
        <v>0</v>
      </c>
      <c r="F4" s="3">
        <f>COUNTIF(Vertices[Degree], "&gt;= " &amp; E4) - COUNTIF(Vertices[Degree], "&gt;=" &amp; E5)</f>
        <v>0</v>
      </c>
      <c r="G4" s="52">
        <f t="shared" si="2"/>
        <v>0</v>
      </c>
      <c r="H4" s="53">
        <f>COUNTIF(Vertices[In-Degree], "&gt;= " &amp; G4) - COUNTIF(Vertices[In-Degree], "&gt;=" &amp; G5)</f>
        <v>0</v>
      </c>
      <c r="I4" s="52">
        <f t="shared" si="3"/>
        <v>0</v>
      </c>
      <c r="J4" s="53">
        <f>COUNTIF(Vertices[Out-Degree], "&gt;= " &amp; I4) - COUNTIF(Vertices[Out-Degree], "&gt;=" &amp; I5)</f>
        <v>0</v>
      </c>
      <c r="K4" s="52">
        <f t="shared" si="4"/>
        <v>0</v>
      </c>
      <c r="L4" s="53">
        <f>COUNTIF(Vertices[Betweenness Centrality], "&gt;= " &amp; K4) - COUNTIF(Vertices[Betweenness Centrality], "&gt;=" &amp; K5)</f>
        <v>0</v>
      </c>
      <c r="M4" s="52">
        <f t="shared" si="5"/>
        <v>0</v>
      </c>
      <c r="N4" s="53">
        <f>COUNTIF(Vertices[Closeness Centrality], "&gt;= " &amp; M4) - COUNTIF(Vertices[Closeness Centrality], "&gt;=" &amp; M5)</f>
        <v>0</v>
      </c>
      <c r="O4" s="52">
        <f t="shared" si="6"/>
        <v>0</v>
      </c>
      <c r="P4" s="53">
        <f>COUNTIF(Vertices[Eigenvector Centrality], "&gt;= " &amp; O4) - COUNTIF(Vertices[Eigenvector Centrality], "&gt;=" &amp; O5)</f>
        <v>0</v>
      </c>
      <c r="Q4" s="52">
        <f t="shared" si="7"/>
        <v>0</v>
      </c>
      <c r="R4" s="58">
        <f>COUNTIF(Vertices[Clustering Coefficient], "&gt;= " &amp; Q4) - COUNTIF(Vertices[Clustering Coefficient], "&gt;=" &amp; Q5)</f>
        <v>0</v>
      </c>
      <c r="S4" s="52" t="e">
        <f t="shared" ca="1" si="8"/>
        <v>#REF!</v>
      </c>
      <c r="T4" s="53" t="e">
        <f t="shared" ca="1" si="0"/>
        <v>#REF!</v>
      </c>
      <c r="V4" s="12" t="s">
        <v>140</v>
      </c>
      <c r="W4" s="12" t="s">
        <v>142</v>
      </c>
    </row>
    <row r="5" spans="1:23" x14ac:dyDescent="0.55000000000000004">
      <c r="A5" s="49"/>
      <c r="B5" s="49"/>
      <c r="C5" s="49"/>
      <c r="E5" s="46">
        <f t="shared" si="1"/>
        <v>0</v>
      </c>
      <c r="F5" s="3">
        <f>COUNTIF(Vertices[Degree], "&gt;= " &amp; E5) - COUNTIF(Vertices[Degree], "&gt;=" &amp; E6)</f>
        <v>0</v>
      </c>
      <c r="G5" s="54">
        <f t="shared" si="2"/>
        <v>0</v>
      </c>
      <c r="H5" s="55">
        <f>COUNTIF(Vertices[In-Degree], "&gt;= " &amp; G5) - COUNTIF(Vertices[In-Degree], "&gt;=" &amp; G6)</f>
        <v>0</v>
      </c>
      <c r="I5" s="54">
        <f t="shared" si="3"/>
        <v>0</v>
      </c>
      <c r="J5" s="55">
        <f>COUNTIF(Vertices[Out-Degree], "&gt;= " &amp; I5) - COUNTIF(Vertices[Out-Degree], "&gt;=" &amp; I6)</f>
        <v>0</v>
      </c>
      <c r="K5" s="54">
        <f t="shared" si="4"/>
        <v>0</v>
      </c>
      <c r="L5" s="55">
        <f>COUNTIF(Vertices[Betweenness Centrality], "&gt;= " &amp; K5) - COUNTIF(Vertices[Betweenness Centrality], "&gt;=" &amp; K6)</f>
        <v>0</v>
      </c>
      <c r="M5" s="54">
        <f t="shared" si="5"/>
        <v>0</v>
      </c>
      <c r="N5" s="55">
        <f>COUNTIF(Vertices[Closeness Centrality], "&gt;= " &amp; M5) - COUNTIF(Vertices[Closeness Centrality], "&gt;=" &amp; M6)</f>
        <v>0</v>
      </c>
      <c r="O5" s="54">
        <f t="shared" si="6"/>
        <v>0</v>
      </c>
      <c r="P5" s="55">
        <f>COUNTIF(Vertices[Eigenvector Centrality], "&gt;= " &amp; O5) - COUNTIF(Vertices[Eigenvector Centrality], "&gt;=" &amp; O6)</f>
        <v>0</v>
      </c>
      <c r="Q5" s="54">
        <f t="shared" si="7"/>
        <v>0</v>
      </c>
      <c r="R5" s="59">
        <f>COUNTIF(Vertices[Clustering Coefficient], "&gt;= " &amp; Q5) - COUNTIF(Vertices[Clustering Coefficient], "&gt;=" &amp; Q6)</f>
        <v>0</v>
      </c>
      <c r="S5" s="54" t="e">
        <f t="shared" ca="1" si="8"/>
        <v>#REF!</v>
      </c>
      <c r="T5" s="55" t="e">
        <f t="shared" ca="1" si="0"/>
        <v>#REF!</v>
      </c>
    </row>
    <row r="6" spans="1:23" x14ac:dyDescent="0.55000000000000004">
      <c r="A6" s="49"/>
      <c r="B6" s="49"/>
      <c r="C6" s="49"/>
      <c r="E6" s="46">
        <f t="shared" si="1"/>
        <v>0</v>
      </c>
      <c r="F6" s="3">
        <f>COUNTIF(Vertices[Degree], "&gt;= " &amp; E6) - COUNTIF(Vertices[Degree], "&gt;=" &amp; E7)</f>
        <v>0</v>
      </c>
      <c r="G6" s="52">
        <f t="shared" si="2"/>
        <v>0</v>
      </c>
      <c r="H6" s="53">
        <f>COUNTIF(Vertices[In-Degree], "&gt;= " &amp; G6) - COUNTIF(Vertices[In-Degree], "&gt;=" &amp; G7)</f>
        <v>0</v>
      </c>
      <c r="I6" s="52">
        <f t="shared" si="3"/>
        <v>0</v>
      </c>
      <c r="J6" s="53">
        <f>COUNTIF(Vertices[Out-Degree], "&gt;= " &amp; I6) - COUNTIF(Vertices[Out-Degree], "&gt;=" &amp; I7)</f>
        <v>0</v>
      </c>
      <c r="K6" s="52">
        <f t="shared" si="4"/>
        <v>0</v>
      </c>
      <c r="L6" s="53">
        <f>COUNTIF(Vertices[Betweenness Centrality], "&gt;= " &amp; K6) - COUNTIF(Vertices[Betweenness Centrality], "&gt;=" &amp; K7)</f>
        <v>0</v>
      </c>
      <c r="M6" s="52">
        <f t="shared" si="5"/>
        <v>0</v>
      </c>
      <c r="N6" s="53">
        <f>COUNTIF(Vertices[Closeness Centrality], "&gt;= " &amp; M6) - COUNTIF(Vertices[Closeness Centrality], "&gt;=" &amp; M7)</f>
        <v>0</v>
      </c>
      <c r="O6" s="52">
        <f t="shared" si="6"/>
        <v>0</v>
      </c>
      <c r="P6" s="53">
        <f>COUNTIF(Vertices[Eigenvector Centrality], "&gt;= " &amp; O6) - COUNTIF(Vertices[Eigenvector Centrality], "&gt;=" &amp; O7)</f>
        <v>0</v>
      </c>
      <c r="Q6" s="52">
        <f t="shared" si="7"/>
        <v>0</v>
      </c>
      <c r="R6" s="58">
        <f>COUNTIF(Vertices[Clustering Coefficient], "&gt;= " &amp; Q6) - COUNTIF(Vertices[Clustering Coefficient], "&gt;=" &amp; Q7)</f>
        <v>0</v>
      </c>
      <c r="S6" s="52" t="e">
        <f t="shared" ca="1" si="8"/>
        <v>#REF!</v>
      </c>
      <c r="T6" s="53" t="e">
        <f t="shared" ca="1" si="0"/>
        <v>#REF!</v>
      </c>
    </row>
    <row r="7" spans="1:23" x14ac:dyDescent="0.55000000000000004">
      <c r="A7" s="49"/>
      <c r="B7" s="49"/>
      <c r="C7" s="49"/>
      <c r="E7" s="46">
        <f t="shared" si="1"/>
        <v>0</v>
      </c>
      <c r="F7" s="3">
        <f>COUNTIF(Vertices[Degree], "&gt;= " &amp; E7) - COUNTIF(Vertices[Degree], "&gt;=" &amp; E8)</f>
        <v>0</v>
      </c>
      <c r="G7" s="54">
        <f t="shared" si="2"/>
        <v>0</v>
      </c>
      <c r="H7" s="55">
        <f>COUNTIF(Vertices[In-Degree], "&gt;= " &amp; G7) - COUNTIF(Vertices[In-Degree], "&gt;=" &amp; G8)</f>
        <v>0</v>
      </c>
      <c r="I7" s="54">
        <f t="shared" si="3"/>
        <v>0</v>
      </c>
      <c r="J7" s="55">
        <f>COUNTIF(Vertices[Out-Degree], "&gt;= " &amp; I7) - COUNTIF(Vertices[Out-Degree], "&gt;=" &amp; I8)</f>
        <v>0</v>
      </c>
      <c r="K7" s="54">
        <f t="shared" si="4"/>
        <v>0</v>
      </c>
      <c r="L7" s="55">
        <f>COUNTIF(Vertices[Betweenness Centrality], "&gt;= " &amp; K7) - COUNTIF(Vertices[Betweenness Centrality], "&gt;=" &amp; K8)</f>
        <v>0</v>
      </c>
      <c r="M7" s="54">
        <f t="shared" si="5"/>
        <v>0</v>
      </c>
      <c r="N7" s="55">
        <f>COUNTIF(Vertices[Closeness Centrality], "&gt;= " &amp; M7) - COUNTIF(Vertices[Closeness Centrality], "&gt;=" &amp; M8)</f>
        <v>0</v>
      </c>
      <c r="O7" s="54">
        <f t="shared" si="6"/>
        <v>0</v>
      </c>
      <c r="P7" s="55">
        <f>COUNTIF(Vertices[Eigenvector Centrality], "&gt;= " &amp; O7) - COUNTIF(Vertices[Eigenvector Centrality], "&gt;=" &amp; O8)</f>
        <v>0</v>
      </c>
      <c r="Q7" s="54">
        <f t="shared" si="7"/>
        <v>0</v>
      </c>
      <c r="R7" s="59">
        <f>COUNTIF(Vertices[Clustering Coefficient], "&gt;= " &amp; Q7) - COUNTIF(Vertices[Clustering Coefficient], "&gt;=" &amp; Q8)</f>
        <v>0</v>
      </c>
      <c r="S7" s="54" t="e">
        <f t="shared" ca="1" si="8"/>
        <v>#REF!</v>
      </c>
      <c r="T7" s="55" t="e">
        <f t="shared" ca="1" si="0"/>
        <v>#REF!</v>
      </c>
    </row>
    <row r="8" spans="1:23" x14ac:dyDescent="0.55000000000000004">
      <c r="A8" s="49"/>
      <c r="B8" s="49"/>
      <c r="C8" s="49"/>
      <c r="E8" s="46">
        <f t="shared" si="1"/>
        <v>0</v>
      </c>
      <c r="F8" s="3">
        <f>COUNTIF(Vertices[Degree], "&gt;= " &amp; E8) - COUNTIF(Vertices[Degree], "&gt;=" &amp; E9)</f>
        <v>0</v>
      </c>
      <c r="G8" s="52">
        <f t="shared" si="2"/>
        <v>0</v>
      </c>
      <c r="H8" s="53">
        <f>COUNTIF(Vertices[In-Degree], "&gt;= " &amp; G8) - COUNTIF(Vertices[In-Degree], "&gt;=" &amp; G9)</f>
        <v>0</v>
      </c>
      <c r="I8" s="52">
        <f t="shared" si="3"/>
        <v>0</v>
      </c>
      <c r="J8" s="53">
        <f>COUNTIF(Vertices[Out-Degree], "&gt;= " &amp; I8) - COUNTIF(Vertices[Out-Degree], "&gt;=" &amp; I9)</f>
        <v>0</v>
      </c>
      <c r="K8" s="52">
        <f t="shared" si="4"/>
        <v>0</v>
      </c>
      <c r="L8" s="53">
        <f>COUNTIF(Vertices[Betweenness Centrality], "&gt;= " &amp; K8) - COUNTIF(Vertices[Betweenness Centrality], "&gt;=" &amp; K9)</f>
        <v>0</v>
      </c>
      <c r="M8" s="52">
        <f t="shared" si="5"/>
        <v>0</v>
      </c>
      <c r="N8" s="53">
        <f>COUNTIF(Vertices[Closeness Centrality], "&gt;= " &amp; M8) - COUNTIF(Vertices[Closeness Centrality], "&gt;=" &amp; M9)</f>
        <v>0</v>
      </c>
      <c r="O8" s="52">
        <f t="shared" si="6"/>
        <v>0</v>
      </c>
      <c r="P8" s="53">
        <f>COUNTIF(Vertices[Eigenvector Centrality], "&gt;= " &amp; O8) - COUNTIF(Vertices[Eigenvector Centrality], "&gt;=" &amp; O9)</f>
        <v>0</v>
      </c>
      <c r="Q8" s="52">
        <f t="shared" si="7"/>
        <v>0</v>
      </c>
      <c r="R8" s="58">
        <f>COUNTIF(Vertices[Clustering Coefficient], "&gt;= " &amp; Q8) - COUNTIF(Vertices[Clustering Coefficient], "&gt;=" &amp; Q9)</f>
        <v>0</v>
      </c>
      <c r="S8" s="52" t="e">
        <f t="shared" ca="1" si="8"/>
        <v>#REF!</v>
      </c>
      <c r="T8" s="53" t="e">
        <f t="shared" ca="1" si="0"/>
        <v>#REF!</v>
      </c>
    </row>
    <row r="9" spans="1:23" x14ac:dyDescent="0.55000000000000004">
      <c r="A9" s="49"/>
      <c r="B9" s="49"/>
      <c r="C9" s="49"/>
      <c r="E9" s="46">
        <f t="shared" si="1"/>
        <v>0</v>
      </c>
      <c r="F9" s="3">
        <f>COUNTIF(Vertices[Degree], "&gt;= " &amp; E9) - COUNTIF(Vertices[Degree], "&gt;=" &amp; E10)</f>
        <v>0</v>
      </c>
      <c r="G9" s="54">
        <f t="shared" si="2"/>
        <v>0</v>
      </c>
      <c r="H9" s="55">
        <f>COUNTIF(Vertices[In-Degree], "&gt;= " &amp; G9) - COUNTIF(Vertices[In-Degree], "&gt;=" &amp; G10)</f>
        <v>0</v>
      </c>
      <c r="I9" s="54">
        <f t="shared" si="3"/>
        <v>0</v>
      </c>
      <c r="J9" s="55">
        <f>COUNTIF(Vertices[Out-Degree], "&gt;= " &amp; I9) - COUNTIF(Vertices[Out-Degree], "&gt;=" &amp; I10)</f>
        <v>0</v>
      </c>
      <c r="K9" s="54">
        <f t="shared" si="4"/>
        <v>0</v>
      </c>
      <c r="L9" s="55">
        <f>COUNTIF(Vertices[Betweenness Centrality], "&gt;= " &amp; K9) - COUNTIF(Vertices[Betweenness Centrality], "&gt;=" &amp; K10)</f>
        <v>0</v>
      </c>
      <c r="M9" s="54">
        <f t="shared" si="5"/>
        <v>0</v>
      </c>
      <c r="N9" s="55">
        <f>COUNTIF(Vertices[Closeness Centrality], "&gt;= " &amp; M9) - COUNTIF(Vertices[Closeness Centrality], "&gt;=" &amp; M10)</f>
        <v>0</v>
      </c>
      <c r="O9" s="54">
        <f t="shared" si="6"/>
        <v>0</v>
      </c>
      <c r="P9" s="55">
        <f>COUNTIF(Vertices[Eigenvector Centrality], "&gt;= " &amp; O9) - COUNTIF(Vertices[Eigenvector Centrality], "&gt;=" &amp; O10)</f>
        <v>0</v>
      </c>
      <c r="Q9" s="54">
        <f t="shared" si="7"/>
        <v>0</v>
      </c>
      <c r="R9" s="59">
        <f>COUNTIF(Vertices[Clustering Coefficient], "&gt;= " &amp; Q9) - COUNTIF(Vertices[Clustering Coefficient], "&gt;=" &amp; Q10)</f>
        <v>0</v>
      </c>
      <c r="S9" s="54" t="e">
        <f t="shared" ca="1" si="8"/>
        <v>#REF!</v>
      </c>
      <c r="T9" s="55" t="e">
        <f t="shared" ca="1" si="0"/>
        <v>#REF!</v>
      </c>
    </row>
    <row r="10" spans="1:23" x14ac:dyDescent="0.55000000000000004">
      <c r="A10" s="49"/>
      <c r="B10" s="49"/>
      <c r="C10" s="49"/>
      <c r="E10" s="46">
        <f t="shared" si="1"/>
        <v>0</v>
      </c>
      <c r="F10" s="3">
        <f>COUNTIF(Vertices[Degree], "&gt;= " &amp; E10) - COUNTIF(Vertices[Degree], "&gt;=" &amp; E11)</f>
        <v>0</v>
      </c>
      <c r="G10" s="52">
        <f t="shared" si="2"/>
        <v>0</v>
      </c>
      <c r="H10" s="53">
        <f>COUNTIF(Vertices[In-Degree], "&gt;= " &amp; G10) - COUNTIF(Vertices[In-Degree], "&gt;=" &amp; G11)</f>
        <v>0</v>
      </c>
      <c r="I10" s="52">
        <f t="shared" si="3"/>
        <v>0</v>
      </c>
      <c r="J10" s="53">
        <f>COUNTIF(Vertices[Out-Degree], "&gt;= " &amp; I10) - COUNTIF(Vertices[Out-Degree], "&gt;=" &amp; I11)</f>
        <v>0</v>
      </c>
      <c r="K10" s="52">
        <f t="shared" si="4"/>
        <v>0</v>
      </c>
      <c r="L10" s="53">
        <f>COUNTIF(Vertices[Betweenness Centrality], "&gt;= " &amp; K10) - COUNTIF(Vertices[Betweenness Centrality], "&gt;=" &amp; K11)</f>
        <v>0</v>
      </c>
      <c r="M10" s="52">
        <f t="shared" si="5"/>
        <v>0</v>
      </c>
      <c r="N10" s="53">
        <f>COUNTIF(Vertices[Closeness Centrality], "&gt;= " &amp; M10) - COUNTIF(Vertices[Closeness Centrality], "&gt;=" &amp; M11)</f>
        <v>0</v>
      </c>
      <c r="O10" s="52">
        <f t="shared" si="6"/>
        <v>0</v>
      </c>
      <c r="P10" s="53">
        <f>COUNTIF(Vertices[Eigenvector Centrality], "&gt;= " &amp; O10) - COUNTIF(Vertices[Eigenvector Centrality], "&gt;=" &amp; O11)</f>
        <v>0</v>
      </c>
      <c r="Q10" s="52">
        <f t="shared" si="7"/>
        <v>0</v>
      </c>
      <c r="R10" s="58">
        <f>COUNTIF(Vertices[Clustering Coefficient], "&gt;= " &amp; Q10) - COUNTIF(Vertices[Clustering Coefficient], "&gt;=" &amp; Q11)</f>
        <v>0</v>
      </c>
      <c r="S10" s="52" t="e">
        <f t="shared" ca="1" si="8"/>
        <v>#REF!</v>
      </c>
      <c r="T10" s="53" t="e">
        <f t="shared" ca="1" si="0"/>
        <v>#REF!</v>
      </c>
    </row>
    <row r="11" spans="1:23" x14ac:dyDescent="0.55000000000000004">
      <c r="A11" s="49"/>
      <c r="B11" s="49"/>
      <c r="C11" s="49"/>
      <c r="E11" s="46">
        <f t="shared" si="1"/>
        <v>0</v>
      </c>
      <c r="F11" s="3">
        <f>COUNTIF(Vertices[Degree], "&gt;= " &amp; E11) - COUNTIF(Vertices[Degree], "&gt;=" &amp; E12)</f>
        <v>0</v>
      </c>
      <c r="G11" s="54">
        <f t="shared" si="2"/>
        <v>0</v>
      </c>
      <c r="H11" s="55">
        <f>COUNTIF(Vertices[In-Degree], "&gt;= " &amp; G11) - COUNTIF(Vertices[In-Degree], "&gt;=" &amp; G12)</f>
        <v>0</v>
      </c>
      <c r="I11" s="54">
        <f t="shared" si="3"/>
        <v>0</v>
      </c>
      <c r="J11" s="55">
        <f>COUNTIF(Vertices[Out-Degree], "&gt;= " &amp; I11) - COUNTIF(Vertices[Out-Degree], "&gt;=" &amp; I12)</f>
        <v>0</v>
      </c>
      <c r="K11" s="54">
        <f t="shared" si="4"/>
        <v>0</v>
      </c>
      <c r="L11" s="55">
        <f>COUNTIF(Vertices[Betweenness Centrality], "&gt;= " &amp; K11) - COUNTIF(Vertices[Betweenness Centrality], "&gt;=" &amp; K12)</f>
        <v>0</v>
      </c>
      <c r="M11" s="54">
        <f t="shared" si="5"/>
        <v>0</v>
      </c>
      <c r="N11" s="55">
        <f>COUNTIF(Vertices[Closeness Centrality], "&gt;= " &amp; M11) - COUNTIF(Vertices[Closeness Centrality], "&gt;=" &amp; M12)</f>
        <v>0</v>
      </c>
      <c r="O11" s="54">
        <f t="shared" si="6"/>
        <v>0</v>
      </c>
      <c r="P11" s="55">
        <f>COUNTIF(Vertices[Eigenvector Centrality], "&gt;= " &amp; O11) - COUNTIF(Vertices[Eigenvector Centrality], "&gt;=" &amp; O12)</f>
        <v>0</v>
      </c>
      <c r="Q11" s="54">
        <f t="shared" si="7"/>
        <v>0</v>
      </c>
      <c r="R11" s="59">
        <f>COUNTIF(Vertices[Clustering Coefficient], "&gt;= " &amp; Q11) - COUNTIF(Vertices[Clustering Coefficient], "&gt;=" &amp; Q12)</f>
        <v>0</v>
      </c>
      <c r="S11" s="54" t="e">
        <f t="shared" ca="1" si="8"/>
        <v>#REF!</v>
      </c>
      <c r="T11" s="55" t="e">
        <f t="shared" ca="1" si="0"/>
        <v>#REF!</v>
      </c>
    </row>
    <row r="12" spans="1:23" x14ac:dyDescent="0.55000000000000004">
      <c r="A12" s="49"/>
      <c r="B12" s="49"/>
      <c r="C12" s="49"/>
      <c r="E12" s="46">
        <f t="shared" si="1"/>
        <v>0</v>
      </c>
      <c r="F12" s="3">
        <f>COUNTIF(Vertices[Degree], "&gt;= " &amp; E12) - COUNTIF(Vertices[Degree], "&gt;=" &amp; E13)</f>
        <v>0</v>
      </c>
      <c r="G12" s="52">
        <f t="shared" si="2"/>
        <v>0</v>
      </c>
      <c r="H12" s="53">
        <f>COUNTIF(Vertices[In-Degree], "&gt;= " &amp; G12) - COUNTIF(Vertices[In-Degree], "&gt;=" &amp; G13)</f>
        <v>0</v>
      </c>
      <c r="I12" s="52">
        <f t="shared" si="3"/>
        <v>0</v>
      </c>
      <c r="J12" s="53">
        <f>COUNTIF(Vertices[Out-Degree], "&gt;= " &amp; I12) - COUNTIF(Vertices[Out-Degree], "&gt;=" &amp; I13)</f>
        <v>0</v>
      </c>
      <c r="K12" s="52">
        <f t="shared" si="4"/>
        <v>0</v>
      </c>
      <c r="L12" s="53">
        <f>COUNTIF(Vertices[Betweenness Centrality], "&gt;= " &amp; K12) - COUNTIF(Vertices[Betweenness Centrality], "&gt;=" &amp; K13)</f>
        <v>0</v>
      </c>
      <c r="M12" s="52">
        <f t="shared" si="5"/>
        <v>0</v>
      </c>
      <c r="N12" s="53">
        <f>COUNTIF(Vertices[Closeness Centrality], "&gt;= " &amp; M12) - COUNTIF(Vertices[Closeness Centrality], "&gt;=" &amp; M13)</f>
        <v>0</v>
      </c>
      <c r="O12" s="52">
        <f t="shared" si="6"/>
        <v>0</v>
      </c>
      <c r="P12" s="53">
        <f>COUNTIF(Vertices[Eigenvector Centrality], "&gt;= " &amp; O12) - COUNTIF(Vertices[Eigenvector Centrality], "&gt;=" &amp; O13)</f>
        <v>0</v>
      </c>
      <c r="Q12" s="52">
        <f t="shared" si="7"/>
        <v>0</v>
      </c>
      <c r="R12" s="58">
        <f>COUNTIF(Vertices[Clustering Coefficient], "&gt;= " &amp; Q12) - COUNTIF(Vertices[Clustering Coefficient], "&gt;=" &amp; Q13)</f>
        <v>0</v>
      </c>
      <c r="S12" s="52" t="e">
        <f t="shared" ca="1" si="8"/>
        <v>#REF!</v>
      </c>
      <c r="T12" s="53" t="e">
        <f t="shared" ca="1" si="0"/>
        <v>#REF!</v>
      </c>
    </row>
    <row r="13" spans="1:23" x14ac:dyDescent="0.55000000000000004">
      <c r="A13" s="49"/>
      <c r="B13" s="49"/>
      <c r="C13" s="49"/>
      <c r="E13" s="46">
        <f t="shared" si="1"/>
        <v>0</v>
      </c>
      <c r="F13" s="3">
        <f>COUNTIF(Vertices[Degree], "&gt;= " &amp; E13) - COUNTIF(Vertices[Degree], "&gt;=" &amp; E14)</f>
        <v>0</v>
      </c>
      <c r="G13" s="54">
        <f t="shared" si="2"/>
        <v>0</v>
      </c>
      <c r="H13" s="55">
        <f>COUNTIF(Vertices[In-Degree], "&gt;= " &amp; G13) - COUNTIF(Vertices[In-Degree], "&gt;=" &amp; G14)</f>
        <v>0</v>
      </c>
      <c r="I13" s="54">
        <f t="shared" si="3"/>
        <v>0</v>
      </c>
      <c r="J13" s="55">
        <f>COUNTIF(Vertices[Out-Degree], "&gt;= " &amp; I13) - COUNTIF(Vertices[Out-Degree], "&gt;=" &amp; I14)</f>
        <v>0</v>
      </c>
      <c r="K13" s="54">
        <f t="shared" si="4"/>
        <v>0</v>
      </c>
      <c r="L13" s="55">
        <f>COUNTIF(Vertices[Betweenness Centrality], "&gt;= " &amp; K13) - COUNTIF(Vertices[Betweenness Centrality], "&gt;=" &amp; K14)</f>
        <v>0</v>
      </c>
      <c r="M13" s="54">
        <f t="shared" si="5"/>
        <v>0</v>
      </c>
      <c r="N13" s="55">
        <f>COUNTIF(Vertices[Closeness Centrality], "&gt;= " &amp; M13) - COUNTIF(Vertices[Closeness Centrality], "&gt;=" &amp; M14)</f>
        <v>0</v>
      </c>
      <c r="O13" s="54">
        <f t="shared" si="6"/>
        <v>0</v>
      </c>
      <c r="P13" s="55">
        <f>COUNTIF(Vertices[Eigenvector Centrality], "&gt;= " &amp; O13) - COUNTIF(Vertices[Eigenvector Centrality], "&gt;=" &amp; O14)</f>
        <v>0</v>
      </c>
      <c r="Q13" s="54">
        <f t="shared" si="7"/>
        <v>0</v>
      </c>
      <c r="R13" s="59">
        <f>COUNTIF(Vertices[Clustering Coefficient], "&gt;= " &amp; Q13) - COUNTIF(Vertices[Clustering Coefficient], "&gt;=" &amp; Q14)</f>
        <v>0</v>
      </c>
      <c r="S13" s="54" t="e">
        <f t="shared" ca="1" si="8"/>
        <v>#REF!</v>
      </c>
      <c r="T13" s="55" t="e">
        <f t="shared" ca="1" si="0"/>
        <v>#REF!</v>
      </c>
    </row>
    <row r="14" spans="1:23" x14ac:dyDescent="0.55000000000000004">
      <c r="A14" s="49"/>
      <c r="B14" s="49"/>
      <c r="C14" s="49"/>
      <c r="E14" s="46">
        <f t="shared" si="1"/>
        <v>0</v>
      </c>
      <c r="F14" s="3">
        <f>COUNTIF(Vertices[Degree], "&gt;= " &amp; E14) - COUNTIF(Vertices[Degree], "&gt;=" &amp; E15)</f>
        <v>0</v>
      </c>
      <c r="G14" s="52">
        <f t="shared" si="2"/>
        <v>0</v>
      </c>
      <c r="H14" s="53">
        <f>COUNTIF(Vertices[In-Degree], "&gt;= " &amp; G14) - COUNTIF(Vertices[In-Degree], "&gt;=" &amp; G15)</f>
        <v>0</v>
      </c>
      <c r="I14" s="52">
        <f t="shared" si="3"/>
        <v>0</v>
      </c>
      <c r="J14" s="53">
        <f>COUNTIF(Vertices[Out-Degree], "&gt;= " &amp; I14) - COUNTIF(Vertices[Out-Degree], "&gt;=" &amp; I15)</f>
        <v>0</v>
      </c>
      <c r="K14" s="52">
        <f t="shared" si="4"/>
        <v>0</v>
      </c>
      <c r="L14" s="53">
        <f>COUNTIF(Vertices[Betweenness Centrality], "&gt;= " &amp; K14) - COUNTIF(Vertices[Betweenness Centrality], "&gt;=" &amp; K15)</f>
        <v>0</v>
      </c>
      <c r="M14" s="52">
        <f t="shared" si="5"/>
        <v>0</v>
      </c>
      <c r="N14" s="53">
        <f>COUNTIF(Vertices[Closeness Centrality], "&gt;= " &amp; M14) - COUNTIF(Vertices[Closeness Centrality], "&gt;=" &amp; M15)</f>
        <v>0</v>
      </c>
      <c r="O14" s="52">
        <f t="shared" si="6"/>
        <v>0</v>
      </c>
      <c r="P14" s="53">
        <f>COUNTIF(Vertices[Eigenvector Centrality], "&gt;= " &amp; O14) - COUNTIF(Vertices[Eigenvector Centrality], "&gt;=" &amp; O15)</f>
        <v>0</v>
      </c>
      <c r="Q14" s="52">
        <f t="shared" si="7"/>
        <v>0</v>
      </c>
      <c r="R14" s="58">
        <f>COUNTIF(Vertices[Clustering Coefficient], "&gt;= " &amp; Q14) - COUNTIF(Vertices[Clustering Coefficient], "&gt;=" &amp; Q15)</f>
        <v>0</v>
      </c>
      <c r="S14" s="52" t="e">
        <f t="shared" ca="1" si="8"/>
        <v>#REF!</v>
      </c>
      <c r="T14" s="53" t="e">
        <f t="shared" ca="1" si="0"/>
        <v>#REF!</v>
      </c>
    </row>
    <row r="15" spans="1:23" x14ac:dyDescent="0.55000000000000004">
      <c r="A15" s="49"/>
      <c r="B15" s="49"/>
      <c r="C15" s="49"/>
      <c r="E15" s="46">
        <f t="shared" si="1"/>
        <v>0</v>
      </c>
      <c r="F15" s="3">
        <f>COUNTIF(Vertices[Degree], "&gt;= " &amp; E15) - COUNTIF(Vertices[Degree], "&gt;=" &amp; E16)</f>
        <v>0</v>
      </c>
      <c r="G15" s="54">
        <f t="shared" si="2"/>
        <v>0</v>
      </c>
      <c r="H15" s="55">
        <f>COUNTIF(Vertices[In-Degree], "&gt;= " &amp; G15) - COUNTIF(Vertices[In-Degree], "&gt;=" &amp; G16)</f>
        <v>0</v>
      </c>
      <c r="I15" s="54">
        <f t="shared" si="3"/>
        <v>0</v>
      </c>
      <c r="J15" s="55">
        <f>COUNTIF(Vertices[Out-Degree], "&gt;= " &amp; I15) - COUNTIF(Vertices[Out-Degree], "&gt;=" &amp; I16)</f>
        <v>0</v>
      </c>
      <c r="K15" s="54">
        <f t="shared" si="4"/>
        <v>0</v>
      </c>
      <c r="L15" s="55">
        <f>COUNTIF(Vertices[Betweenness Centrality], "&gt;= " &amp; K15) - COUNTIF(Vertices[Betweenness Centrality], "&gt;=" &amp; K16)</f>
        <v>0</v>
      </c>
      <c r="M15" s="54">
        <f t="shared" si="5"/>
        <v>0</v>
      </c>
      <c r="N15" s="55">
        <f>COUNTIF(Vertices[Closeness Centrality], "&gt;= " &amp; M15) - COUNTIF(Vertices[Closeness Centrality], "&gt;=" &amp; M16)</f>
        <v>0</v>
      </c>
      <c r="O15" s="54">
        <f t="shared" si="6"/>
        <v>0</v>
      </c>
      <c r="P15" s="55">
        <f>COUNTIF(Vertices[Eigenvector Centrality], "&gt;= " &amp; O15) - COUNTIF(Vertices[Eigenvector Centrality], "&gt;=" &amp; O16)</f>
        <v>0</v>
      </c>
      <c r="Q15" s="54">
        <f t="shared" si="7"/>
        <v>0</v>
      </c>
      <c r="R15" s="59">
        <f>COUNTIF(Vertices[Clustering Coefficient], "&gt;= " &amp; Q15) - COUNTIF(Vertices[Clustering Coefficient], "&gt;=" &amp; Q16)</f>
        <v>0</v>
      </c>
      <c r="S15" s="54" t="e">
        <f t="shared" ca="1" si="8"/>
        <v>#REF!</v>
      </c>
      <c r="T15" s="55" t="e">
        <f t="shared" ca="1" si="0"/>
        <v>#REF!</v>
      </c>
    </row>
    <row r="16" spans="1:23" x14ac:dyDescent="0.55000000000000004">
      <c r="A16" s="49"/>
      <c r="B16" s="49"/>
      <c r="C16" s="49"/>
      <c r="E16" s="46">
        <f t="shared" si="1"/>
        <v>0</v>
      </c>
      <c r="F16" s="3">
        <f>COUNTIF(Vertices[Degree], "&gt;= " &amp; E16) - COUNTIF(Vertices[Degree], "&gt;=" &amp; E17)</f>
        <v>0</v>
      </c>
      <c r="G16" s="52">
        <f t="shared" si="2"/>
        <v>0</v>
      </c>
      <c r="H16" s="53">
        <f>COUNTIF(Vertices[In-Degree], "&gt;= " &amp; G16) - COUNTIF(Vertices[In-Degree], "&gt;=" &amp; G17)</f>
        <v>0</v>
      </c>
      <c r="I16" s="52">
        <f t="shared" si="3"/>
        <v>0</v>
      </c>
      <c r="J16" s="53">
        <f>COUNTIF(Vertices[Out-Degree], "&gt;= " &amp; I16) - COUNTIF(Vertices[Out-Degree], "&gt;=" &amp; I17)</f>
        <v>0</v>
      </c>
      <c r="K16" s="52">
        <f t="shared" si="4"/>
        <v>0</v>
      </c>
      <c r="L16" s="53">
        <f>COUNTIF(Vertices[Betweenness Centrality], "&gt;= " &amp; K16) - COUNTIF(Vertices[Betweenness Centrality], "&gt;=" &amp; K17)</f>
        <v>0</v>
      </c>
      <c r="M16" s="52">
        <f t="shared" si="5"/>
        <v>0</v>
      </c>
      <c r="N16" s="53">
        <f>COUNTIF(Vertices[Closeness Centrality], "&gt;= " &amp; M16) - COUNTIF(Vertices[Closeness Centrality], "&gt;=" &amp; M17)</f>
        <v>0</v>
      </c>
      <c r="O16" s="52">
        <f t="shared" si="6"/>
        <v>0</v>
      </c>
      <c r="P16" s="53">
        <f>COUNTIF(Vertices[Eigenvector Centrality], "&gt;= " &amp; O16) - COUNTIF(Vertices[Eigenvector Centrality], "&gt;=" &amp; O17)</f>
        <v>0</v>
      </c>
      <c r="Q16" s="52">
        <f t="shared" si="7"/>
        <v>0</v>
      </c>
      <c r="R16" s="58">
        <f>COUNTIF(Vertices[Clustering Coefficient], "&gt;= " &amp; Q16) - COUNTIF(Vertices[Clustering Coefficient], "&gt;=" &amp; Q17)</f>
        <v>0</v>
      </c>
      <c r="S16" s="52" t="e">
        <f t="shared" ca="1" si="8"/>
        <v>#REF!</v>
      </c>
      <c r="T16" s="53" t="e">
        <f t="shared" ca="1" si="0"/>
        <v>#REF!</v>
      </c>
    </row>
    <row r="17" spans="1:20" x14ac:dyDescent="0.55000000000000004">
      <c r="A17" s="49"/>
      <c r="B17" s="49"/>
      <c r="C17" s="49"/>
      <c r="E17" s="46">
        <f t="shared" si="1"/>
        <v>0</v>
      </c>
      <c r="F17" s="3">
        <f>COUNTIF(Vertices[Degree], "&gt;= " &amp; E17) - COUNTIF(Vertices[Degree], "&gt;=" &amp; E18)</f>
        <v>0</v>
      </c>
      <c r="G17" s="54">
        <f t="shared" si="2"/>
        <v>0</v>
      </c>
      <c r="H17" s="55">
        <f>COUNTIF(Vertices[In-Degree], "&gt;= " &amp; G17) - COUNTIF(Vertices[In-Degree], "&gt;=" &amp; G18)</f>
        <v>0</v>
      </c>
      <c r="I17" s="54">
        <f t="shared" si="3"/>
        <v>0</v>
      </c>
      <c r="J17" s="55">
        <f>COUNTIF(Vertices[Out-Degree], "&gt;= " &amp; I17) - COUNTIF(Vertices[Out-Degree], "&gt;=" &amp; I18)</f>
        <v>0</v>
      </c>
      <c r="K17" s="54">
        <f t="shared" si="4"/>
        <v>0</v>
      </c>
      <c r="L17" s="55">
        <f>COUNTIF(Vertices[Betweenness Centrality], "&gt;= " &amp; K17) - COUNTIF(Vertices[Betweenness Centrality], "&gt;=" &amp; K18)</f>
        <v>0</v>
      </c>
      <c r="M17" s="54">
        <f t="shared" si="5"/>
        <v>0</v>
      </c>
      <c r="N17" s="55">
        <f>COUNTIF(Vertices[Closeness Centrality], "&gt;= " &amp; M17) - COUNTIF(Vertices[Closeness Centrality], "&gt;=" &amp; M18)</f>
        <v>0</v>
      </c>
      <c r="O17" s="54">
        <f t="shared" si="6"/>
        <v>0</v>
      </c>
      <c r="P17" s="55">
        <f>COUNTIF(Vertices[Eigenvector Centrality], "&gt;= " &amp; O17) - COUNTIF(Vertices[Eigenvector Centrality], "&gt;=" &amp; O18)</f>
        <v>0</v>
      </c>
      <c r="Q17" s="54">
        <f t="shared" si="7"/>
        <v>0</v>
      </c>
      <c r="R17" s="59">
        <f>COUNTIF(Vertices[Clustering Coefficient], "&gt;= " &amp; Q17) - COUNTIF(Vertices[Clustering Coefficient], "&gt;=" &amp; Q18)</f>
        <v>0</v>
      </c>
      <c r="S17" s="54" t="e">
        <f t="shared" ca="1" si="8"/>
        <v>#REF!</v>
      </c>
      <c r="T17" s="55" t="e">
        <f t="shared" ca="1" si="0"/>
        <v>#REF!</v>
      </c>
    </row>
    <row r="18" spans="1:20" x14ac:dyDescent="0.55000000000000004">
      <c r="A18" s="49"/>
      <c r="B18" s="49"/>
      <c r="C18" s="49"/>
      <c r="E18" s="46">
        <f t="shared" si="1"/>
        <v>0</v>
      </c>
      <c r="F18" s="3">
        <f>COUNTIF(Vertices[Degree], "&gt;= " &amp; E18) - COUNTIF(Vertices[Degree], "&gt;=" &amp; E19)</f>
        <v>0</v>
      </c>
      <c r="G18" s="52">
        <f t="shared" si="2"/>
        <v>0</v>
      </c>
      <c r="H18" s="53">
        <f>COUNTIF(Vertices[In-Degree], "&gt;= " &amp; G18) - COUNTIF(Vertices[In-Degree], "&gt;=" &amp; G19)</f>
        <v>0</v>
      </c>
      <c r="I18" s="52">
        <f t="shared" si="3"/>
        <v>0</v>
      </c>
      <c r="J18" s="53">
        <f>COUNTIF(Vertices[Out-Degree], "&gt;= " &amp; I18) - COUNTIF(Vertices[Out-Degree], "&gt;=" &amp; I19)</f>
        <v>0</v>
      </c>
      <c r="K18" s="52">
        <f t="shared" si="4"/>
        <v>0</v>
      </c>
      <c r="L18" s="53">
        <f>COUNTIF(Vertices[Betweenness Centrality], "&gt;= " &amp; K18) - COUNTIF(Vertices[Betweenness Centrality], "&gt;=" &amp; K19)</f>
        <v>0</v>
      </c>
      <c r="M18" s="52">
        <f t="shared" si="5"/>
        <v>0</v>
      </c>
      <c r="N18" s="53">
        <f>COUNTIF(Vertices[Closeness Centrality], "&gt;= " &amp; M18) - COUNTIF(Vertices[Closeness Centrality], "&gt;=" &amp; M19)</f>
        <v>0</v>
      </c>
      <c r="O18" s="52">
        <f t="shared" si="6"/>
        <v>0</v>
      </c>
      <c r="P18" s="53">
        <f>COUNTIF(Vertices[Eigenvector Centrality], "&gt;= " &amp; O18) - COUNTIF(Vertices[Eigenvector Centrality], "&gt;=" &amp; O19)</f>
        <v>0</v>
      </c>
      <c r="Q18" s="52">
        <f t="shared" si="7"/>
        <v>0</v>
      </c>
      <c r="R18" s="58">
        <f>COUNTIF(Vertices[Clustering Coefficient], "&gt;= " &amp; Q18) - COUNTIF(Vertices[Clustering Coefficient], "&gt;=" &amp; Q19)</f>
        <v>0</v>
      </c>
      <c r="S18" s="52" t="e">
        <f t="shared" ca="1" si="8"/>
        <v>#REF!</v>
      </c>
      <c r="T18" s="53" t="e">
        <f t="shared" ca="1" si="0"/>
        <v>#REF!</v>
      </c>
    </row>
    <row r="19" spans="1:20" x14ac:dyDescent="0.55000000000000004">
      <c r="A19" s="49"/>
      <c r="B19" s="49"/>
      <c r="C19" s="49"/>
      <c r="E19" s="46">
        <f t="shared" si="1"/>
        <v>0</v>
      </c>
      <c r="F19" s="3">
        <f>COUNTIF(Vertices[Degree], "&gt;= " &amp; E19) - COUNTIF(Vertices[Degree], "&gt;=" &amp; E20)</f>
        <v>0</v>
      </c>
      <c r="G19" s="54">
        <f t="shared" si="2"/>
        <v>0</v>
      </c>
      <c r="H19" s="55">
        <f>COUNTIF(Vertices[In-Degree], "&gt;= " &amp; G19) - COUNTIF(Vertices[In-Degree], "&gt;=" &amp; G20)</f>
        <v>0</v>
      </c>
      <c r="I19" s="54">
        <f t="shared" si="3"/>
        <v>0</v>
      </c>
      <c r="J19" s="55">
        <f>COUNTIF(Vertices[Out-Degree], "&gt;= " &amp; I19) - COUNTIF(Vertices[Out-Degree], "&gt;=" &amp; I20)</f>
        <v>0</v>
      </c>
      <c r="K19" s="54">
        <f t="shared" si="4"/>
        <v>0</v>
      </c>
      <c r="L19" s="55">
        <f>COUNTIF(Vertices[Betweenness Centrality], "&gt;= " &amp; K19) - COUNTIF(Vertices[Betweenness Centrality], "&gt;=" &amp; K20)</f>
        <v>0</v>
      </c>
      <c r="M19" s="54">
        <f t="shared" si="5"/>
        <v>0</v>
      </c>
      <c r="N19" s="55">
        <f>COUNTIF(Vertices[Closeness Centrality], "&gt;= " &amp; M19) - COUNTIF(Vertices[Closeness Centrality], "&gt;=" &amp; M20)</f>
        <v>0</v>
      </c>
      <c r="O19" s="54">
        <f t="shared" si="6"/>
        <v>0</v>
      </c>
      <c r="P19" s="55">
        <f>COUNTIF(Vertices[Eigenvector Centrality], "&gt;= " &amp; O19) - COUNTIF(Vertices[Eigenvector Centrality], "&gt;=" &amp; O20)</f>
        <v>0</v>
      </c>
      <c r="Q19" s="54">
        <f t="shared" si="7"/>
        <v>0</v>
      </c>
      <c r="R19" s="59">
        <f>COUNTIF(Vertices[Clustering Coefficient], "&gt;= " &amp; Q19) - COUNTIF(Vertices[Clustering Coefficient], "&gt;=" &amp; Q20)</f>
        <v>0</v>
      </c>
      <c r="S19" s="54" t="e">
        <f t="shared" ca="1" si="8"/>
        <v>#REF!</v>
      </c>
      <c r="T19" s="55" t="e">
        <f t="shared" ca="1" si="0"/>
        <v>#REF!</v>
      </c>
    </row>
    <row r="20" spans="1:20" x14ac:dyDescent="0.55000000000000004">
      <c r="A20" s="49"/>
      <c r="B20" s="49"/>
      <c r="C20" s="49"/>
      <c r="E20" s="46">
        <f t="shared" si="1"/>
        <v>0</v>
      </c>
      <c r="F20" s="3">
        <f>COUNTIF(Vertices[Degree], "&gt;= " &amp; E20) - COUNTIF(Vertices[Degree], "&gt;=" &amp; E21)</f>
        <v>0</v>
      </c>
      <c r="G20" s="52">
        <f t="shared" si="2"/>
        <v>0</v>
      </c>
      <c r="H20" s="53">
        <f>COUNTIF(Vertices[In-Degree], "&gt;= " &amp; G20) - COUNTIF(Vertices[In-Degree], "&gt;=" &amp; G21)</f>
        <v>0</v>
      </c>
      <c r="I20" s="52">
        <f t="shared" si="3"/>
        <v>0</v>
      </c>
      <c r="J20" s="53">
        <f>COUNTIF(Vertices[Out-Degree], "&gt;= " &amp; I20) - COUNTIF(Vertices[Out-Degree], "&gt;=" &amp; I21)</f>
        <v>0</v>
      </c>
      <c r="K20" s="52">
        <f t="shared" si="4"/>
        <v>0</v>
      </c>
      <c r="L20" s="53">
        <f>COUNTIF(Vertices[Betweenness Centrality], "&gt;= " &amp; K20) - COUNTIF(Vertices[Betweenness Centrality], "&gt;=" &amp; K21)</f>
        <v>0</v>
      </c>
      <c r="M20" s="52">
        <f t="shared" si="5"/>
        <v>0</v>
      </c>
      <c r="N20" s="53">
        <f>COUNTIF(Vertices[Closeness Centrality], "&gt;= " &amp; M20) - COUNTIF(Vertices[Closeness Centrality], "&gt;=" &amp; M21)</f>
        <v>0</v>
      </c>
      <c r="O20" s="52">
        <f t="shared" si="6"/>
        <v>0</v>
      </c>
      <c r="P20" s="53">
        <f>COUNTIF(Vertices[Eigenvector Centrality], "&gt;= " &amp; O20) - COUNTIF(Vertices[Eigenvector Centrality], "&gt;=" &amp; O21)</f>
        <v>0</v>
      </c>
      <c r="Q20" s="52">
        <f t="shared" si="7"/>
        <v>0</v>
      </c>
      <c r="R20" s="58">
        <f>COUNTIF(Vertices[Clustering Coefficient], "&gt;= " &amp; Q20) - COUNTIF(Vertices[Clustering Coefficient], "&gt;=" &amp; Q21)</f>
        <v>0</v>
      </c>
      <c r="S20" s="52" t="e">
        <f t="shared" ca="1" si="8"/>
        <v>#REF!</v>
      </c>
      <c r="T20" s="53" t="e">
        <f t="shared" ca="1" si="0"/>
        <v>#REF!</v>
      </c>
    </row>
    <row r="21" spans="1:20" x14ac:dyDescent="0.55000000000000004">
      <c r="A21" s="49"/>
      <c r="B21" s="49"/>
      <c r="C21" s="49"/>
      <c r="E21" s="46">
        <f t="shared" si="1"/>
        <v>0</v>
      </c>
      <c r="F21" s="3">
        <f>COUNTIF(Vertices[Degree], "&gt;= " &amp; E21) - COUNTIF(Vertices[Degree], "&gt;=" &amp; E22)</f>
        <v>0</v>
      </c>
      <c r="G21" s="54">
        <f t="shared" si="2"/>
        <v>0</v>
      </c>
      <c r="H21" s="55">
        <f>COUNTIF(Vertices[In-Degree], "&gt;= " &amp; G21) - COUNTIF(Vertices[In-Degree], "&gt;=" &amp; G22)</f>
        <v>0</v>
      </c>
      <c r="I21" s="54">
        <f t="shared" si="3"/>
        <v>0</v>
      </c>
      <c r="J21" s="55">
        <f>COUNTIF(Vertices[Out-Degree], "&gt;= " &amp; I21) - COUNTIF(Vertices[Out-Degree], "&gt;=" &amp; I22)</f>
        <v>0</v>
      </c>
      <c r="K21" s="54">
        <f t="shared" si="4"/>
        <v>0</v>
      </c>
      <c r="L21" s="55">
        <f>COUNTIF(Vertices[Betweenness Centrality], "&gt;= " &amp; K21) - COUNTIF(Vertices[Betweenness Centrality], "&gt;=" &amp; K22)</f>
        <v>0</v>
      </c>
      <c r="M21" s="54">
        <f t="shared" si="5"/>
        <v>0</v>
      </c>
      <c r="N21" s="55">
        <f>COUNTIF(Vertices[Closeness Centrality], "&gt;= " &amp; M21) - COUNTIF(Vertices[Closeness Centrality], "&gt;=" &amp; M22)</f>
        <v>0</v>
      </c>
      <c r="O21" s="54">
        <f t="shared" si="6"/>
        <v>0</v>
      </c>
      <c r="P21" s="55">
        <f>COUNTIF(Vertices[Eigenvector Centrality], "&gt;= " &amp; O21) - COUNTIF(Vertices[Eigenvector Centrality], "&gt;=" &amp; O22)</f>
        <v>0</v>
      </c>
      <c r="Q21" s="54">
        <f t="shared" si="7"/>
        <v>0</v>
      </c>
      <c r="R21" s="59">
        <f>COUNTIF(Vertices[Clustering Coefficient], "&gt;= " &amp; Q21) - COUNTIF(Vertices[Clustering Coefficient], "&gt;=" &amp; Q22)</f>
        <v>0</v>
      </c>
      <c r="S21" s="54" t="e">
        <f t="shared" ca="1" si="8"/>
        <v>#REF!</v>
      </c>
      <c r="T21" s="55" t="e">
        <f t="shared" ca="1" si="0"/>
        <v>#REF!</v>
      </c>
    </row>
    <row r="22" spans="1:20" x14ac:dyDescent="0.55000000000000004">
      <c r="A22" s="49"/>
      <c r="B22" s="49"/>
      <c r="C22" s="49" t="s">
        <v>99</v>
      </c>
      <c r="E22" s="46">
        <f t="shared" si="1"/>
        <v>0</v>
      </c>
      <c r="F22" s="3">
        <f>COUNTIF(Vertices[Degree], "&gt;= " &amp; E22) - COUNTIF(Vertices[Degree], "&gt;=" &amp; E23)</f>
        <v>0</v>
      </c>
      <c r="G22" s="52">
        <f t="shared" si="2"/>
        <v>0</v>
      </c>
      <c r="H22" s="53">
        <f>COUNTIF(Vertices[In-Degree], "&gt;= " &amp; G22) - COUNTIF(Vertices[In-Degree], "&gt;=" &amp; G23)</f>
        <v>0</v>
      </c>
      <c r="I22" s="52">
        <f t="shared" si="3"/>
        <v>0</v>
      </c>
      <c r="J22" s="53">
        <f>COUNTIF(Vertices[Out-Degree], "&gt;= " &amp; I22) - COUNTIF(Vertices[Out-Degree], "&gt;=" &amp; I23)</f>
        <v>0</v>
      </c>
      <c r="K22" s="52">
        <f t="shared" si="4"/>
        <v>0</v>
      </c>
      <c r="L22" s="53">
        <f>COUNTIF(Vertices[Betweenness Centrality], "&gt;= " &amp; K22) - COUNTIF(Vertices[Betweenness Centrality], "&gt;=" &amp; K23)</f>
        <v>0</v>
      </c>
      <c r="M22" s="52">
        <f t="shared" si="5"/>
        <v>0</v>
      </c>
      <c r="N22" s="53">
        <f>COUNTIF(Vertices[Closeness Centrality], "&gt;= " &amp; M22) - COUNTIF(Vertices[Closeness Centrality], "&gt;=" &amp; M23)</f>
        <v>0</v>
      </c>
      <c r="O22" s="52">
        <f t="shared" si="6"/>
        <v>0</v>
      </c>
      <c r="P22" s="53">
        <f>COUNTIF(Vertices[Eigenvector Centrality], "&gt;= " &amp; O22) - COUNTIF(Vertices[Eigenvector Centrality], "&gt;=" &amp; O23)</f>
        <v>0</v>
      </c>
      <c r="Q22" s="52">
        <f t="shared" si="7"/>
        <v>0</v>
      </c>
      <c r="R22" s="58">
        <f>COUNTIF(Vertices[Clustering Coefficient], "&gt;= " &amp; Q22) - COUNTIF(Vertices[Clustering Coefficient], "&gt;=" &amp; Q23)</f>
        <v>0</v>
      </c>
      <c r="S22" s="52" t="e">
        <f t="shared" ca="1" si="8"/>
        <v>#REF!</v>
      </c>
      <c r="T22" s="53" t="e">
        <f t="shared" ca="1" si="0"/>
        <v>#REF!</v>
      </c>
    </row>
    <row r="23" spans="1:20" x14ac:dyDescent="0.55000000000000004">
      <c r="E23" s="46">
        <f t="shared" si="1"/>
        <v>0</v>
      </c>
      <c r="F23" s="3">
        <f>COUNTIF(Vertices[Degree], "&gt;= " &amp; E23) - COUNTIF(Vertices[Degree], "&gt;=" &amp; E24)</f>
        <v>0</v>
      </c>
      <c r="G23" s="54">
        <f t="shared" si="2"/>
        <v>0</v>
      </c>
      <c r="H23" s="55">
        <f>COUNTIF(Vertices[In-Degree], "&gt;= " &amp; G23) - COUNTIF(Vertices[In-Degree], "&gt;=" &amp; G24)</f>
        <v>0</v>
      </c>
      <c r="I23" s="54">
        <f t="shared" si="3"/>
        <v>0</v>
      </c>
      <c r="J23" s="55">
        <f>COUNTIF(Vertices[Out-Degree], "&gt;= " &amp; I23) - COUNTIF(Vertices[Out-Degree], "&gt;=" &amp; I24)</f>
        <v>0</v>
      </c>
      <c r="K23" s="54">
        <f t="shared" si="4"/>
        <v>0</v>
      </c>
      <c r="L23" s="55">
        <f>COUNTIF(Vertices[Betweenness Centrality], "&gt;= " &amp; K23) - COUNTIF(Vertices[Betweenness Centrality], "&gt;=" &amp; K24)</f>
        <v>0</v>
      </c>
      <c r="M23" s="54">
        <f t="shared" si="5"/>
        <v>0</v>
      </c>
      <c r="N23" s="55">
        <f>COUNTIF(Vertices[Closeness Centrality], "&gt;= " &amp; M23) - COUNTIF(Vertices[Closeness Centrality], "&gt;=" &amp; M24)</f>
        <v>0</v>
      </c>
      <c r="O23" s="54">
        <f t="shared" si="6"/>
        <v>0</v>
      </c>
      <c r="P23" s="55">
        <f>COUNTIF(Vertices[Eigenvector Centrality], "&gt;= " &amp; O23) - COUNTIF(Vertices[Eigenvector Centrality], "&gt;=" &amp; O24)</f>
        <v>0</v>
      </c>
      <c r="Q23" s="54">
        <f t="shared" si="7"/>
        <v>0</v>
      </c>
      <c r="R23" s="59">
        <f>COUNTIF(Vertices[Clustering Coefficient], "&gt;= " &amp; Q23) - COUNTIF(Vertices[Clustering Coefficient], "&gt;=" &amp; Q24)</f>
        <v>0</v>
      </c>
      <c r="S23" s="54" t="e">
        <f t="shared" ca="1" si="8"/>
        <v>#REF!</v>
      </c>
      <c r="T23" s="55" t="e">
        <f t="shared" ca="1" si="0"/>
        <v>#REF!</v>
      </c>
    </row>
    <row r="24" spans="1:20" x14ac:dyDescent="0.55000000000000004">
      <c r="E24" s="46">
        <f t="shared" si="1"/>
        <v>0</v>
      </c>
      <c r="F24" s="3">
        <f>COUNTIF(Vertices[Degree], "&gt;= " &amp; E24) - COUNTIF(Vertices[Degree], "&gt;=" &amp; E25)</f>
        <v>0</v>
      </c>
      <c r="G24" s="52">
        <f t="shared" si="2"/>
        <v>0</v>
      </c>
      <c r="H24" s="53">
        <f>COUNTIF(Vertices[In-Degree], "&gt;= " &amp; G24) - COUNTIF(Vertices[In-Degree], "&gt;=" &amp; G25)</f>
        <v>0</v>
      </c>
      <c r="I24" s="52">
        <f t="shared" si="3"/>
        <v>0</v>
      </c>
      <c r="J24" s="53">
        <f>COUNTIF(Vertices[Out-Degree], "&gt;= " &amp; I24) - COUNTIF(Vertices[Out-Degree], "&gt;=" &amp; I25)</f>
        <v>0</v>
      </c>
      <c r="K24" s="52">
        <f t="shared" si="4"/>
        <v>0</v>
      </c>
      <c r="L24" s="53">
        <f>COUNTIF(Vertices[Betweenness Centrality], "&gt;= " &amp; K24) - COUNTIF(Vertices[Betweenness Centrality], "&gt;=" &amp; K25)</f>
        <v>0</v>
      </c>
      <c r="M24" s="52">
        <f t="shared" si="5"/>
        <v>0</v>
      </c>
      <c r="N24" s="53">
        <f>COUNTIF(Vertices[Closeness Centrality], "&gt;= " &amp; M24) - COUNTIF(Vertices[Closeness Centrality], "&gt;=" &amp; M25)</f>
        <v>0</v>
      </c>
      <c r="O24" s="52">
        <f t="shared" si="6"/>
        <v>0</v>
      </c>
      <c r="P24" s="53">
        <f>COUNTIF(Vertices[Eigenvector Centrality], "&gt;= " &amp; O24) - COUNTIF(Vertices[Eigenvector Centrality], "&gt;=" &amp; O25)</f>
        <v>0</v>
      </c>
      <c r="Q24" s="52">
        <f t="shared" si="7"/>
        <v>0</v>
      </c>
      <c r="R24" s="58">
        <f>COUNTIF(Vertices[Clustering Coefficient], "&gt;= " &amp; Q24) - COUNTIF(Vertices[Clustering Coefficient], "&gt;=" &amp; Q25)</f>
        <v>0</v>
      </c>
      <c r="S24" s="52" t="e">
        <f t="shared" ca="1" si="8"/>
        <v>#REF!</v>
      </c>
      <c r="T24" s="53" t="e">
        <f t="shared" ca="1" si="0"/>
        <v>#REF!</v>
      </c>
    </row>
    <row r="25" spans="1:20" x14ac:dyDescent="0.55000000000000004">
      <c r="E25" s="46">
        <f t="shared" si="1"/>
        <v>0</v>
      </c>
      <c r="F25" s="3">
        <f>COUNTIF(Vertices[Degree], "&gt;= " &amp; E25) - COUNTIF(Vertices[Degree], "&gt;=" &amp; E26)</f>
        <v>0</v>
      </c>
      <c r="G25" s="54">
        <f t="shared" si="2"/>
        <v>0</v>
      </c>
      <c r="H25" s="55">
        <f>COUNTIF(Vertices[In-Degree], "&gt;= " &amp; G25) - COUNTIF(Vertices[In-Degree], "&gt;=" &amp; G26)</f>
        <v>0</v>
      </c>
      <c r="I25" s="54">
        <f t="shared" si="3"/>
        <v>0</v>
      </c>
      <c r="J25" s="55">
        <f>COUNTIF(Vertices[Out-Degree], "&gt;= " &amp; I25) - COUNTIF(Vertices[Out-Degree], "&gt;=" &amp; I26)</f>
        <v>0</v>
      </c>
      <c r="K25" s="54">
        <f t="shared" si="4"/>
        <v>0</v>
      </c>
      <c r="L25" s="55">
        <f>COUNTIF(Vertices[Betweenness Centrality], "&gt;= " &amp; K25) - COUNTIF(Vertices[Betweenness Centrality], "&gt;=" &amp; K26)</f>
        <v>0</v>
      </c>
      <c r="M25" s="54">
        <f t="shared" si="5"/>
        <v>0</v>
      </c>
      <c r="N25" s="55">
        <f>COUNTIF(Vertices[Closeness Centrality], "&gt;= " &amp; M25) - COUNTIF(Vertices[Closeness Centrality], "&gt;=" &amp; M26)</f>
        <v>0</v>
      </c>
      <c r="O25" s="54">
        <f t="shared" si="6"/>
        <v>0</v>
      </c>
      <c r="P25" s="55">
        <f>COUNTIF(Vertices[Eigenvector Centrality], "&gt;= " &amp; O25) - COUNTIF(Vertices[Eigenvector Centrality], "&gt;=" &amp; O26)</f>
        <v>0</v>
      </c>
      <c r="Q25" s="54">
        <f t="shared" si="7"/>
        <v>0</v>
      </c>
      <c r="R25" s="59">
        <f>COUNTIF(Vertices[Clustering Coefficient], "&gt;= " &amp; Q25) - COUNTIF(Vertices[Clustering Coefficient], "&gt;=" &amp; Q26)</f>
        <v>0</v>
      </c>
      <c r="S25" s="54" t="e">
        <f t="shared" ca="1" si="8"/>
        <v>#REF!</v>
      </c>
      <c r="T25" s="55" t="e">
        <f t="shared" ca="1" si="0"/>
        <v>#REF!</v>
      </c>
    </row>
    <row r="26" spans="1:20" x14ac:dyDescent="0.55000000000000004">
      <c r="E26" s="46">
        <f t="shared" si="1"/>
        <v>0</v>
      </c>
      <c r="F26" s="3">
        <f>COUNTIF(Vertices[Degree], "&gt;= " &amp; E26) - COUNTIF(Vertices[Degree], "&gt;=" &amp; E27)</f>
        <v>0</v>
      </c>
      <c r="G26" s="52">
        <f t="shared" si="2"/>
        <v>0</v>
      </c>
      <c r="H26" s="53">
        <f>COUNTIF(Vertices[In-Degree], "&gt;= " &amp; G26) - COUNTIF(Vertices[In-Degree], "&gt;=" &amp; G27)</f>
        <v>0</v>
      </c>
      <c r="I26" s="52">
        <f t="shared" si="3"/>
        <v>0</v>
      </c>
      <c r="J26" s="53">
        <f>COUNTIF(Vertices[Out-Degree], "&gt;= " &amp; I26) - COUNTIF(Vertices[Out-Degree], "&gt;=" &amp; I27)</f>
        <v>0</v>
      </c>
      <c r="K26" s="52">
        <f t="shared" si="4"/>
        <v>0</v>
      </c>
      <c r="L26" s="53">
        <f>COUNTIF(Vertices[Betweenness Centrality], "&gt;= " &amp; K26) - COUNTIF(Vertices[Betweenness Centrality], "&gt;=" &amp; K27)</f>
        <v>0</v>
      </c>
      <c r="M26" s="52">
        <f t="shared" si="5"/>
        <v>0</v>
      </c>
      <c r="N26" s="53">
        <f>COUNTIF(Vertices[Closeness Centrality], "&gt;= " &amp; M26) - COUNTIF(Vertices[Closeness Centrality], "&gt;=" &amp; M27)</f>
        <v>0</v>
      </c>
      <c r="O26" s="52">
        <f t="shared" si="6"/>
        <v>0</v>
      </c>
      <c r="P26" s="53">
        <f>COUNTIF(Vertices[Eigenvector Centrality], "&gt;= " &amp; O26) - COUNTIF(Vertices[Eigenvector Centrality], "&gt;=" &amp; O27)</f>
        <v>0</v>
      </c>
      <c r="Q26" s="52">
        <f t="shared" si="7"/>
        <v>0</v>
      </c>
      <c r="R26" s="58">
        <f>COUNTIF(Vertices[Clustering Coefficient], "&gt;= " &amp; Q26) - COUNTIF(Vertices[Clustering Coefficient], "&gt;=" &amp; Q27)</f>
        <v>0</v>
      </c>
      <c r="S26" s="52" t="e">
        <f t="shared" ca="1" si="8"/>
        <v>#REF!</v>
      </c>
      <c r="T26" s="53" t="e">
        <f t="shared" ca="1" si="0"/>
        <v>#REF!</v>
      </c>
    </row>
    <row r="27" spans="1:20" x14ac:dyDescent="0.55000000000000004">
      <c r="E27" s="46">
        <f t="shared" si="1"/>
        <v>0</v>
      </c>
      <c r="F27" s="3">
        <f>COUNTIF(Vertices[Degree], "&gt;= " &amp; E27) - COUNTIF(Vertices[Degree], "&gt;=" &amp; E28)</f>
        <v>0</v>
      </c>
      <c r="G27" s="54">
        <f t="shared" si="2"/>
        <v>0</v>
      </c>
      <c r="H27" s="55">
        <f>COUNTIF(Vertices[In-Degree], "&gt;= " &amp; G27) - COUNTIF(Vertices[In-Degree], "&gt;=" &amp; G28)</f>
        <v>0</v>
      </c>
      <c r="I27" s="54">
        <f t="shared" si="3"/>
        <v>0</v>
      </c>
      <c r="J27" s="55">
        <f>COUNTIF(Vertices[Out-Degree], "&gt;= " &amp; I27) - COUNTIF(Vertices[Out-Degree], "&gt;=" &amp; I28)</f>
        <v>0</v>
      </c>
      <c r="K27" s="54">
        <f t="shared" si="4"/>
        <v>0</v>
      </c>
      <c r="L27" s="55">
        <f>COUNTIF(Vertices[Betweenness Centrality], "&gt;= " &amp; K27) - COUNTIF(Vertices[Betweenness Centrality], "&gt;=" &amp; K28)</f>
        <v>0</v>
      </c>
      <c r="M27" s="54">
        <f t="shared" si="5"/>
        <v>0</v>
      </c>
      <c r="N27" s="55">
        <f>COUNTIF(Vertices[Closeness Centrality], "&gt;= " &amp; M27) - COUNTIF(Vertices[Closeness Centrality], "&gt;=" &amp; M28)</f>
        <v>0</v>
      </c>
      <c r="O27" s="54">
        <f t="shared" si="6"/>
        <v>0</v>
      </c>
      <c r="P27" s="55">
        <f>COUNTIF(Vertices[Eigenvector Centrality], "&gt;= " &amp; O27) - COUNTIF(Vertices[Eigenvector Centrality], "&gt;=" &amp; O28)</f>
        <v>0</v>
      </c>
      <c r="Q27" s="54">
        <f t="shared" si="7"/>
        <v>0</v>
      </c>
      <c r="R27" s="59">
        <f>COUNTIF(Vertices[Clustering Coefficient], "&gt;= " &amp; Q27) - COUNTIF(Vertices[Clustering Coefficient], "&gt;=" &amp; Q28)</f>
        <v>0</v>
      </c>
      <c r="S27" s="54" t="e">
        <f t="shared" ca="1" si="8"/>
        <v>#REF!</v>
      </c>
      <c r="T27" s="55" t="e">
        <f t="shared" ca="1" si="0"/>
        <v>#REF!</v>
      </c>
    </row>
    <row r="28" spans="1:20" x14ac:dyDescent="0.55000000000000004">
      <c r="E28" s="46">
        <f t="shared" si="1"/>
        <v>0</v>
      </c>
      <c r="F28" s="3">
        <f>COUNTIF(Vertices[Degree], "&gt;= " &amp; E28) - COUNTIF(Vertices[Degree], "&gt;=" &amp; E29)</f>
        <v>0</v>
      </c>
      <c r="G28" s="52">
        <f t="shared" si="2"/>
        <v>0</v>
      </c>
      <c r="H28" s="53">
        <f>COUNTIF(Vertices[In-Degree], "&gt;= " &amp; G28) - COUNTIF(Vertices[In-Degree], "&gt;=" &amp; G29)</f>
        <v>0</v>
      </c>
      <c r="I28" s="52">
        <f t="shared" si="3"/>
        <v>0</v>
      </c>
      <c r="J28" s="53">
        <f>COUNTIF(Vertices[Out-Degree], "&gt;= " &amp; I28) - COUNTIF(Vertices[Out-Degree], "&gt;=" &amp; I29)</f>
        <v>0</v>
      </c>
      <c r="K28" s="52">
        <f t="shared" si="4"/>
        <v>0</v>
      </c>
      <c r="L28" s="53">
        <f>COUNTIF(Vertices[Betweenness Centrality], "&gt;= " &amp; K28) - COUNTIF(Vertices[Betweenness Centrality], "&gt;=" &amp; K29)</f>
        <v>0</v>
      </c>
      <c r="M28" s="52">
        <f t="shared" si="5"/>
        <v>0</v>
      </c>
      <c r="N28" s="53">
        <f>COUNTIF(Vertices[Closeness Centrality], "&gt;= " &amp; M28) - COUNTIF(Vertices[Closeness Centrality], "&gt;=" &amp; M29)</f>
        <v>0</v>
      </c>
      <c r="O28" s="52">
        <f t="shared" si="6"/>
        <v>0</v>
      </c>
      <c r="P28" s="53">
        <f>COUNTIF(Vertices[Eigenvector Centrality], "&gt;= " &amp; O28) - COUNTIF(Vertices[Eigenvector Centrality], "&gt;=" &amp; O29)</f>
        <v>0</v>
      </c>
      <c r="Q28" s="52">
        <f t="shared" si="7"/>
        <v>0</v>
      </c>
      <c r="R28" s="58">
        <f>COUNTIF(Vertices[Clustering Coefficient], "&gt;= " &amp; Q28) - COUNTIF(Vertices[Clustering Coefficient], "&gt;=" &amp; Q29)</f>
        <v>0</v>
      </c>
      <c r="S28" s="52" t="e">
        <f t="shared" ca="1" si="8"/>
        <v>#REF!</v>
      </c>
      <c r="T28" s="53" t="e">
        <f t="shared" ca="1" si="0"/>
        <v>#REF!</v>
      </c>
    </row>
    <row r="29" spans="1:20" x14ac:dyDescent="0.55000000000000004">
      <c r="E29" s="46">
        <f t="shared" si="1"/>
        <v>0</v>
      </c>
      <c r="F29" s="3">
        <f>COUNTIF(Vertices[Degree], "&gt;= " &amp; E29) - COUNTIF(Vertices[Degree], "&gt;=" &amp; E30)</f>
        <v>0</v>
      </c>
      <c r="G29" s="54">
        <f t="shared" si="2"/>
        <v>0</v>
      </c>
      <c r="H29" s="55">
        <f>COUNTIF(Vertices[In-Degree], "&gt;= " &amp; G29) - COUNTIF(Vertices[In-Degree], "&gt;=" &amp; G30)</f>
        <v>0</v>
      </c>
      <c r="I29" s="54">
        <f t="shared" si="3"/>
        <v>0</v>
      </c>
      <c r="J29" s="55">
        <f>COUNTIF(Vertices[Out-Degree], "&gt;= " &amp; I29) - COUNTIF(Vertices[Out-Degree], "&gt;=" &amp; I30)</f>
        <v>0</v>
      </c>
      <c r="K29" s="54">
        <f t="shared" si="4"/>
        <v>0</v>
      </c>
      <c r="L29" s="55">
        <f>COUNTIF(Vertices[Betweenness Centrality], "&gt;= " &amp; K29) - COUNTIF(Vertices[Betweenness Centrality], "&gt;=" &amp; K30)</f>
        <v>0</v>
      </c>
      <c r="M29" s="54">
        <f t="shared" si="5"/>
        <v>0</v>
      </c>
      <c r="N29" s="55">
        <f>COUNTIF(Vertices[Closeness Centrality], "&gt;= " &amp; M29) - COUNTIF(Vertices[Closeness Centrality], "&gt;=" &amp; M30)</f>
        <v>0</v>
      </c>
      <c r="O29" s="54">
        <f t="shared" si="6"/>
        <v>0</v>
      </c>
      <c r="P29" s="55">
        <f>COUNTIF(Vertices[Eigenvector Centrality], "&gt;= " &amp; O29) - COUNTIF(Vertices[Eigenvector Centrality], "&gt;=" &amp; O30)</f>
        <v>0</v>
      </c>
      <c r="Q29" s="54">
        <f t="shared" si="7"/>
        <v>0</v>
      </c>
      <c r="R29" s="59">
        <f>COUNTIF(Vertices[Clustering Coefficient], "&gt;= " &amp; Q29) - COUNTIF(Vertices[Clustering Coefficient], "&gt;=" &amp; Q30)</f>
        <v>0</v>
      </c>
      <c r="S29" s="54" t="e">
        <f t="shared" ca="1" si="8"/>
        <v>#REF!</v>
      </c>
      <c r="T29" s="55" t="e">
        <f t="shared" ca="1" si="0"/>
        <v>#REF!</v>
      </c>
    </row>
    <row r="30" spans="1:20" x14ac:dyDescent="0.55000000000000004">
      <c r="E30" s="46">
        <f t="shared" si="1"/>
        <v>0</v>
      </c>
      <c r="F30" s="3">
        <f>COUNTIF(Vertices[Degree], "&gt;= " &amp; E30) - COUNTIF(Vertices[Degree], "&gt;=" &amp; E31)</f>
        <v>0</v>
      </c>
      <c r="G30" s="52">
        <f t="shared" si="2"/>
        <v>0</v>
      </c>
      <c r="H30" s="53">
        <f>COUNTIF(Vertices[In-Degree], "&gt;= " &amp; G30) - COUNTIF(Vertices[In-Degree], "&gt;=" &amp; G31)</f>
        <v>0</v>
      </c>
      <c r="I30" s="52">
        <f t="shared" si="3"/>
        <v>0</v>
      </c>
      <c r="J30" s="53">
        <f>COUNTIF(Vertices[Out-Degree], "&gt;= " &amp; I30) - COUNTIF(Vertices[Out-Degree], "&gt;=" &amp; I31)</f>
        <v>0</v>
      </c>
      <c r="K30" s="52">
        <f t="shared" si="4"/>
        <v>0</v>
      </c>
      <c r="L30" s="53">
        <f>COUNTIF(Vertices[Betweenness Centrality], "&gt;= " &amp; K30) - COUNTIF(Vertices[Betweenness Centrality], "&gt;=" &amp; K31)</f>
        <v>0</v>
      </c>
      <c r="M30" s="52">
        <f t="shared" si="5"/>
        <v>0</v>
      </c>
      <c r="N30" s="53">
        <f>COUNTIF(Vertices[Closeness Centrality], "&gt;= " &amp; M30) - COUNTIF(Vertices[Closeness Centrality], "&gt;=" &amp; M31)</f>
        <v>0</v>
      </c>
      <c r="O30" s="52">
        <f t="shared" si="6"/>
        <v>0</v>
      </c>
      <c r="P30" s="53">
        <f>COUNTIF(Vertices[Eigenvector Centrality], "&gt;= " &amp; O30) - COUNTIF(Vertices[Eigenvector Centrality], "&gt;=" &amp; O31)</f>
        <v>0</v>
      </c>
      <c r="Q30" s="52">
        <f t="shared" si="7"/>
        <v>0</v>
      </c>
      <c r="R30" s="58">
        <f>COUNTIF(Vertices[Clustering Coefficient], "&gt;= " &amp; Q30) - COUNTIF(Vertices[Clustering Coefficient], "&gt;=" &amp; Q31)</f>
        <v>0</v>
      </c>
      <c r="S30" s="52" t="e">
        <f t="shared" ca="1" si="8"/>
        <v>#REF!</v>
      </c>
      <c r="T30" s="53" t="e">
        <f t="shared" ca="1" si="0"/>
        <v>#REF!</v>
      </c>
    </row>
    <row r="31" spans="1:20" x14ac:dyDescent="0.55000000000000004">
      <c r="E31" s="46">
        <f t="shared" si="1"/>
        <v>0</v>
      </c>
      <c r="F31" s="3">
        <f>COUNTIF(Vertices[Degree], "&gt;= " &amp; E31) - COUNTIF(Vertices[Degree], "&gt;=" &amp; E32)</f>
        <v>0</v>
      </c>
      <c r="G31" s="54">
        <f t="shared" si="2"/>
        <v>0</v>
      </c>
      <c r="H31" s="55">
        <f>COUNTIF(Vertices[In-Degree], "&gt;= " &amp; G31) - COUNTIF(Vertices[In-Degree], "&gt;=" &amp; G32)</f>
        <v>0</v>
      </c>
      <c r="I31" s="54">
        <f t="shared" si="3"/>
        <v>0</v>
      </c>
      <c r="J31" s="55">
        <f>COUNTIF(Vertices[Out-Degree], "&gt;= " &amp; I31) - COUNTIF(Vertices[Out-Degree], "&gt;=" &amp; I32)</f>
        <v>0</v>
      </c>
      <c r="K31" s="54">
        <f t="shared" si="4"/>
        <v>0</v>
      </c>
      <c r="L31" s="55">
        <f>COUNTIF(Vertices[Betweenness Centrality], "&gt;= " &amp; K31) - COUNTIF(Vertices[Betweenness Centrality], "&gt;=" &amp; K32)</f>
        <v>0</v>
      </c>
      <c r="M31" s="54">
        <f t="shared" si="5"/>
        <v>0</v>
      </c>
      <c r="N31" s="55">
        <f>COUNTIF(Vertices[Closeness Centrality], "&gt;= " &amp; M31) - COUNTIF(Vertices[Closeness Centrality], "&gt;=" &amp; M32)</f>
        <v>0</v>
      </c>
      <c r="O31" s="54">
        <f t="shared" si="6"/>
        <v>0</v>
      </c>
      <c r="P31" s="55">
        <f>COUNTIF(Vertices[Eigenvector Centrality], "&gt;= " &amp; O31) - COUNTIF(Vertices[Eigenvector Centrality], "&gt;=" &amp; O32)</f>
        <v>0</v>
      </c>
      <c r="Q31" s="54">
        <f t="shared" si="7"/>
        <v>0</v>
      </c>
      <c r="R31" s="59">
        <f>COUNTIF(Vertices[Clustering Coefficient], "&gt;= " &amp; Q31) - COUNTIF(Vertices[Clustering Coefficient], "&gt;=" &amp; Q32)</f>
        <v>0</v>
      </c>
      <c r="S31" s="54" t="e">
        <f t="shared" ca="1" si="8"/>
        <v>#REF!</v>
      </c>
      <c r="T31" s="55" t="e">
        <f t="shared" ca="1" si="0"/>
        <v>#REF!</v>
      </c>
    </row>
    <row r="32" spans="1:20" x14ac:dyDescent="0.55000000000000004">
      <c r="E32" s="46">
        <f t="shared" si="1"/>
        <v>0</v>
      </c>
      <c r="F32" s="3">
        <f>COUNTIF(Vertices[Degree], "&gt;= " &amp; E32) - COUNTIF(Vertices[Degree], "&gt;=" &amp; E33)</f>
        <v>0</v>
      </c>
      <c r="G32" s="52">
        <f t="shared" si="2"/>
        <v>0</v>
      </c>
      <c r="H32" s="53">
        <f>COUNTIF(Vertices[In-Degree], "&gt;= " &amp; G32) - COUNTIF(Vertices[In-Degree], "&gt;=" &amp; G33)</f>
        <v>0</v>
      </c>
      <c r="I32" s="52">
        <f t="shared" si="3"/>
        <v>0</v>
      </c>
      <c r="J32" s="53">
        <f>COUNTIF(Vertices[Out-Degree], "&gt;= " &amp; I32) - COUNTIF(Vertices[Out-Degree], "&gt;=" &amp; I33)</f>
        <v>0</v>
      </c>
      <c r="K32" s="52">
        <f t="shared" si="4"/>
        <v>0</v>
      </c>
      <c r="L32" s="53">
        <f>COUNTIF(Vertices[Betweenness Centrality], "&gt;= " &amp; K32) - COUNTIF(Vertices[Betweenness Centrality], "&gt;=" &amp; K33)</f>
        <v>0</v>
      </c>
      <c r="M32" s="52">
        <f t="shared" si="5"/>
        <v>0</v>
      </c>
      <c r="N32" s="53">
        <f>COUNTIF(Vertices[Closeness Centrality], "&gt;= " &amp; M32) - COUNTIF(Vertices[Closeness Centrality], "&gt;=" &amp; M33)</f>
        <v>0</v>
      </c>
      <c r="O32" s="52">
        <f t="shared" si="6"/>
        <v>0</v>
      </c>
      <c r="P32" s="53">
        <f>COUNTIF(Vertices[Eigenvector Centrality], "&gt;= " &amp; O32) - COUNTIF(Vertices[Eigenvector Centrality], "&gt;=" &amp; O33)</f>
        <v>0</v>
      </c>
      <c r="Q32" s="52">
        <f t="shared" si="7"/>
        <v>0</v>
      </c>
      <c r="R32" s="58">
        <f>COUNTIF(Vertices[Clustering Coefficient], "&gt;= " &amp; Q32) - COUNTIF(Vertices[Clustering Coefficient], "&gt;=" &amp; Q33)</f>
        <v>0</v>
      </c>
      <c r="S32" s="52" t="e">
        <f t="shared" ca="1" si="8"/>
        <v>#REF!</v>
      </c>
      <c r="T32" s="53" t="e">
        <f t="shared" ca="1" si="0"/>
        <v>#REF!</v>
      </c>
    </row>
    <row r="33" spans="1:20" x14ac:dyDescent="0.55000000000000004">
      <c r="A33" s="47" t="s">
        <v>94</v>
      </c>
      <c r="B33" s="47" t="str">
        <f>IF(COUNT(Vertices[Degree])&gt;0, E2, NoMetricMessage)</f>
        <v>Not Available</v>
      </c>
      <c r="E33" s="46">
        <f t="shared" si="1"/>
        <v>0</v>
      </c>
      <c r="F33" s="3">
        <f>COUNTIF(Vertices[Degree], "&gt;= " &amp; E33) - COUNTIF(Vertices[Degree], "&gt;=" &amp; E34)</f>
        <v>0</v>
      </c>
      <c r="G33" s="54">
        <f t="shared" si="2"/>
        <v>0</v>
      </c>
      <c r="H33" s="55">
        <f>COUNTIF(Vertices[In-Degree], "&gt;= " &amp; G33) - COUNTIF(Vertices[In-Degree], "&gt;=" &amp; G34)</f>
        <v>0</v>
      </c>
      <c r="I33" s="54">
        <f t="shared" si="3"/>
        <v>0</v>
      </c>
      <c r="J33" s="55">
        <f>COUNTIF(Vertices[Out-Degree], "&gt;= " &amp; I33) - COUNTIF(Vertices[Out-Degree], "&gt;=" &amp; I34)</f>
        <v>0</v>
      </c>
      <c r="K33" s="54">
        <f t="shared" si="4"/>
        <v>0</v>
      </c>
      <c r="L33" s="55">
        <f>COUNTIF(Vertices[Betweenness Centrality], "&gt;= " &amp; K33) - COUNTIF(Vertices[Betweenness Centrality], "&gt;=" &amp; K34)</f>
        <v>0</v>
      </c>
      <c r="M33" s="54">
        <f t="shared" si="5"/>
        <v>0</v>
      </c>
      <c r="N33" s="55">
        <f>COUNTIF(Vertices[Closeness Centrality], "&gt;= " &amp; M33) - COUNTIF(Vertices[Closeness Centrality], "&gt;=" &amp; M34)</f>
        <v>0</v>
      </c>
      <c r="O33" s="54">
        <f t="shared" si="6"/>
        <v>0</v>
      </c>
      <c r="P33" s="55">
        <f>COUNTIF(Vertices[Eigenvector Centrality], "&gt;= " &amp; O33) - COUNTIF(Vertices[Eigenvector Centrality], "&gt;=" &amp; O34)</f>
        <v>0</v>
      </c>
      <c r="Q33" s="54">
        <f t="shared" si="7"/>
        <v>0</v>
      </c>
      <c r="R33" s="59">
        <f>COUNTIF(Vertices[Clustering Coefficient], "&gt;= " &amp; Q33) - COUNTIF(Vertices[Clustering Coefficient], "&gt;=" &amp; Q34)</f>
        <v>0</v>
      </c>
      <c r="S33" s="54" t="e">
        <f t="shared" ca="1" si="8"/>
        <v>#REF!</v>
      </c>
      <c r="T33" s="55" t="e">
        <f t="shared" ca="1" si="0"/>
        <v>#REF!</v>
      </c>
    </row>
    <row r="34" spans="1:20" x14ac:dyDescent="0.55000000000000004">
      <c r="A34" s="47" t="s">
        <v>95</v>
      </c>
      <c r="B34" s="47" t="str">
        <f>IF(COUNT(Vertices[Degree])&gt;0, E45, NoMetricMessage)</f>
        <v>Not Available</v>
      </c>
      <c r="E34" s="46">
        <f t="shared" si="1"/>
        <v>0</v>
      </c>
      <c r="F34" s="3">
        <f>COUNTIF(Vertices[Degree], "&gt;= " &amp; E34) - COUNTIF(Vertices[Degree], "&gt;=" &amp; E35)</f>
        <v>0</v>
      </c>
      <c r="G34" s="52">
        <f t="shared" si="2"/>
        <v>0</v>
      </c>
      <c r="H34" s="53">
        <f>COUNTIF(Vertices[In-Degree], "&gt;= " &amp; G34) - COUNTIF(Vertices[In-Degree], "&gt;=" &amp; G35)</f>
        <v>0</v>
      </c>
      <c r="I34" s="52">
        <f t="shared" si="3"/>
        <v>0</v>
      </c>
      <c r="J34" s="53">
        <f>COUNTIF(Vertices[Out-Degree], "&gt;= " &amp; I34) - COUNTIF(Vertices[Out-Degree], "&gt;=" &amp; I35)</f>
        <v>0</v>
      </c>
      <c r="K34" s="52">
        <f t="shared" si="4"/>
        <v>0</v>
      </c>
      <c r="L34" s="53">
        <f>COUNTIF(Vertices[Betweenness Centrality], "&gt;= " &amp; K34) - COUNTIF(Vertices[Betweenness Centrality], "&gt;=" &amp; K35)</f>
        <v>0</v>
      </c>
      <c r="M34" s="52">
        <f t="shared" si="5"/>
        <v>0</v>
      </c>
      <c r="N34" s="53">
        <f>COUNTIF(Vertices[Closeness Centrality], "&gt;= " &amp; M34) - COUNTIF(Vertices[Closeness Centrality], "&gt;=" &amp; M35)</f>
        <v>0</v>
      </c>
      <c r="O34" s="52">
        <f t="shared" si="6"/>
        <v>0</v>
      </c>
      <c r="P34" s="53">
        <f>COUNTIF(Vertices[Eigenvector Centrality], "&gt;= " &amp; O34) - COUNTIF(Vertices[Eigenvector Centrality], "&gt;=" &amp; O35)</f>
        <v>0</v>
      </c>
      <c r="Q34" s="52">
        <f t="shared" si="7"/>
        <v>0</v>
      </c>
      <c r="R34" s="58">
        <f>COUNTIF(Vertices[Clustering Coefficient], "&gt;= " &amp; Q34) - COUNTIF(Vertices[Clustering Coefficient], "&gt;=" &amp; Q35)</f>
        <v>0</v>
      </c>
      <c r="S34" s="52" t="e">
        <f t="shared" ca="1" si="8"/>
        <v>#REF!</v>
      </c>
      <c r="T34" s="53" t="e">
        <f t="shared" ca="1" si="0"/>
        <v>#REF!</v>
      </c>
    </row>
    <row r="35" spans="1:20" x14ac:dyDescent="0.55000000000000004">
      <c r="A35" s="47" t="s">
        <v>96</v>
      </c>
      <c r="B35" s="48" t="str">
        <f>IFERROR(AVERAGE(Vertices[Degree]),NoMetricMessage)</f>
        <v>Not Available</v>
      </c>
      <c r="E35" s="46">
        <f t="shared" si="1"/>
        <v>0</v>
      </c>
      <c r="F35" s="3">
        <f>COUNTIF(Vertices[Degree], "&gt;= " &amp; E35) - COUNTIF(Vertices[Degree], "&gt;=" &amp; E36)</f>
        <v>0</v>
      </c>
      <c r="G35" s="54">
        <f t="shared" si="2"/>
        <v>0</v>
      </c>
      <c r="H35" s="55">
        <f>COUNTIF(Vertices[In-Degree], "&gt;= " &amp; G35) - COUNTIF(Vertices[In-Degree], "&gt;=" &amp; G36)</f>
        <v>0</v>
      </c>
      <c r="I35" s="54">
        <f t="shared" si="3"/>
        <v>0</v>
      </c>
      <c r="J35" s="55">
        <f>COUNTIF(Vertices[Out-Degree], "&gt;= " &amp; I35) - COUNTIF(Vertices[Out-Degree], "&gt;=" &amp; I36)</f>
        <v>0</v>
      </c>
      <c r="K35" s="54">
        <f t="shared" si="4"/>
        <v>0</v>
      </c>
      <c r="L35" s="55">
        <f>COUNTIF(Vertices[Betweenness Centrality], "&gt;= " &amp; K35) - COUNTIF(Vertices[Betweenness Centrality], "&gt;=" &amp; K36)</f>
        <v>0</v>
      </c>
      <c r="M35" s="54">
        <f t="shared" si="5"/>
        <v>0</v>
      </c>
      <c r="N35" s="55">
        <f>COUNTIF(Vertices[Closeness Centrality], "&gt;= " &amp; M35) - COUNTIF(Vertices[Closeness Centrality], "&gt;=" &amp; M36)</f>
        <v>0</v>
      </c>
      <c r="O35" s="54">
        <f t="shared" si="6"/>
        <v>0</v>
      </c>
      <c r="P35" s="55">
        <f>COUNTIF(Vertices[Eigenvector Centrality], "&gt;= " &amp; O35) - COUNTIF(Vertices[Eigenvector Centrality], "&gt;=" &amp; O36)</f>
        <v>0</v>
      </c>
      <c r="Q35" s="54">
        <f t="shared" si="7"/>
        <v>0</v>
      </c>
      <c r="R35" s="59">
        <f>COUNTIF(Vertices[Clustering Coefficient], "&gt;= " &amp; Q35) - COUNTIF(Vertices[Clustering Coefficient], "&gt;=" &amp; Q36)</f>
        <v>0</v>
      </c>
      <c r="S35" s="54" t="e">
        <f t="shared" ca="1" si="8"/>
        <v>#REF!</v>
      </c>
      <c r="T35" s="55" t="e">
        <f t="shared" ca="1" si="0"/>
        <v>#REF!</v>
      </c>
    </row>
    <row r="36" spans="1:20" x14ac:dyDescent="0.55000000000000004">
      <c r="A36" s="47" t="s">
        <v>97</v>
      </c>
      <c r="B36" s="48" t="str">
        <f>IFERROR(MEDIAN(Vertices[Degree]),NoMetricMessage)</f>
        <v>Not Available</v>
      </c>
      <c r="E36" s="46">
        <f t="shared" si="1"/>
        <v>0</v>
      </c>
      <c r="F36" s="3">
        <f>COUNTIF(Vertices[Degree], "&gt;= " &amp; E36) - COUNTIF(Vertices[Degree], "&gt;=" &amp; E37)</f>
        <v>0</v>
      </c>
      <c r="G36" s="52">
        <f t="shared" si="2"/>
        <v>0</v>
      </c>
      <c r="H36" s="53">
        <f>COUNTIF(Vertices[In-Degree], "&gt;= " &amp; G36) - COUNTIF(Vertices[In-Degree], "&gt;=" &amp; G37)</f>
        <v>0</v>
      </c>
      <c r="I36" s="52">
        <f t="shared" si="3"/>
        <v>0</v>
      </c>
      <c r="J36" s="53">
        <f>COUNTIF(Vertices[Out-Degree], "&gt;= " &amp; I36) - COUNTIF(Vertices[Out-Degree], "&gt;=" &amp; I37)</f>
        <v>0</v>
      </c>
      <c r="K36" s="52">
        <f t="shared" si="4"/>
        <v>0</v>
      </c>
      <c r="L36" s="53">
        <f>COUNTIF(Vertices[Betweenness Centrality], "&gt;= " &amp; K36) - COUNTIF(Vertices[Betweenness Centrality], "&gt;=" &amp; K37)</f>
        <v>0</v>
      </c>
      <c r="M36" s="52">
        <f t="shared" si="5"/>
        <v>0</v>
      </c>
      <c r="N36" s="53">
        <f>COUNTIF(Vertices[Closeness Centrality], "&gt;= " &amp; M36) - COUNTIF(Vertices[Closeness Centrality], "&gt;=" &amp; M37)</f>
        <v>0</v>
      </c>
      <c r="O36" s="52">
        <f t="shared" si="6"/>
        <v>0</v>
      </c>
      <c r="P36" s="53">
        <f>COUNTIF(Vertices[Eigenvector Centrality], "&gt;= " &amp; O36) - COUNTIF(Vertices[Eigenvector Centrality], "&gt;=" &amp; O37)</f>
        <v>0</v>
      </c>
      <c r="Q36" s="52">
        <f t="shared" si="7"/>
        <v>0</v>
      </c>
      <c r="R36" s="58">
        <f>COUNTIF(Vertices[Clustering Coefficient], "&gt;= " &amp; Q36) - COUNTIF(Vertices[Clustering Coefficient], "&gt;=" &amp; Q37)</f>
        <v>0</v>
      </c>
      <c r="S36" s="52" t="e">
        <f t="shared" ca="1" si="8"/>
        <v>#REF!</v>
      </c>
      <c r="T36" s="53" t="e">
        <f t="shared" ca="1" si="0"/>
        <v>#REF!</v>
      </c>
    </row>
    <row r="37" spans="1:20" x14ac:dyDescent="0.55000000000000004">
      <c r="E37" s="46">
        <f t="shared" si="1"/>
        <v>0</v>
      </c>
      <c r="F37" s="3">
        <f>COUNTIF(Vertices[Degree], "&gt;= " &amp; E37) - COUNTIF(Vertices[Degree], "&gt;=" &amp; E38)</f>
        <v>0</v>
      </c>
      <c r="G37" s="54">
        <f t="shared" si="2"/>
        <v>0</v>
      </c>
      <c r="H37" s="55">
        <f>COUNTIF(Vertices[In-Degree], "&gt;= " &amp; G37) - COUNTIF(Vertices[In-Degree], "&gt;=" &amp; G38)</f>
        <v>0</v>
      </c>
      <c r="I37" s="54">
        <f t="shared" si="3"/>
        <v>0</v>
      </c>
      <c r="J37" s="55">
        <f>COUNTIF(Vertices[Out-Degree], "&gt;= " &amp; I37) - COUNTIF(Vertices[Out-Degree], "&gt;=" &amp; I38)</f>
        <v>0</v>
      </c>
      <c r="K37" s="54">
        <f t="shared" si="4"/>
        <v>0</v>
      </c>
      <c r="L37" s="55">
        <f>COUNTIF(Vertices[Betweenness Centrality], "&gt;= " &amp; K37) - COUNTIF(Vertices[Betweenness Centrality], "&gt;=" &amp; K38)</f>
        <v>0</v>
      </c>
      <c r="M37" s="54">
        <f t="shared" si="5"/>
        <v>0</v>
      </c>
      <c r="N37" s="55">
        <f>COUNTIF(Vertices[Closeness Centrality], "&gt;= " &amp; M37) - COUNTIF(Vertices[Closeness Centrality], "&gt;=" &amp; M38)</f>
        <v>0</v>
      </c>
      <c r="O37" s="54">
        <f t="shared" si="6"/>
        <v>0</v>
      </c>
      <c r="P37" s="55">
        <f>COUNTIF(Vertices[Eigenvector Centrality], "&gt;= " &amp; O37) - COUNTIF(Vertices[Eigenvector Centrality], "&gt;=" &amp; O38)</f>
        <v>0</v>
      </c>
      <c r="Q37" s="54">
        <f t="shared" si="7"/>
        <v>0</v>
      </c>
      <c r="R37" s="59">
        <f>COUNTIF(Vertices[Clustering Coefficient], "&gt;= " &amp; Q37) - COUNTIF(Vertices[Clustering Coefficient], "&gt;=" &amp; Q38)</f>
        <v>0</v>
      </c>
      <c r="S37" s="54" t="e">
        <f t="shared" ca="1" si="8"/>
        <v>#REF!</v>
      </c>
      <c r="T37" s="55" t="e">
        <f t="shared" ca="1" si="0"/>
        <v>#REF!</v>
      </c>
    </row>
    <row r="38" spans="1:20" x14ac:dyDescent="0.55000000000000004">
      <c r="E38" s="46">
        <f t="shared" si="1"/>
        <v>0</v>
      </c>
      <c r="F38" s="3">
        <f>COUNTIF(Vertices[Degree], "&gt;= " &amp; E38) - COUNTIF(Vertices[Degree], "&gt;=" &amp; E39)</f>
        <v>0</v>
      </c>
      <c r="G38" s="52">
        <f t="shared" si="2"/>
        <v>0</v>
      </c>
      <c r="H38" s="53">
        <f>COUNTIF(Vertices[In-Degree], "&gt;= " &amp; G38) - COUNTIF(Vertices[In-Degree], "&gt;=" &amp; G39)</f>
        <v>0</v>
      </c>
      <c r="I38" s="52">
        <f t="shared" si="3"/>
        <v>0</v>
      </c>
      <c r="J38" s="53">
        <f>COUNTIF(Vertices[Out-Degree], "&gt;= " &amp; I38) - COUNTIF(Vertices[Out-Degree], "&gt;=" &amp; I39)</f>
        <v>0</v>
      </c>
      <c r="K38" s="52">
        <f t="shared" si="4"/>
        <v>0</v>
      </c>
      <c r="L38" s="53">
        <f>COUNTIF(Vertices[Betweenness Centrality], "&gt;= " &amp; K38) - COUNTIF(Vertices[Betweenness Centrality], "&gt;=" &amp; K39)</f>
        <v>0</v>
      </c>
      <c r="M38" s="52">
        <f t="shared" si="5"/>
        <v>0</v>
      </c>
      <c r="N38" s="53">
        <f>COUNTIF(Vertices[Closeness Centrality], "&gt;= " &amp; M38) - COUNTIF(Vertices[Closeness Centrality], "&gt;=" &amp; M39)</f>
        <v>0</v>
      </c>
      <c r="O38" s="52">
        <f t="shared" si="6"/>
        <v>0</v>
      </c>
      <c r="P38" s="53">
        <f>COUNTIF(Vertices[Eigenvector Centrality], "&gt;= " &amp; O38) - COUNTIF(Vertices[Eigenvector Centrality], "&gt;=" &amp; O39)</f>
        <v>0</v>
      </c>
      <c r="Q38" s="52">
        <f t="shared" si="7"/>
        <v>0</v>
      </c>
      <c r="R38" s="58">
        <f>COUNTIF(Vertices[Clustering Coefficient], "&gt;= " &amp; Q38) - COUNTIF(Vertices[Clustering Coefficient], "&gt;=" &amp; Q39)</f>
        <v>0</v>
      </c>
      <c r="S38" s="52" t="e">
        <f t="shared" ca="1" si="8"/>
        <v>#REF!</v>
      </c>
      <c r="T38" s="53" t="e">
        <f t="shared" ca="1" si="0"/>
        <v>#REF!</v>
      </c>
    </row>
    <row r="39" spans="1:20" x14ac:dyDescent="0.55000000000000004">
      <c r="E39" s="46">
        <f t="shared" si="1"/>
        <v>0</v>
      </c>
      <c r="F39" s="3">
        <f>COUNTIF(Vertices[Degree], "&gt;= " &amp; E39) - COUNTIF(Vertices[Degree], "&gt;=" &amp; E40)</f>
        <v>0</v>
      </c>
      <c r="G39" s="54">
        <f t="shared" si="2"/>
        <v>0</v>
      </c>
      <c r="H39" s="55">
        <f>COUNTIF(Vertices[In-Degree], "&gt;= " &amp; G39) - COUNTIF(Vertices[In-Degree], "&gt;=" &amp; G40)</f>
        <v>0</v>
      </c>
      <c r="I39" s="54">
        <f t="shared" si="3"/>
        <v>0</v>
      </c>
      <c r="J39" s="55">
        <f>COUNTIF(Vertices[Out-Degree], "&gt;= " &amp; I39) - COUNTIF(Vertices[Out-Degree], "&gt;=" &amp; I40)</f>
        <v>0</v>
      </c>
      <c r="K39" s="54">
        <f t="shared" si="4"/>
        <v>0</v>
      </c>
      <c r="L39" s="55">
        <f>COUNTIF(Vertices[Betweenness Centrality], "&gt;= " &amp; K39) - COUNTIF(Vertices[Betweenness Centrality], "&gt;=" &amp; K40)</f>
        <v>0</v>
      </c>
      <c r="M39" s="54">
        <f t="shared" si="5"/>
        <v>0</v>
      </c>
      <c r="N39" s="55">
        <f>COUNTIF(Vertices[Closeness Centrality], "&gt;= " &amp; M39) - COUNTIF(Vertices[Closeness Centrality], "&gt;=" &amp; M40)</f>
        <v>0</v>
      </c>
      <c r="O39" s="54">
        <f t="shared" si="6"/>
        <v>0</v>
      </c>
      <c r="P39" s="55">
        <f>COUNTIF(Vertices[Eigenvector Centrality], "&gt;= " &amp; O39) - COUNTIF(Vertices[Eigenvector Centrality], "&gt;=" &amp; O40)</f>
        <v>0</v>
      </c>
      <c r="Q39" s="54">
        <f t="shared" si="7"/>
        <v>0</v>
      </c>
      <c r="R39" s="59">
        <f>COUNTIF(Vertices[Clustering Coefficient], "&gt;= " &amp; Q39) - COUNTIF(Vertices[Clustering Coefficient], "&gt;=" &amp; Q40)</f>
        <v>0</v>
      </c>
      <c r="S39" s="54" t="e">
        <f t="shared" ca="1" si="8"/>
        <v>#REF!</v>
      </c>
      <c r="T39" s="55" t="e">
        <f t="shared" ca="1" si="0"/>
        <v>#REF!</v>
      </c>
    </row>
    <row r="40" spans="1:20" x14ac:dyDescent="0.55000000000000004">
      <c r="E40" s="46">
        <f t="shared" si="1"/>
        <v>0</v>
      </c>
      <c r="F40" s="3">
        <f>COUNTIF(Vertices[Degree], "&gt;= " &amp; E40) - COUNTIF(Vertices[Degree], "&gt;=" &amp; E41)</f>
        <v>0</v>
      </c>
      <c r="G40" s="52">
        <f t="shared" si="2"/>
        <v>0</v>
      </c>
      <c r="H40" s="53">
        <f>COUNTIF(Vertices[In-Degree], "&gt;= " &amp; G40) - COUNTIF(Vertices[In-Degree], "&gt;=" &amp; G41)</f>
        <v>0</v>
      </c>
      <c r="I40" s="52">
        <f t="shared" si="3"/>
        <v>0</v>
      </c>
      <c r="J40" s="53">
        <f>COUNTIF(Vertices[Out-Degree], "&gt;= " &amp; I40) - COUNTIF(Vertices[Out-Degree], "&gt;=" &amp; I41)</f>
        <v>0</v>
      </c>
      <c r="K40" s="52">
        <f t="shared" si="4"/>
        <v>0</v>
      </c>
      <c r="L40" s="53">
        <f>COUNTIF(Vertices[Betweenness Centrality], "&gt;= " &amp; K40) - COUNTIF(Vertices[Betweenness Centrality], "&gt;=" &amp; K41)</f>
        <v>0</v>
      </c>
      <c r="M40" s="52">
        <f t="shared" si="5"/>
        <v>0</v>
      </c>
      <c r="N40" s="53">
        <f>COUNTIF(Vertices[Closeness Centrality], "&gt;= " &amp; M40) - COUNTIF(Vertices[Closeness Centrality], "&gt;=" &amp; M41)</f>
        <v>0</v>
      </c>
      <c r="O40" s="52">
        <f t="shared" si="6"/>
        <v>0</v>
      </c>
      <c r="P40" s="53">
        <f>COUNTIF(Vertices[Eigenvector Centrality], "&gt;= " &amp; O40) - COUNTIF(Vertices[Eigenvector Centrality], "&gt;=" &amp; O41)</f>
        <v>0</v>
      </c>
      <c r="Q40" s="52">
        <f t="shared" si="7"/>
        <v>0</v>
      </c>
      <c r="R40" s="58">
        <f>COUNTIF(Vertices[Clustering Coefficient], "&gt;= " &amp; Q40) - COUNTIF(Vertices[Clustering Coefficient], "&gt;=" &amp; Q41)</f>
        <v>0</v>
      </c>
      <c r="S40" s="52" t="e">
        <f t="shared" ca="1" si="8"/>
        <v>#REF!</v>
      </c>
      <c r="T40" s="53" t="e">
        <f t="shared" ca="1" si="0"/>
        <v>#REF!</v>
      </c>
    </row>
    <row r="41" spans="1:20" x14ac:dyDescent="0.55000000000000004">
      <c r="E41" s="46">
        <f t="shared" si="1"/>
        <v>0</v>
      </c>
      <c r="F41" s="3">
        <f>COUNTIF(Vertices[Degree], "&gt;= " &amp; E41) - COUNTIF(Vertices[Degree], "&gt;=" &amp; E42)</f>
        <v>0</v>
      </c>
      <c r="G41" s="54">
        <f t="shared" si="2"/>
        <v>0</v>
      </c>
      <c r="H41" s="55">
        <f>COUNTIF(Vertices[In-Degree], "&gt;= " &amp; G41) - COUNTIF(Vertices[In-Degree], "&gt;=" &amp; G42)</f>
        <v>0</v>
      </c>
      <c r="I41" s="54">
        <f t="shared" si="3"/>
        <v>0</v>
      </c>
      <c r="J41" s="55">
        <f>COUNTIF(Vertices[Out-Degree], "&gt;= " &amp; I41) - COUNTIF(Vertices[Out-Degree], "&gt;=" &amp; I42)</f>
        <v>0</v>
      </c>
      <c r="K41" s="54">
        <f t="shared" si="4"/>
        <v>0</v>
      </c>
      <c r="L41" s="55">
        <f>COUNTIF(Vertices[Betweenness Centrality], "&gt;= " &amp; K41) - COUNTIF(Vertices[Betweenness Centrality], "&gt;=" &amp; K42)</f>
        <v>0</v>
      </c>
      <c r="M41" s="54">
        <f t="shared" si="5"/>
        <v>0</v>
      </c>
      <c r="N41" s="55">
        <f>COUNTIF(Vertices[Closeness Centrality], "&gt;= " &amp; M41) - COUNTIF(Vertices[Closeness Centrality], "&gt;=" &amp; M42)</f>
        <v>0</v>
      </c>
      <c r="O41" s="54">
        <f t="shared" si="6"/>
        <v>0</v>
      </c>
      <c r="P41" s="55">
        <f>COUNTIF(Vertices[Eigenvector Centrality], "&gt;= " &amp; O41) - COUNTIF(Vertices[Eigenvector Centrality], "&gt;=" &amp; O42)</f>
        <v>0</v>
      </c>
      <c r="Q41" s="54">
        <f t="shared" si="7"/>
        <v>0</v>
      </c>
      <c r="R41" s="59">
        <f>COUNTIF(Vertices[Clustering Coefficient], "&gt;= " &amp; Q41) - COUNTIF(Vertices[Clustering Coefficient], "&gt;=" &amp; Q42)</f>
        <v>0</v>
      </c>
      <c r="S41" s="54" t="e">
        <f t="shared" ca="1" si="8"/>
        <v>#REF!</v>
      </c>
      <c r="T41" s="55" t="e">
        <f t="shared" ca="1" si="0"/>
        <v>#REF!</v>
      </c>
    </row>
    <row r="42" spans="1:20" x14ac:dyDescent="0.55000000000000004">
      <c r="E42" s="46">
        <f t="shared" si="1"/>
        <v>0</v>
      </c>
      <c r="F42" s="3">
        <f>COUNTIF(Vertices[Degree], "&gt;= " &amp; E42) - COUNTIF(Vertices[Degree], "&gt;=" &amp; E43)</f>
        <v>0</v>
      </c>
      <c r="G42" s="52">
        <f t="shared" si="2"/>
        <v>0</v>
      </c>
      <c r="H42" s="53">
        <f>COUNTIF(Vertices[In-Degree], "&gt;= " &amp; G42) - COUNTIF(Vertices[In-Degree], "&gt;=" &amp; G43)</f>
        <v>0</v>
      </c>
      <c r="I42" s="52">
        <f t="shared" si="3"/>
        <v>0</v>
      </c>
      <c r="J42" s="53">
        <f>COUNTIF(Vertices[Out-Degree], "&gt;= " &amp; I42) - COUNTIF(Vertices[Out-Degree], "&gt;=" &amp; I43)</f>
        <v>0</v>
      </c>
      <c r="K42" s="52">
        <f t="shared" si="4"/>
        <v>0</v>
      </c>
      <c r="L42" s="53">
        <f>COUNTIF(Vertices[Betweenness Centrality], "&gt;= " &amp; K42) - COUNTIF(Vertices[Betweenness Centrality], "&gt;=" &amp; K43)</f>
        <v>0</v>
      </c>
      <c r="M42" s="52">
        <f t="shared" si="5"/>
        <v>0</v>
      </c>
      <c r="N42" s="53">
        <f>COUNTIF(Vertices[Closeness Centrality], "&gt;= " &amp; M42) - COUNTIF(Vertices[Closeness Centrality], "&gt;=" &amp; M43)</f>
        <v>0</v>
      </c>
      <c r="O42" s="52">
        <f t="shared" si="6"/>
        <v>0</v>
      </c>
      <c r="P42" s="53">
        <f>COUNTIF(Vertices[Eigenvector Centrality], "&gt;= " &amp; O42) - COUNTIF(Vertices[Eigenvector Centrality], "&gt;=" &amp; O43)</f>
        <v>0</v>
      </c>
      <c r="Q42" s="52">
        <f t="shared" si="7"/>
        <v>0</v>
      </c>
      <c r="R42" s="58">
        <f>COUNTIF(Vertices[Clustering Coefficient], "&gt;= " &amp; Q42) - COUNTIF(Vertices[Clustering Coefficient], "&gt;=" &amp; Q43)</f>
        <v>0</v>
      </c>
      <c r="S42" s="52" t="e">
        <f t="shared" ca="1" si="8"/>
        <v>#REF!</v>
      </c>
      <c r="T42" s="53" t="e">
        <f t="shared" ca="1" si="0"/>
        <v>#REF!</v>
      </c>
    </row>
    <row r="43" spans="1:20" x14ac:dyDescent="0.55000000000000004">
      <c r="E43" s="46">
        <f t="shared" si="1"/>
        <v>0</v>
      </c>
      <c r="F43" s="3">
        <f>COUNTIF(Vertices[Degree], "&gt;= " &amp; E43) - COUNTIF(Vertices[Degree], "&gt;=" &amp; E44)</f>
        <v>0</v>
      </c>
      <c r="G43" s="54">
        <f t="shared" si="2"/>
        <v>0</v>
      </c>
      <c r="H43" s="55">
        <f>COUNTIF(Vertices[In-Degree], "&gt;= " &amp; G43) - COUNTIF(Vertices[In-Degree], "&gt;=" &amp; G44)</f>
        <v>0</v>
      </c>
      <c r="I43" s="54">
        <f t="shared" si="3"/>
        <v>0</v>
      </c>
      <c r="J43" s="55">
        <f>COUNTIF(Vertices[Out-Degree], "&gt;= " &amp; I43) - COUNTIF(Vertices[Out-Degree], "&gt;=" &amp; I44)</f>
        <v>0</v>
      </c>
      <c r="K43" s="54">
        <f t="shared" si="4"/>
        <v>0</v>
      </c>
      <c r="L43" s="55">
        <f>COUNTIF(Vertices[Betweenness Centrality], "&gt;= " &amp; K43) - COUNTIF(Vertices[Betweenness Centrality], "&gt;=" &amp; K44)</f>
        <v>0</v>
      </c>
      <c r="M43" s="54">
        <f t="shared" si="5"/>
        <v>0</v>
      </c>
      <c r="N43" s="55">
        <f>COUNTIF(Vertices[Closeness Centrality], "&gt;= " &amp; M43) - COUNTIF(Vertices[Closeness Centrality], "&gt;=" &amp; M44)</f>
        <v>0</v>
      </c>
      <c r="O43" s="54">
        <f t="shared" si="6"/>
        <v>0</v>
      </c>
      <c r="P43" s="55">
        <f>COUNTIF(Vertices[Eigenvector Centrality], "&gt;= " &amp; O43) - COUNTIF(Vertices[Eigenvector Centrality], "&gt;=" &amp; O44)</f>
        <v>0</v>
      </c>
      <c r="Q43" s="54">
        <f t="shared" si="7"/>
        <v>0</v>
      </c>
      <c r="R43" s="59">
        <f>COUNTIF(Vertices[Clustering Coefficient], "&gt;= " &amp; Q43) - COUNTIF(Vertices[Clustering Coefficient], "&gt;=" &amp; Q44)</f>
        <v>0</v>
      </c>
      <c r="S43" s="54" t="e">
        <f t="shared" ca="1" si="8"/>
        <v>#REF!</v>
      </c>
      <c r="T43" s="55" t="e">
        <f t="shared" ca="1" si="0"/>
        <v>#REF!</v>
      </c>
    </row>
    <row r="44" spans="1:20" x14ac:dyDescent="0.55000000000000004">
      <c r="E44" s="46">
        <f t="shared" si="1"/>
        <v>0</v>
      </c>
      <c r="F44" s="3">
        <f>COUNTIF(Vertices[Degree], "&gt;= " &amp; E44) - COUNTIF(Vertices[Degree], "&gt;=" &amp; E45)</f>
        <v>0</v>
      </c>
      <c r="G44" s="52">
        <f t="shared" si="2"/>
        <v>0</v>
      </c>
      <c r="H44" s="53">
        <f>COUNTIF(Vertices[In-Degree], "&gt;= " &amp; G44) - COUNTIF(Vertices[In-Degree], "&gt;=" &amp; G45)</f>
        <v>0</v>
      </c>
      <c r="I44" s="52">
        <f t="shared" si="3"/>
        <v>0</v>
      </c>
      <c r="J44" s="53">
        <f>COUNTIF(Vertices[Out-Degree], "&gt;= " &amp; I44) - COUNTIF(Vertices[Out-Degree], "&gt;=" &amp; I45)</f>
        <v>0</v>
      </c>
      <c r="K44" s="52">
        <f t="shared" si="4"/>
        <v>0</v>
      </c>
      <c r="L44" s="53">
        <f>COUNTIF(Vertices[Betweenness Centrality], "&gt;= " &amp; K44) - COUNTIF(Vertices[Betweenness Centrality], "&gt;=" &amp; K45)</f>
        <v>0</v>
      </c>
      <c r="M44" s="52">
        <f t="shared" si="5"/>
        <v>0</v>
      </c>
      <c r="N44" s="53">
        <f>COUNTIF(Vertices[Closeness Centrality], "&gt;= " &amp; M44) - COUNTIF(Vertices[Closeness Centrality], "&gt;=" &amp; M45)</f>
        <v>0</v>
      </c>
      <c r="O44" s="52">
        <f t="shared" si="6"/>
        <v>0</v>
      </c>
      <c r="P44" s="53">
        <f>COUNTIF(Vertices[Eigenvector Centrality], "&gt;= " &amp; O44) - COUNTIF(Vertices[Eigenvector Centrality], "&gt;=" &amp; O45)</f>
        <v>0</v>
      </c>
      <c r="Q44" s="52">
        <f t="shared" si="7"/>
        <v>0</v>
      </c>
      <c r="R44" s="58">
        <f>COUNTIF(Vertices[Clustering Coefficient], "&gt;= " &amp; Q44) - COUNTIF(Vertices[Clustering Coefficient], "&gt;=" &amp; Q45)</f>
        <v>0</v>
      </c>
      <c r="S44" s="52" t="e">
        <f t="shared" ca="1" si="8"/>
        <v>#REF!</v>
      </c>
      <c r="T44" s="53" t="e">
        <f t="shared" ca="1" si="0"/>
        <v>#REF!</v>
      </c>
    </row>
    <row r="45" spans="1:20" x14ac:dyDescent="0.55000000000000004">
      <c r="E45" s="46">
        <f>MAX(Vertices[Degree])</f>
        <v>0</v>
      </c>
      <c r="F45" s="3">
        <f>COUNTIF(Vertices[Degree], "&gt;= " &amp; E45) - COUNTIF(Vertices[Degree], "&gt;=" &amp; E46)</f>
        <v>0</v>
      </c>
      <c r="G45" s="56">
        <f>MAX(Vertices[In-Degree])</f>
        <v>0</v>
      </c>
      <c r="H45" s="57">
        <f>COUNTIF(Vertices[In-Degree], "&gt;= " &amp; G45) - COUNTIF(Vertices[In-Degree], "&gt;=" &amp; G46)</f>
        <v>0</v>
      </c>
      <c r="I45" s="56">
        <f>MAX(Vertices[Out-Degree])</f>
        <v>0</v>
      </c>
      <c r="J45" s="57">
        <f>COUNTIF(Vertices[Out-Degree], "&gt;= " &amp; I45) - COUNTIF(Vertices[Out-Degree], "&gt;=" &amp; I46)</f>
        <v>0</v>
      </c>
      <c r="K45" s="56">
        <f>MAX(Vertices[Betweenness Centrality])</f>
        <v>0</v>
      </c>
      <c r="L45" s="57">
        <f>COUNTIF(Vertices[Betweenness Centrality], "&gt;= " &amp; K45) - COUNTIF(Vertices[Betweenness Centrality], "&gt;=" &amp; K46)</f>
        <v>0</v>
      </c>
      <c r="M45" s="56">
        <f>MAX(Vertices[Closeness Centrality])</f>
        <v>0</v>
      </c>
      <c r="N45" s="57">
        <f>COUNTIF(Vertices[Closeness Centrality], "&gt;= " &amp; M45) - COUNTIF(Vertices[Closeness Centrality], "&gt;=" &amp; M46)</f>
        <v>0</v>
      </c>
      <c r="O45" s="56">
        <f>MAX(Vertices[Eigenvector Centrality])</f>
        <v>0</v>
      </c>
      <c r="P45" s="57">
        <f>COUNTIF(Vertices[Eigenvector Centrality], "&gt;= " &amp; O45) - COUNTIF(Vertices[Eigenvector Centrality], "&gt;=" &amp; O46)</f>
        <v>0</v>
      </c>
      <c r="Q45" s="56">
        <f>MAX(Vertices[Clustering Coefficient])</f>
        <v>0</v>
      </c>
      <c r="R45" s="60">
        <f>COUNTIF(Vertices[Clustering Coefficient], "&gt;= " &amp; Q45) - COUNTIF(Vertices[Clustering Coefficient], "&gt;=" &amp; Q46)</f>
        <v>0</v>
      </c>
      <c r="S45" s="56" t="e">
        <f ca="1">MAX(INDIRECT(DynamicFilterSourceColumnRange))</f>
        <v>#REF!</v>
      </c>
      <c r="T45" s="57" t="e">
        <f t="shared" ca="1" si="0"/>
        <v>#REF!</v>
      </c>
    </row>
    <row r="47" spans="1:20" x14ac:dyDescent="0.55000000000000004">
      <c r="A47" s="47" t="s">
        <v>102</v>
      </c>
      <c r="B47" s="47" t="str">
        <f>IF(COUNT(Vertices[In-Degree])&gt;0, G2, NoMetricMessage)</f>
        <v>Not Available</v>
      </c>
    </row>
    <row r="48" spans="1:20" x14ac:dyDescent="0.55000000000000004">
      <c r="A48" s="47" t="s">
        <v>103</v>
      </c>
      <c r="B48" s="47" t="str">
        <f>IF(COUNT(Vertices[In-Degree])&gt;0, G45, NoMetricMessage)</f>
        <v>Not Available</v>
      </c>
    </row>
    <row r="49" spans="1:2" x14ac:dyDescent="0.55000000000000004">
      <c r="A49" s="47" t="s">
        <v>104</v>
      </c>
      <c r="B49" s="48" t="str">
        <f>IFERROR(AVERAGE(Vertices[In-Degree]),NoMetricMessage)</f>
        <v>Not Available</v>
      </c>
    </row>
    <row r="50" spans="1:2" x14ac:dyDescent="0.55000000000000004">
      <c r="A50" s="47" t="s">
        <v>105</v>
      </c>
      <c r="B50" s="48" t="str">
        <f>IFERROR(MEDIAN(Vertices[In-Degree]),NoMetricMessage)</f>
        <v>Not Available</v>
      </c>
    </row>
    <row r="61" spans="1:2" x14ac:dyDescent="0.55000000000000004">
      <c r="A61" s="47" t="s">
        <v>108</v>
      </c>
      <c r="B61" s="47" t="str">
        <f>IF(COUNT(Vertices[Out-Degree])&gt;0, I2, NoMetricMessage)</f>
        <v>Not Available</v>
      </c>
    </row>
    <row r="62" spans="1:2" x14ac:dyDescent="0.55000000000000004">
      <c r="A62" s="47" t="s">
        <v>109</v>
      </c>
      <c r="B62" s="47" t="str">
        <f>IF(COUNT(Vertices[Out-Degree])&gt;0, I45, NoMetricMessage)</f>
        <v>Not Available</v>
      </c>
    </row>
    <row r="63" spans="1:2" x14ac:dyDescent="0.55000000000000004">
      <c r="A63" s="47" t="s">
        <v>110</v>
      </c>
      <c r="B63" s="48" t="str">
        <f>IFERROR(AVERAGE(Vertices[Out-Degree]),NoMetricMessage)</f>
        <v>Not Available</v>
      </c>
    </row>
    <row r="64" spans="1:2" x14ac:dyDescent="0.55000000000000004">
      <c r="A64" s="47" t="s">
        <v>111</v>
      </c>
      <c r="B64" s="48" t="str">
        <f>IFERROR(MEDIAN(Vertices[Out-Degree]),NoMetricMessage)</f>
        <v>Not Available</v>
      </c>
    </row>
    <row r="75" spans="1:2" x14ac:dyDescent="0.55000000000000004">
      <c r="A75" s="47" t="s">
        <v>114</v>
      </c>
      <c r="B75" s="47" t="str">
        <f>IF(COUNT(Vertices[Betweenness Centrality])&gt;0, K2, NoMetricMessage)</f>
        <v>Not Available</v>
      </c>
    </row>
    <row r="76" spans="1:2" x14ac:dyDescent="0.55000000000000004">
      <c r="A76" s="47" t="s">
        <v>115</v>
      </c>
      <c r="B76" s="47" t="str">
        <f>IF(COUNT(Vertices[Betweenness Centrality])&gt;0, K45, NoMetricMessage)</f>
        <v>Not Available</v>
      </c>
    </row>
    <row r="77" spans="1:2" x14ac:dyDescent="0.55000000000000004">
      <c r="A77" s="47" t="s">
        <v>116</v>
      </c>
      <c r="B77" s="48" t="str">
        <f>IFERROR(AVERAGE(Vertices[Betweenness Centrality]),NoMetricMessage)</f>
        <v>Not Available</v>
      </c>
    </row>
    <row r="78" spans="1:2" x14ac:dyDescent="0.55000000000000004">
      <c r="A78" s="47" t="s">
        <v>117</v>
      </c>
      <c r="B78" s="48" t="str">
        <f>IFERROR(MEDIAN(Vertices[Betweenness Centrality]),NoMetricMessage)</f>
        <v>Not Available</v>
      </c>
    </row>
    <row r="89" spans="1:2" x14ac:dyDescent="0.55000000000000004">
      <c r="A89" s="47" t="s">
        <v>120</v>
      </c>
      <c r="B89" s="47" t="str">
        <f>IF(COUNT(Vertices[Closeness Centrality])&gt;0, M2, NoMetricMessage)</f>
        <v>Not Available</v>
      </c>
    </row>
    <row r="90" spans="1:2" x14ac:dyDescent="0.55000000000000004">
      <c r="A90" s="47" t="s">
        <v>121</v>
      </c>
      <c r="B90" s="47" t="str">
        <f>IF(COUNT(Vertices[Closeness Centrality])&gt;0, M45, NoMetricMessage)</f>
        <v>Not Available</v>
      </c>
    </row>
    <row r="91" spans="1:2" x14ac:dyDescent="0.55000000000000004">
      <c r="A91" s="47" t="s">
        <v>122</v>
      </c>
      <c r="B91" s="48" t="str">
        <f>IFERROR(AVERAGE(Vertices[Closeness Centrality]),NoMetricMessage)</f>
        <v>Not Available</v>
      </c>
    </row>
    <row r="92" spans="1:2" x14ac:dyDescent="0.55000000000000004">
      <c r="A92" s="47" t="s">
        <v>123</v>
      </c>
      <c r="B92" s="48" t="str">
        <f>IFERROR(MEDIAN(Vertices[Closeness Centrality]),NoMetricMessage)</f>
        <v>Not Available</v>
      </c>
    </row>
    <row r="103" spans="1:2" x14ac:dyDescent="0.55000000000000004">
      <c r="A103" s="47" t="s">
        <v>126</v>
      </c>
      <c r="B103" s="47" t="str">
        <f>IF(COUNT(Vertices[Eigenvector Centrality])&gt;0, O2, NoMetricMessage)</f>
        <v>Not Available</v>
      </c>
    </row>
    <row r="104" spans="1:2" x14ac:dyDescent="0.55000000000000004">
      <c r="A104" s="47" t="s">
        <v>127</v>
      </c>
      <c r="B104" s="47" t="str">
        <f>IF(COUNT(Vertices[Eigenvector Centrality])&gt;0, O45, NoMetricMessage)</f>
        <v>Not Available</v>
      </c>
    </row>
    <row r="105" spans="1:2" x14ac:dyDescent="0.55000000000000004">
      <c r="A105" s="47" t="s">
        <v>128</v>
      </c>
      <c r="B105" s="48" t="str">
        <f>IFERROR(AVERAGE(Vertices[Eigenvector Centrality]),NoMetricMessage)</f>
        <v>Not Available</v>
      </c>
    </row>
    <row r="106" spans="1:2" x14ac:dyDescent="0.55000000000000004">
      <c r="A106" s="47" t="s">
        <v>129</v>
      </c>
      <c r="B106" s="48" t="str">
        <f>IFERROR(MEDIAN(Vertices[Eigenvector Centrality]),NoMetricMessage)</f>
        <v>Not Available</v>
      </c>
    </row>
    <row r="117" spans="1:2" x14ac:dyDescent="0.55000000000000004">
      <c r="A117" s="47" t="s">
        <v>132</v>
      </c>
      <c r="B117" s="47" t="str">
        <f>IF(COUNT(Vertices[Clustering Coefficient])&gt;0, Q2, NoMetricMessage)</f>
        <v>Not Available</v>
      </c>
    </row>
    <row r="118" spans="1:2" x14ac:dyDescent="0.55000000000000004">
      <c r="A118" s="47" t="s">
        <v>133</v>
      </c>
      <c r="B118" s="47" t="str">
        <f>IF(COUNT(Vertices[Clustering Coefficient])&gt;0, Q45, NoMetricMessage)</f>
        <v>Not Available</v>
      </c>
    </row>
    <row r="119" spans="1:2" x14ac:dyDescent="0.55000000000000004">
      <c r="A119" s="47" t="s">
        <v>134</v>
      </c>
      <c r="B119" s="48" t="str">
        <f>IFERROR(AVERAGE(Vertices[Clustering Coefficient]),NoMetricMessage)</f>
        <v>Not Available</v>
      </c>
    </row>
    <row r="120" spans="1:2" x14ac:dyDescent="0.55000000000000004">
      <c r="A120" s="47" t="s">
        <v>135</v>
      </c>
      <c r="B120" s="48"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O23"/>
  <sheetViews>
    <sheetView workbookViewId="0">
      <selection activeCell="A2" sqref="A2"/>
    </sheetView>
  </sheetViews>
  <sheetFormatPr defaultRowHeight="14.4" x14ac:dyDescent="0.55000000000000004"/>
  <cols>
    <col min="1" max="1" width="10.47265625" style="1" bestFit="1" customWidth="1"/>
    <col min="2" max="2" width="22.7890625" bestFit="1" customWidth="1"/>
    <col min="3" max="3" width="16.7890625" bestFit="1" customWidth="1"/>
    <col min="4" max="4" width="14.26171875" bestFit="1" customWidth="1"/>
    <col min="5" max="5" width="14.26171875" customWidth="1"/>
    <col min="7" max="7" width="39.15625" bestFit="1" customWidth="1"/>
    <col min="8" max="8" width="10.7890625" bestFit="1" customWidth="1"/>
    <col min="10" max="10" width="8.47265625" bestFit="1" customWidth="1"/>
    <col min="11" max="11" width="10" bestFit="1" customWidth="1"/>
    <col min="12" max="12" width="11.7890625" bestFit="1" customWidth="1"/>
    <col min="13" max="13" width="12.15625" bestFit="1" customWidth="1"/>
  </cols>
  <sheetData>
    <row r="1" spans="1:15" s="4" customFormat="1" ht="36" customHeight="1" x14ac:dyDescent="0.55000000000000004">
      <c r="A1" s="5" t="s">
        <v>6</v>
      </c>
      <c r="B1" s="4" t="s">
        <v>7</v>
      </c>
      <c r="C1" s="4" t="s">
        <v>9</v>
      </c>
      <c r="D1" s="4" t="s">
        <v>14</v>
      </c>
      <c r="E1" s="4" t="s">
        <v>76</v>
      </c>
      <c r="G1" s="4" t="s">
        <v>18</v>
      </c>
      <c r="H1" s="4" t="s">
        <v>17</v>
      </c>
      <c r="J1" s="4" t="s">
        <v>22</v>
      </c>
      <c r="K1" s="4" t="s">
        <v>23</v>
      </c>
      <c r="L1" s="4" t="s">
        <v>24</v>
      </c>
      <c r="M1" s="4" t="s">
        <v>25</v>
      </c>
    </row>
    <row r="2" spans="1:15" x14ac:dyDescent="0.55000000000000004">
      <c r="A2" s="1" t="s">
        <v>60</v>
      </c>
      <c r="B2" t="s">
        <v>63</v>
      </c>
      <c r="C2" t="s">
        <v>64</v>
      </c>
      <c r="D2" t="s">
        <v>74</v>
      </c>
      <c r="E2" t="s">
        <v>77</v>
      </c>
      <c r="G2" t="s">
        <v>19</v>
      </c>
      <c r="H2">
        <v>79</v>
      </c>
      <c r="J2" s="4"/>
      <c r="K2" s="4"/>
      <c r="L2" s="4"/>
      <c r="M2" s="4"/>
    </row>
    <row r="3" spans="1:15" x14ac:dyDescent="0.55000000000000004">
      <c r="A3" s="1" t="s">
        <v>61</v>
      </c>
      <c r="B3" t="s">
        <v>61</v>
      </c>
      <c r="C3" t="s">
        <v>65</v>
      </c>
      <c r="D3" t="s">
        <v>75</v>
      </c>
      <c r="E3" t="s">
        <v>78</v>
      </c>
      <c r="G3" s="12" t="s">
        <v>30</v>
      </c>
      <c r="H3" s="13">
        <v>0</v>
      </c>
    </row>
    <row r="4" spans="1:15" x14ac:dyDescent="0.55000000000000004">
      <c r="A4" s="1" t="s">
        <v>62</v>
      </c>
      <c r="B4" t="s">
        <v>62</v>
      </c>
      <c r="C4" t="s">
        <v>66</v>
      </c>
      <c r="D4">
        <v>0</v>
      </c>
      <c r="E4" t="s">
        <v>79</v>
      </c>
      <c r="G4" t="s">
        <v>31</v>
      </c>
      <c r="H4" t="s">
        <v>32</v>
      </c>
    </row>
    <row r="5" spans="1:15" x14ac:dyDescent="0.55000000000000004">
      <c r="A5">
        <v>1</v>
      </c>
      <c r="B5" t="s">
        <v>60</v>
      </c>
      <c r="C5" t="s">
        <v>67</v>
      </c>
      <c r="D5">
        <v>1</v>
      </c>
      <c r="E5" t="s">
        <v>80</v>
      </c>
      <c r="G5" s="12" t="s">
        <v>42</v>
      </c>
      <c r="H5" s="12" t="b">
        <v>1</v>
      </c>
    </row>
    <row r="6" spans="1:15" x14ac:dyDescent="0.55000000000000004">
      <c r="A6">
        <v>0</v>
      </c>
      <c r="B6">
        <v>1</v>
      </c>
      <c r="C6" t="s">
        <v>68</v>
      </c>
      <c r="E6" t="s">
        <v>81</v>
      </c>
      <c r="G6" s="12" t="s">
        <v>87</v>
      </c>
      <c r="H6" s="12" t="b">
        <v>0</v>
      </c>
      <c r="O6" t="s">
        <v>143</v>
      </c>
    </row>
    <row r="7" spans="1:15" x14ac:dyDescent="0.55000000000000004">
      <c r="A7">
        <v>2</v>
      </c>
      <c r="B7">
        <v>0</v>
      </c>
      <c r="C7" t="s">
        <v>69</v>
      </c>
      <c r="E7" t="s">
        <v>82</v>
      </c>
      <c r="G7" s="12" t="s">
        <v>47</v>
      </c>
      <c r="H7" s="12" t="b">
        <v>1</v>
      </c>
    </row>
    <row r="8" spans="1:15" x14ac:dyDescent="0.55000000000000004">
      <c r="A8"/>
      <c r="B8">
        <v>2</v>
      </c>
      <c r="C8" t="s">
        <v>70</v>
      </c>
      <c r="E8" t="s">
        <v>83</v>
      </c>
      <c r="G8" s="12" t="s">
        <v>40</v>
      </c>
      <c r="H8" s="12" t="b">
        <v>0</v>
      </c>
    </row>
    <row r="9" spans="1:15" x14ac:dyDescent="0.55000000000000004">
      <c r="A9"/>
      <c r="B9">
        <v>4</v>
      </c>
      <c r="C9" t="s">
        <v>71</v>
      </c>
      <c r="E9" t="s">
        <v>84</v>
      </c>
      <c r="G9" s="12" t="s">
        <v>41</v>
      </c>
      <c r="H9" s="12" t="b">
        <v>1</v>
      </c>
    </row>
    <row r="10" spans="1:15" x14ac:dyDescent="0.55000000000000004">
      <c r="A10"/>
      <c r="C10" t="s">
        <v>72</v>
      </c>
      <c r="E10" t="s">
        <v>85</v>
      </c>
      <c r="G10" s="12" t="s">
        <v>43</v>
      </c>
      <c r="H10" s="12" t="b">
        <v>0</v>
      </c>
    </row>
    <row r="11" spans="1:15" x14ac:dyDescent="0.55000000000000004">
      <c r="A11"/>
      <c r="C11" t="s">
        <v>55</v>
      </c>
      <c r="E11">
        <v>1</v>
      </c>
      <c r="G11" s="12" t="s">
        <v>44</v>
      </c>
      <c r="H11" s="12" t="b">
        <v>1</v>
      </c>
    </row>
    <row r="12" spans="1:15" x14ac:dyDescent="0.55000000000000004">
      <c r="A12"/>
      <c r="C12" t="s">
        <v>73</v>
      </c>
      <c r="E12">
        <v>2</v>
      </c>
      <c r="G12" s="12" t="s">
        <v>46</v>
      </c>
      <c r="H12" s="12" t="b">
        <v>1</v>
      </c>
    </row>
    <row r="13" spans="1:15" x14ac:dyDescent="0.55000000000000004">
      <c r="A13"/>
      <c r="C13">
        <v>1</v>
      </c>
      <c r="E13">
        <v>3</v>
      </c>
      <c r="G13" s="12" t="s">
        <v>88</v>
      </c>
      <c r="H13" s="12"/>
    </row>
    <row r="14" spans="1:15" x14ac:dyDescent="0.55000000000000004">
      <c r="C14">
        <v>2</v>
      </c>
      <c r="E14">
        <v>4</v>
      </c>
      <c r="G14" s="12" t="s">
        <v>89</v>
      </c>
      <c r="H14" s="12"/>
    </row>
    <row r="15" spans="1:15" x14ac:dyDescent="0.55000000000000004">
      <c r="C15">
        <v>3</v>
      </c>
      <c r="E15">
        <v>5</v>
      </c>
      <c r="G15" s="12" t="s">
        <v>90</v>
      </c>
      <c r="H15" s="12"/>
    </row>
    <row r="16" spans="1:15" ht="409.5" x14ac:dyDescent="0.55000000000000004">
      <c r="C16">
        <v>4</v>
      </c>
      <c r="E16">
        <v>6</v>
      </c>
      <c r="G16" s="12" t="s">
        <v>155</v>
      </c>
      <c r="H16" s="64" t="s">
        <v>158</v>
      </c>
    </row>
    <row r="17" spans="3:8" x14ac:dyDescent="0.55000000000000004">
      <c r="C17">
        <v>5</v>
      </c>
      <c r="E17">
        <v>7</v>
      </c>
      <c r="G17" s="12" t="s">
        <v>156</v>
      </c>
      <c r="H17" s="12">
        <v>1</v>
      </c>
    </row>
    <row r="18" spans="3:8" x14ac:dyDescent="0.55000000000000004">
      <c r="C18">
        <v>6</v>
      </c>
      <c r="E18">
        <v>8</v>
      </c>
    </row>
    <row r="19" spans="3:8" x14ac:dyDescent="0.55000000000000004">
      <c r="C19">
        <v>7</v>
      </c>
      <c r="E19">
        <v>9</v>
      </c>
    </row>
    <row r="20" spans="3:8" x14ac:dyDescent="0.55000000000000004">
      <c r="C20">
        <v>8</v>
      </c>
    </row>
    <row r="21" spans="3:8" x14ac:dyDescent="0.55000000000000004">
      <c r="C21">
        <v>9</v>
      </c>
    </row>
    <row r="22" spans="3:8" x14ac:dyDescent="0.55000000000000004">
      <c r="C22">
        <v>10</v>
      </c>
    </row>
    <row r="23" spans="3:8" x14ac:dyDescent="0.55000000000000004">
      <c r="C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3334DCE-CB88-443B-B4B9-733CAB7E40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Maren</dc:creator>
  <cp:lastModifiedBy>Josh Barua</cp:lastModifiedBy>
  <dcterms:created xsi:type="dcterms:W3CDTF">2008-01-30T00:41:58Z</dcterms:created>
  <dcterms:modified xsi:type="dcterms:W3CDTF">2018-10-25T16:49:27Z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Microsoft.NodeXL.ExcelTemplate.vsto|aa51c0f3-62b4-4782-83a8-a15dcdd17698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