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1258" documentId="11_0CE42AC628012050AACB9026AEFF9114AFBE6E4B" xr6:coauthVersionLast="47" xr6:coauthVersionMax="47" xr10:uidLastSave="{68E3B034-823E-4166-A5AB-1B35CEBDFFA6}"/>
  <bookViews>
    <workbookView xWindow="-108" yWindow="-108" windowWidth="23256" windowHeight="12456" tabRatio="567" activeTab="1" xr2:uid="{00000000-000D-0000-FFFF-FFFF00000000}"/>
  </bookViews>
  <sheets>
    <sheet name="SRT" sheetId="24" r:id="rId1"/>
    <sheet name="STAT" sheetId="27" r:id="rId2"/>
  </sheets>
  <definedNames>
    <definedName name="_xlnm._FilterDatabase" localSheetId="0" hidden="1">SRT!$A$1:$J$1152</definedName>
    <definedName name="JR_PAGE_ANCHOR_0_1">#REF!</definedName>
    <definedName name="JR_PAGE_ANCHOR_1_1">#REF!</definedName>
    <definedName name="JR_PAGE_ANCHOR_10_1">#REF!</definedName>
    <definedName name="JR_PAGE_ANCHOR_11_1">#REF!</definedName>
    <definedName name="JR_PAGE_ANCHOR_12_1">#REF!</definedName>
    <definedName name="JR_PAGE_ANCHOR_13_1">#REF!</definedName>
    <definedName name="JR_PAGE_ANCHOR_14_1">#REF!</definedName>
    <definedName name="JR_PAGE_ANCHOR_15_1">#REF!</definedName>
    <definedName name="JR_PAGE_ANCHOR_16_1">#REF!</definedName>
    <definedName name="JR_PAGE_ANCHOR_17_1">#REF!</definedName>
    <definedName name="JR_PAGE_ANCHOR_18_1">#REF!</definedName>
    <definedName name="JR_PAGE_ANCHOR_19_1">#REF!</definedName>
    <definedName name="JR_PAGE_ANCHOR_2_1">#REF!</definedName>
    <definedName name="JR_PAGE_ANCHOR_20_1">#REF!</definedName>
    <definedName name="JR_PAGE_ANCHOR_21_1">#REF!</definedName>
    <definedName name="JR_PAGE_ANCHOR_3_1">#REF!</definedName>
    <definedName name="JR_PAGE_ANCHOR_4_1">#REF!</definedName>
    <definedName name="JR_PAGE_ANCHOR_5_1">#REF!</definedName>
    <definedName name="JR_PAGE_ANCHOR_6_1">#REF!</definedName>
    <definedName name="JR_PAGE_ANCHOR_7_1">#REF!</definedName>
    <definedName name="JR_PAGE_ANCHOR_8_1">#REF!</definedName>
    <definedName name="JR_PAGE_ANCHOR_9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27" l="1"/>
  <c r="F42" i="27"/>
  <c r="E42" i="27"/>
  <c r="D42" i="27"/>
  <c r="C42" i="27"/>
  <c r="B42" i="27"/>
  <c r="G41" i="27" a="1"/>
  <c r="G41" i="27" s="1"/>
  <c r="F41" i="27" a="1"/>
  <c r="F41" i="27" s="1"/>
  <c r="E41" i="27" a="1"/>
  <c r="E41" i="27" s="1"/>
  <c r="D41" i="27" a="1"/>
  <c r="D41" i="27" s="1"/>
  <c r="C41" i="27" a="1"/>
  <c r="C41" i="27" s="1"/>
  <c r="B41" i="27" a="1"/>
  <c r="B41" i="27" s="1"/>
  <c r="G40" i="27" a="1"/>
  <c r="G40" i="27" s="1"/>
  <c r="F40" i="27" a="1"/>
  <c r="F40" i="27" s="1"/>
  <c r="E40" i="27" a="1"/>
  <c r="E40" i="27" s="1"/>
  <c r="D40" i="27" a="1"/>
  <c r="D40" i="27" s="1"/>
  <c r="C40" i="27" a="1"/>
  <c r="C40" i="27" s="1"/>
  <c r="B40" i="27" a="1"/>
  <c r="B40" i="27" s="1"/>
  <c r="G39" i="27" a="1"/>
  <c r="G39" i="27" s="1"/>
  <c r="F39" i="27" a="1"/>
  <c r="F39" i="27" s="1"/>
  <c r="E39" i="27" a="1"/>
  <c r="E39" i="27" s="1"/>
  <c r="D39" i="27" a="1"/>
  <c r="D39" i="27" s="1"/>
  <c r="C39" i="27" a="1"/>
  <c r="C39" i="27" s="1"/>
  <c r="B39" i="27" a="1"/>
  <c r="B39" i="27" s="1"/>
  <c r="G36" i="27"/>
  <c r="F36" i="27"/>
  <c r="E36" i="27"/>
  <c r="D36" i="27"/>
  <c r="C36" i="27"/>
  <c r="B36" i="27"/>
  <c r="G35" i="27"/>
  <c r="F35" i="27"/>
  <c r="E35" i="27"/>
  <c r="D35" i="27"/>
  <c r="C35" i="27"/>
  <c r="B35" i="27"/>
  <c r="G34" i="27"/>
  <c r="F34" i="27"/>
  <c r="E34" i="27"/>
  <c r="D34" i="27"/>
  <c r="C34" i="27"/>
  <c r="B34" i="27"/>
  <c r="G33" i="27"/>
  <c r="F33" i="27"/>
  <c r="E33" i="27"/>
  <c r="D33" i="27"/>
  <c r="C33" i="27"/>
  <c r="B33" i="27"/>
  <c r="N32" i="27" a="1"/>
  <c r="N32" i="27" s="1"/>
  <c r="G32" i="27"/>
  <c r="F32" i="27"/>
  <c r="E32" i="27"/>
  <c r="D32" i="27"/>
  <c r="C32" i="27"/>
  <c r="B32" i="27"/>
  <c r="N31" i="27" a="1"/>
  <c r="N31" i="27" s="1"/>
  <c r="G31" i="27" a="1"/>
  <c r="G31" i="27" s="1"/>
  <c r="F31" i="27" a="1"/>
  <c r="F31" i="27" s="1"/>
  <c r="E31" i="27" a="1"/>
  <c r="E31" i="27" s="1"/>
  <c r="D31" i="27" a="1"/>
  <c r="D31" i="27" s="1"/>
  <c r="C31" i="27" a="1"/>
  <c r="C31" i="27" s="1"/>
  <c r="B31" i="27" a="1"/>
  <c r="B31" i="27" s="1"/>
  <c r="N30" i="27" a="1"/>
  <c r="N30" i="27" s="1"/>
  <c r="G30" i="27"/>
  <c r="F30" i="27"/>
  <c r="E30" i="27"/>
  <c r="D30" i="27"/>
  <c r="C30" i="27"/>
  <c r="B30" i="27"/>
  <c r="N29" i="27" a="1"/>
  <c r="N29" i="27" s="1"/>
  <c r="G29" i="27" a="1"/>
  <c r="G29" i="27" s="1"/>
  <c r="F29" i="27" a="1"/>
  <c r="F29" i="27" s="1"/>
  <c r="E29" i="27" a="1"/>
  <c r="E29" i="27" s="1"/>
  <c r="D29" i="27" a="1"/>
  <c r="D29" i="27" s="1"/>
  <c r="C29" i="27" a="1"/>
  <c r="C29" i="27" s="1"/>
  <c r="B29" i="27" a="1"/>
  <c r="B29" i="27" s="1"/>
  <c r="M28" i="27"/>
  <c r="G28" i="27" a="1"/>
  <c r="G28" i="27" s="1"/>
  <c r="F28" i="27" a="1"/>
  <c r="F28" i="27" s="1"/>
  <c r="E28" i="27" a="1"/>
  <c r="E28" i="27" s="1"/>
  <c r="D28" i="27" a="1"/>
  <c r="D28" i="27" s="1"/>
  <c r="C28" i="27" a="1"/>
  <c r="C28" i="27" s="1"/>
  <c r="B28" i="27" a="1"/>
  <c r="B28" i="27" s="1"/>
  <c r="G27" i="27"/>
  <c r="F27" i="27"/>
  <c r="E27" i="27"/>
  <c r="D27" i="27"/>
  <c r="C27" i="27"/>
  <c r="B27" i="27"/>
  <c r="G26" i="27" a="1"/>
  <c r="G26" i="27" s="1"/>
  <c r="F26" i="27" a="1"/>
  <c r="F26" i="27" s="1"/>
  <c r="E26" i="27" a="1"/>
  <c r="E26" i="27" s="1"/>
  <c r="D26" i="27" a="1"/>
  <c r="D26" i="27" s="1"/>
  <c r="C26" i="27" a="1"/>
  <c r="C26" i="27" s="1"/>
  <c r="B26" i="27" a="1"/>
  <c r="B26" i="27" s="1"/>
  <c r="G25" i="27" a="1"/>
  <c r="G25" i="27" s="1"/>
  <c r="F25" i="27" a="1"/>
  <c r="F25" i="27" s="1"/>
  <c r="E25" i="27" a="1"/>
  <c r="E25" i="27" s="1"/>
  <c r="D25" i="27" a="1"/>
  <c r="D25" i="27" s="1"/>
  <c r="C25" i="27" a="1"/>
  <c r="C25" i="27" s="1"/>
  <c r="B25" i="27" a="1"/>
  <c r="B25" i="27" s="1"/>
  <c r="G24" i="27"/>
  <c r="F24" i="27"/>
  <c r="E24" i="27"/>
  <c r="D24" i="27"/>
  <c r="C24" i="27"/>
  <c r="B24" i="27"/>
  <c r="M19" i="27" a="1"/>
  <c r="M19" i="27" s="1"/>
  <c r="G16" i="27"/>
  <c r="F16" i="27"/>
  <c r="E16" i="27"/>
  <c r="D16" i="27"/>
  <c r="C16" i="27"/>
  <c r="B16" i="27"/>
  <c r="G15" i="27"/>
  <c r="F15" i="27"/>
  <c r="E15" i="27"/>
  <c r="D15" i="27"/>
  <c r="C15" i="27"/>
  <c r="B15" i="27"/>
  <c r="G14" i="27"/>
  <c r="F14" i="27"/>
  <c r="E14" i="27"/>
  <c r="D14" i="27"/>
  <c r="C14" i="27"/>
  <c r="B14" i="27"/>
  <c r="G13" i="27"/>
  <c r="F13" i="27"/>
  <c r="E13" i="27"/>
  <c r="D13" i="27"/>
  <c r="C13" i="27"/>
  <c r="B13" i="27"/>
  <c r="G12" i="27"/>
  <c r="F12" i="27"/>
  <c r="E12" i="27"/>
  <c r="D12" i="27"/>
  <c r="C12" i="27"/>
  <c r="B12" i="27"/>
  <c r="G11" i="27"/>
  <c r="F11" i="27"/>
  <c r="E11" i="27"/>
  <c r="D11" i="27"/>
  <c r="C11" i="27"/>
  <c r="B11" i="27"/>
  <c r="G10" i="27"/>
  <c r="F10" i="27"/>
  <c r="E10" i="27"/>
  <c r="D10" i="27"/>
  <c r="C10" i="27"/>
  <c r="B10" i="27"/>
  <c r="G9" i="27"/>
  <c r="F9" i="27"/>
  <c r="E9" i="27"/>
  <c r="D9" i="27"/>
  <c r="C9" i="27"/>
  <c r="B9" i="27"/>
  <c r="G6" i="27"/>
  <c r="F6" i="27"/>
  <c r="E6" i="27"/>
  <c r="D6" i="27"/>
  <c r="C6" i="27"/>
  <c r="B6" i="27"/>
  <c r="G5" i="27"/>
  <c r="F5" i="27"/>
  <c r="E5" i="27"/>
  <c r="D5" i="27"/>
  <c r="C5" i="27"/>
  <c r="B5" i="27"/>
  <c r="G4" i="27"/>
  <c r="F4" i="27"/>
  <c r="E4" i="27"/>
  <c r="D4" i="27"/>
  <c r="C4" i="27"/>
  <c r="B4" i="27"/>
  <c r="H44" i="27"/>
  <c r="G44" i="27"/>
  <c r="F44" i="27"/>
  <c r="E44" i="27"/>
  <c r="E3" i="27" s="1"/>
  <c r="D44" i="27"/>
  <c r="C44" i="27"/>
  <c r="B44" i="27"/>
  <c r="A44" i="27"/>
  <c r="G3" i="27"/>
  <c r="F3" i="27"/>
  <c r="D3" i="27"/>
  <c r="C3" i="27"/>
  <c r="B3" i="27"/>
  <c r="E2" i="27"/>
  <c r="D2" i="27"/>
  <c r="C2" i="27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4" i="24"/>
  <c r="J75" i="24"/>
  <c r="J76" i="24"/>
  <c r="J77" i="24"/>
  <c r="J78" i="24"/>
  <c r="J79" i="24"/>
  <c r="J80" i="24"/>
  <c r="J81" i="24"/>
  <c r="J82" i="24"/>
  <c r="J83" i="24"/>
  <c r="J84" i="24"/>
  <c r="J85" i="24"/>
  <c r="J86" i="24"/>
  <c r="J87" i="24"/>
  <c r="J88" i="24"/>
  <c r="J89" i="24"/>
  <c r="J90" i="24"/>
  <c r="J91" i="24"/>
  <c r="J92" i="24"/>
  <c r="J93" i="24"/>
  <c r="J94" i="24"/>
  <c r="J95" i="24"/>
  <c r="J96" i="24"/>
  <c r="J97" i="24"/>
  <c r="J98" i="24"/>
  <c r="J99" i="24"/>
  <c r="J100" i="24"/>
  <c r="J101" i="24"/>
  <c r="J102" i="24"/>
  <c r="J103" i="24"/>
  <c r="J104" i="24"/>
  <c r="J105" i="24"/>
  <c r="J106" i="24"/>
  <c r="J107" i="24"/>
  <c r="J108" i="24"/>
  <c r="J109" i="24"/>
  <c r="J110" i="24"/>
  <c r="J111" i="24"/>
  <c r="J112" i="24"/>
  <c r="J113" i="24"/>
  <c r="J114" i="24"/>
  <c r="J115" i="24"/>
  <c r="J116" i="24"/>
  <c r="J117" i="24"/>
  <c r="J118" i="24"/>
  <c r="J119" i="24"/>
  <c r="J120" i="24"/>
  <c r="J121" i="24"/>
  <c r="J122" i="24"/>
  <c r="J123" i="24"/>
  <c r="J124" i="24"/>
  <c r="J125" i="24"/>
  <c r="J126" i="24"/>
  <c r="J127" i="24"/>
  <c r="J2" i="24"/>
  <c r="G38" i="27" s="1"/>
  <c r="G37" i="27" l="1"/>
  <c r="C21" i="27"/>
  <c r="C23" i="27"/>
  <c r="B21" i="27"/>
  <c r="M5" i="27"/>
  <c r="M7" i="27" s="1"/>
  <c r="F2" i="27"/>
  <c r="E17" i="27"/>
  <c r="B23" i="27"/>
  <c r="D19" i="27"/>
  <c r="D23" i="27"/>
  <c r="C20" i="27"/>
  <c r="D20" i="27"/>
  <c r="B17" i="27"/>
  <c r="B18" i="27"/>
  <c r="B20" i="27"/>
  <c r="D18" i="27"/>
  <c r="D21" i="27"/>
  <c r="D17" i="27"/>
  <c r="B19" i="27"/>
  <c r="R6" i="27" l="1"/>
  <c r="D22" i="27"/>
  <c r="E23" i="27"/>
  <c r="E20" i="27"/>
  <c r="E21" i="27"/>
  <c r="E18" i="27"/>
  <c r="B22" i="27"/>
  <c r="G2" i="27"/>
  <c r="F17" i="27"/>
  <c r="F19" i="27"/>
  <c r="C17" i="27"/>
  <c r="E19" i="27"/>
  <c r="C18" i="27"/>
  <c r="C19" i="27"/>
  <c r="F21" i="27" l="1"/>
  <c r="M21" i="27"/>
  <c r="M24" i="27"/>
  <c r="M25" i="27"/>
  <c r="R30" i="27" s="1"/>
  <c r="S31" i="27" s="1" a="1"/>
  <c r="S31" i="27" s="1"/>
  <c r="M23" i="27"/>
  <c r="R14" i="27"/>
  <c r="M17" i="27"/>
  <c r="M22" i="27"/>
  <c r="M26" i="27"/>
  <c r="M20" i="27"/>
  <c r="R15" i="27"/>
  <c r="N36" i="27"/>
  <c r="G21" i="27"/>
  <c r="R23" i="27"/>
  <c r="S23" i="27" s="1"/>
  <c r="N12" i="27"/>
  <c r="M27" i="27"/>
  <c r="M18" i="27"/>
  <c r="R13" i="27"/>
  <c r="S13" i="27" s="1"/>
  <c r="C22" i="27"/>
  <c r="N14" i="27"/>
  <c r="F18" i="27"/>
  <c r="E22" i="27"/>
  <c r="F20" i="27"/>
  <c r="F23" i="27"/>
  <c r="R28" i="27" l="1"/>
  <c r="S28" i="27" s="1"/>
  <c r="M41" i="27"/>
  <c r="R18" i="27"/>
  <c r="R29" i="27"/>
  <c r="R31" i="27"/>
  <c r="R32" i="27"/>
  <c r="R17" i="27"/>
  <c r="S17" i="27" s="1" a="1"/>
  <c r="S17" i="27" s="1"/>
  <c r="R20" i="27"/>
  <c r="G17" i="27"/>
  <c r="N35" i="27"/>
  <c r="N13" i="27"/>
  <c r="G19" i="27"/>
  <c r="G20" i="27"/>
  <c r="M40" i="27" s="1"/>
  <c r="G23" i="27"/>
  <c r="H21" i="27"/>
  <c r="R37" i="27"/>
  <c r="N15" i="27"/>
  <c r="N10" i="27"/>
  <c r="G18" i="27"/>
  <c r="R12" i="27"/>
  <c r="S12" i="27" s="1"/>
  <c r="M4" i="27"/>
  <c r="N9" i="27"/>
  <c r="F22" i="27"/>
  <c r="R16" i="27"/>
  <c r="S16" i="27" s="1"/>
  <c r="H20" i="27" l="1"/>
  <c r="M39" i="27"/>
  <c r="H19" i="27"/>
  <c r="G22" i="27"/>
  <c r="M38" i="27"/>
  <c r="H18" i="27"/>
  <c r="M37" i="27"/>
  <c r="H17" i="27"/>
  <c r="M36" i="27"/>
  <c r="M35" i="27"/>
  <c r="M15" i="27"/>
  <c r="M29" i="27"/>
  <c r="M14" i="27"/>
  <c r="M31" i="27"/>
  <c r="M13" i="27"/>
  <c r="M32" i="27"/>
  <c r="M12" i="27"/>
  <c r="R9" i="27"/>
  <c r="R8" i="27"/>
  <c r="S8" i="27" s="1"/>
  <c r="M9" i="27"/>
  <c r="M10" i="27"/>
  <c r="M30" i="27"/>
  <c r="R21" i="27" l="1"/>
  <c r="R26" i="27"/>
  <c r="R40" i="27"/>
  <c r="R7" i="27"/>
  <c r="S7" i="27" s="1"/>
  <c r="R25" i="27"/>
  <c r="R24" i="27"/>
  <c r="R5" i="27"/>
  <c r="S5" i="27" s="1"/>
  <c r="R39" i="27"/>
  <c r="R27" i="27"/>
  <c r="R33" i="27"/>
  <c r="H22" i="27"/>
  <c r="M42" i="27"/>
  <c r="R22" i="27"/>
  <c r="R10" i="27"/>
  <c r="S26" i="27" l="1"/>
  <c r="S21" i="27"/>
  <c r="S27" i="27"/>
  <c r="S22" i="27"/>
  <c r="S41" i="27" l="1"/>
  <c r="R44" i="27"/>
  <c r="J732" i="24"/>
  <c r="J731" i="24"/>
  <c r="J730" i="24"/>
  <c r="J729" i="24"/>
  <c r="J728" i="24"/>
  <c r="J727" i="24"/>
  <c r="J726" i="24"/>
  <c r="J725" i="24"/>
  <c r="J724" i="24"/>
  <c r="J723" i="24"/>
  <c r="J722" i="24"/>
  <c r="J721" i="24"/>
  <c r="J720" i="24"/>
  <c r="J719" i="24"/>
  <c r="J718" i="24"/>
  <c r="J717" i="24"/>
  <c r="J716" i="24"/>
  <c r="J715" i="24"/>
  <c r="J714" i="24"/>
  <c r="J713" i="24"/>
  <c r="J712" i="24"/>
  <c r="J711" i="24"/>
  <c r="J710" i="24"/>
  <c r="J709" i="24"/>
  <c r="J708" i="24"/>
  <c r="J707" i="24"/>
  <c r="J706" i="24"/>
  <c r="J705" i="24"/>
  <c r="J704" i="24"/>
  <c r="J703" i="24"/>
  <c r="J702" i="24"/>
  <c r="J701" i="24"/>
  <c r="J700" i="24"/>
  <c r="J699" i="24"/>
  <c r="J698" i="24"/>
  <c r="J697" i="24"/>
  <c r="J696" i="24"/>
  <c r="J695" i="24"/>
  <c r="J694" i="24"/>
  <c r="J693" i="24"/>
  <c r="J692" i="24"/>
  <c r="J691" i="24"/>
  <c r="J690" i="24"/>
  <c r="J689" i="24"/>
  <c r="J688" i="24"/>
  <c r="J687" i="24"/>
  <c r="J686" i="24"/>
  <c r="J685" i="24"/>
  <c r="J684" i="24"/>
  <c r="J683" i="24"/>
  <c r="J682" i="24"/>
  <c r="J681" i="24"/>
  <c r="J680" i="24"/>
  <c r="J679" i="24"/>
  <c r="J678" i="24"/>
  <c r="J677" i="24"/>
  <c r="J676" i="24"/>
  <c r="J675" i="24"/>
  <c r="J674" i="24"/>
  <c r="J673" i="24"/>
  <c r="J672" i="24"/>
  <c r="J671" i="24"/>
  <c r="J670" i="24"/>
  <c r="J669" i="24"/>
  <c r="J668" i="24"/>
  <c r="J667" i="24"/>
  <c r="J666" i="24"/>
  <c r="J665" i="24"/>
  <c r="J664" i="24"/>
  <c r="J663" i="24"/>
  <c r="J662" i="24"/>
  <c r="J661" i="24"/>
  <c r="J660" i="24"/>
  <c r="J659" i="24"/>
  <c r="J658" i="24"/>
  <c r="J657" i="24"/>
  <c r="J656" i="24"/>
  <c r="J655" i="24"/>
  <c r="J654" i="24"/>
  <c r="J653" i="24"/>
  <c r="J652" i="24"/>
  <c r="J651" i="24"/>
  <c r="J650" i="24"/>
  <c r="J649" i="24"/>
  <c r="J648" i="24"/>
  <c r="J647" i="24"/>
  <c r="J646" i="24"/>
  <c r="J645" i="24"/>
  <c r="J644" i="24"/>
  <c r="J643" i="24"/>
  <c r="J642" i="24"/>
  <c r="J641" i="24"/>
  <c r="J640" i="24"/>
  <c r="J639" i="24"/>
  <c r="J638" i="24"/>
  <c r="J637" i="24"/>
  <c r="J636" i="24"/>
  <c r="J635" i="24"/>
  <c r="J634" i="24"/>
  <c r="J633" i="24"/>
  <c r="J632" i="24"/>
  <c r="J631" i="24"/>
  <c r="J630" i="24"/>
  <c r="J629" i="24"/>
  <c r="J628" i="24"/>
  <c r="J627" i="24"/>
  <c r="J626" i="24"/>
  <c r="J625" i="24"/>
  <c r="J624" i="24"/>
  <c r="J623" i="24"/>
  <c r="J622" i="24"/>
  <c r="J621" i="24"/>
  <c r="J620" i="24"/>
  <c r="J619" i="24"/>
  <c r="J618" i="24"/>
  <c r="J617" i="24"/>
  <c r="J616" i="24"/>
  <c r="J615" i="24"/>
  <c r="J614" i="24"/>
  <c r="J613" i="24"/>
  <c r="J612" i="24"/>
  <c r="J611" i="24"/>
  <c r="J610" i="24"/>
  <c r="J609" i="24"/>
  <c r="J608" i="24"/>
  <c r="J607" i="24"/>
  <c r="J606" i="24"/>
  <c r="J605" i="24"/>
  <c r="J604" i="24"/>
  <c r="J603" i="24"/>
  <c r="J602" i="24"/>
  <c r="J601" i="24"/>
  <c r="J600" i="24"/>
  <c r="J599" i="24"/>
  <c r="J598" i="24"/>
  <c r="J597" i="24"/>
  <c r="J596" i="24"/>
  <c r="J595" i="24"/>
  <c r="J594" i="24"/>
  <c r="J593" i="24"/>
  <c r="J592" i="24"/>
  <c r="J591" i="24"/>
  <c r="J590" i="24"/>
  <c r="J589" i="24"/>
  <c r="J588" i="24"/>
  <c r="J587" i="24"/>
  <c r="J586" i="24"/>
  <c r="J585" i="24"/>
  <c r="J584" i="24"/>
  <c r="J583" i="24"/>
  <c r="J582" i="24"/>
  <c r="J581" i="24"/>
  <c r="J580" i="24"/>
  <c r="J579" i="24"/>
  <c r="J578" i="24"/>
  <c r="J577" i="24"/>
  <c r="J576" i="24"/>
  <c r="J575" i="24"/>
  <c r="J574" i="24"/>
  <c r="J573" i="24"/>
  <c r="J572" i="24"/>
  <c r="J571" i="24"/>
  <c r="J570" i="24"/>
  <c r="J569" i="24"/>
  <c r="J568" i="24"/>
  <c r="J567" i="24"/>
  <c r="J566" i="24"/>
  <c r="J565" i="24"/>
  <c r="J564" i="24"/>
  <c r="J563" i="24"/>
  <c r="J562" i="24"/>
  <c r="J561" i="24"/>
  <c r="J560" i="24"/>
  <c r="J559" i="24"/>
  <c r="J558" i="24"/>
  <c r="J557" i="24"/>
  <c r="J556" i="24"/>
  <c r="J555" i="24"/>
  <c r="J554" i="24"/>
  <c r="J553" i="24"/>
  <c r="J552" i="24"/>
  <c r="J551" i="24"/>
  <c r="J550" i="24"/>
  <c r="J549" i="24"/>
  <c r="J548" i="24"/>
  <c r="J547" i="24"/>
  <c r="J546" i="24"/>
  <c r="J545" i="24"/>
  <c r="J544" i="24"/>
  <c r="J543" i="24"/>
  <c r="J542" i="24"/>
  <c r="J541" i="24"/>
  <c r="J540" i="24"/>
  <c r="J539" i="24"/>
  <c r="J538" i="24"/>
  <c r="J537" i="24"/>
  <c r="J536" i="24"/>
  <c r="J535" i="24"/>
  <c r="J534" i="24"/>
  <c r="J533" i="24"/>
  <c r="J532" i="24"/>
  <c r="J531" i="24"/>
  <c r="J530" i="24"/>
  <c r="J529" i="24"/>
  <c r="J528" i="24"/>
  <c r="J527" i="24"/>
  <c r="J526" i="24"/>
  <c r="J525" i="24"/>
  <c r="J524" i="24"/>
  <c r="J523" i="24"/>
  <c r="J522" i="24"/>
  <c r="J521" i="24"/>
  <c r="J520" i="24"/>
  <c r="J519" i="24"/>
  <c r="J518" i="24"/>
  <c r="J517" i="24"/>
  <c r="J516" i="24"/>
  <c r="J515" i="24"/>
  <c r="J514" i="24"/>
  <c r="J513" i="24"/>
  <c r="J512" i="24"/>
  <c r="J511" i="24"/>
  <c r="J510" i="24"/>
  <c r="J509" i="24"/>
  <c r="J508" i="24"/>
  <c r="J507" i="24"/>
  <c r="J506" i="24"/>
  <c r="J505" i="24"/>
  <c r="J504" i="24"/>
  <c r="J503" i="24"/>
  <c r="J502" i="24"/>
  <c r="J501" i="24"/>
  <c r="J500" i="24"/>
  <c r="J499" i="24"/>
  <c r="J498" i="24"/>
  <c r="J497" i="24"/>
  <c r="J496" i="24"/>
  <c r="J495" i="24"/>
  <c r="J494" i="24"/>
  <c r="J493" i="24"/>
  <c r="J492" i="24"/>
  <c r="J491" i="24"/>
  <c r="J490" i="24"/>
  <c r="J489" i="24"/>
  <c r="J488" i="24"/>
  <c r="J487" i="24"/>
  <c r="J486" i="24"/>
  <c r="J485" i="24"/>
  <c r="J484" i="24"/>
  <c r="J483" i="24"/>
  <c r="J482" i="24"/>
  <c r="J481" i="24"/>
  <c r="J480" i="24"/>
  <c r="J479" i="24"/>
  <c r="J478" i="24"/>
  <c r="J477" i="24"/>
  <c r="J476" i="24"/>
  <c r="J475" i="24"/>
  <c r="J474" i="24"/>
  <c r="J473" i="24"/>
  <c r="J472" i="24"/>
  <c r="J471" i="24"/>
  <c r="J470" i="24"/>
  <c r="J469" i="24"/>
  <c r="J468" i="24"/>
  <c r="J467" i="24"/>
  <c r="J466" i="24"/>
  <c r="J465" i="24"/>
  <c r="J464" i="24"/>
  <c r="J463" i="24"/>
  <c r="J462" i="24"/>
  <c r="J461" i="24"/>
  <c r="J460" i="24"/>
  <c r="J459" i="24"/>
  <c r="J458" i="24"/>
  <c r="J457" i="24"/>
  <c r="J456" i="24"/>
  <c r="J455" i="24"/>
  <c r="J454" i="24"/>
  <c r="J453" i="24"/>
  <c r="J452" i="24"/>
  <c r="J451" i="24"/>
  <c r="J450" i="24"/>
  <c r="J449" i="24"/>
  <c r="J448" i="24"/>
  <c r="J447" i="24"/>
  <c r="J446" i="24"/>
  <c r="J445" i="24"/>
  <c r="J444" i="24"/>
  <c r="J443" i="24"/>
  <c r="J442" i="24"/>
  <c r="J441" i="24"/>
  <c r="J440" i="24"/>
  <c r="J439" i="24"/>
  <c r="J438" i="24"/>
  <c r="J437" i="24"/>
  <c r="J436" i="24"/>
  <c r="J435" i="24"/>
  <c r="J434" i="24"/>
  <c r="J433" i="24"/>
  <c r="J432" i="24"/>
  <c r="J431" i="24"/>
  <c r="J430" i="24"/>
  <c r="J429" i="24"/>
  <c r="J428" i="24"/>
  <c r="J427" i="24"/>
  <c r="J426" i="24"/>
  <c r="J425" i="24"/>
  <c r="J424" i="24"/>
  <c r="J423" i="24"/>
  <c r="J422" i="24"/>
  <c r="J421" i="24"/>
  <c r="J420" i="24"/>
  <c r="J419" i="24"/>
  <c r="J418" i="24"/>
  <c r="J417" i="24"/>
  <c r="J416" i="24"/>
  <c r="J415" i="24"/>
  <c r="J414" i="24"/>
  <c r="J413" i="24"/>
  <c r="J412" i="24"/>
  <c r="J411" i="24"/>
  <c r="J410" i="24"/>
  <c r="J409" i="24"/>
  <c r="J408" i="24"/>
  <c r="J407" i="24"/>
  <c r="J406" i="24"/>
  <c r="J405" i="24"/>
  <c r="J404" i="24"/>
  <c r="J403" i="24"/>
  <c r="J402" i="24"/>
  <c r="J401" i="24"/>
  <c r="J400" i="24"/>
  <c r="J399" i="24"/>
  <c r="J398" i="24"/>
  <c r="J397" i="24"/>
  <c r="J396" i="24"/>
  <c r="J395" i="24"/>
  <c r="J394" i="24"/>
  <c r="J393" i="24"/>
  <c r="J392" i="24"/>
  <c r="J391" i="24"/>
  <c r="J390" i="24"/>
  <c r="J389" i="24"/>
  <c r="J388" i="24"/>
  <c r="J387" i="24"/>
  <c r="J386" i="24"/>
  <c r="J385" i="24"/>
  <c r="J384" i="24"/>
  <c r="J383" i="24"/>
  <c r="J382" i="24"/>
  <c r="J381" i="24"/>
  <c r="J380" i="24"/>
  <c r="J379" i="24"/>
  <c r="J378" i="24"/>
  <c r="J377" i="24"/>
  <c r="J376" i="24"/>
  <c r="J375" i="24"/>
  <c r="J374" i="24"/>
  <c r="J373" i="24"/>
  <c r="J372" i="24"/>
  <c r="J371" i="24"/>
  <c r="J370" i="24"/>
  <c r="J369" i="24"/>
  <c r="J368" i="24"/>
  <c r="J367" i="24"/>
  <c r="J366" i="24"/>
  <c r="J365" i="24"/>
  <c r="J364" i="24"/>
  <c r="J363" i="24"/>
  <c r="J362" i="24"/>
  <c r="J361" i="24"/>
  <c r="J360" i="24"/>
  <c r="J359" i="24"/>
  <c r="J358" i="24"/>
  <c r="J357" i="24"/>
  <c r="J356" i="24"/>
  <c r="J355" i="24"/>
  <c r="J354" i="24"/>
  <c r="J353" i="24"/>
  <c r="J352" i="24"/>
  <c r="J351" i="24"/>
  <c r="J350" i="24"/>
  <c r="J349" i="24"/>
  <c r="J348" i="24"/>
  <c r="J347" i="24"/>
  <c r="J346" i="24"/>
  <c r="J345" i="24"/>
  <c r="J344" i="24"/>
  <c r="J343" i="24"/>
  <c r="J342" i="24"/>
  <c r="J341" i="24"/>
  <c r="J340" i="24"/>
  <c r="J339" i="24"/>
  <c r="J338" i="24"/>
  <c r="J337" i="24"/>
  <c r="J336" i="24"/>
  <c r="J335" i="24"/>
  <c r="J334" i="24"/>
  <c r="J333" i="24"/>
  <c r="J332" i="24"/>
  <c r="J331" i="24"/>
  <c r="J330" i="24"/>
  <c r="J329" i="24"/>
  <c r="J328" i="24"/>
  <c r="J327" i="24"/>
  <c r="J326" i="24"/>
  <c r="J325" i="24"/>
  <c r="J324" i="24"/>
  <c r="J323" i="24"/>
  <c r="J322" i="24"/>
  <c r="J321" i="24"/>
  <c r="J320" i="24"/>
  <c r="J319" i="24"/>
  <c r="J318" i="24"/>
  <c r="J317" i="24"/>
  <c r="J316" i="24"/>
  <c r="J315" i="24"/>
  <c r="J314" i="24"/>
  <c r="J313" i="24"/>
  <c r="J312" i="24"/>
  <c r="J311" i="24"/>
  <c r="J310" i="24"/>
  <c r="J309" i="24"/>
  <c r="J308" i="24"/>
  <c r="J307" i="24"/>
  <c r="J306" i="24"/>
  <c r="J305" i="24"/>
  <c r="J304" i="24"/>
  <c r="J303" i="24"/>
  <c r="J302" i="24"/>
  <c r="J301" i="24"/>
  <c r="J300" i="24"/>
  <c r="J299" i="24"/>
  <c r="J298" i="24"/>
  <c r="J297" i="24"/>
  <c r="J296" i="24"/>
  <c r="J295" i="24"/>
  <c r="J294" i="24"/>
  <c r="J293" i="24"/>
  <c r="J292" i="24"/>
  <c r="J291" i="24"/>
  <c r="J290" i="24"/>
  <c r="J289" i="24"/>
  <c r="J288" i="24"/>
  <c r="J287" i="24"/>
  <c r="J286" i="24"/>
  <c r="J285" i="24"/>
  <c r="J284" i="24"/>
  <c r="J283" i="24"/>
  <c r="J282" i="24"/>
  <c r="J281" i="24"/>
  <c r="J280" i="24"/>
  <c r="J279" i="24"/>
  <c r="J278" i="24"/>
  <c r="J277" i="24"/>
  <c r="J276" i="24"/>
  <c r="J275" i="24"/>
  <c r="J274" i="24"/>
  <c r="J273" i="24"/>
  <c r="J272" i="24"/>
  <c r="J271" i="24"/>
  <c r="J270" i="24"/>
  <c r="J269" i="24"/>
  <c r="J268" i="24"/>
  <c r="J267" i="24"/>
  <c r="J266" i="24"/>
  <c r="J265" i="24"/>
  <c r="J264" i="24"/>
  <c r="J263" i="24"/>
  <c r="J262" i="24"/>
  <c r="J261" i="24"/>
  <c r="J260" i="24"/>
  <c r="J259" i="24"/>
  <c r="J258" i="24"/>
  <c r="J257" i="24"/>
  <c r="J256" i="24"/>
  <c r="J255" i="24"/>
  <c r="J254" i="24"/>
  <c r="J253" i="24"/>
  <c r="J252" i="24"/>
  <c r="J251" i="24"/>
  <c r="J250" i="24"/>
  <c r="J249" i="24"/>
  <c r="J248" i="24"/>
  <c r="J247" i="24"/>
  <c r="J246" i="24"/>
  <c r="J245" i="24"/>
  <c r="J244" i="24"/>
  <c r="J243" i="24"/>
  <c r="J242" i="24"/>
  <c r="J241" i="24"/>
  <c r="J240" i="24"/>
  <c r="J239" i="24"/>
  <c r="J238" i="24"/>
  <c r="J237" i="24"/>
  <c r="J236" i="24"/>
  <c r="J235" i="24"/>
  <c r="J234" i="24"/>
  <c r="J233" i="24"/>
  <c r="J232" i="24"/>
  <c r="J231" i="24"/>
  <c r="J230" i="24"/>
  <c r="J229" i="24"/>
  <c r="J228" i="24"/>
  <c r="J227" i="24"/>
  <c r="J226" i="24"/>
  <c r="J225" i="24"/>
  <c r="J224" i="24"/>
  <c r="J223" i="24"/>
  <c r="J222" i="24"/>
  <c r="J221" i="24"/>
  <c r="J220" i="24"/>
  <c r="J219" i="24"/>
  <c r="J218" i="24"/>
  <c r="J217" i="24"/>
  <c r="J216" i="24"/>
  <c r="J215" i="24"/>
  <c r="J214" i="24"/>
  <c r="J213" i="24"/>
  <c r="J212" i="24"/>
  <c r="J211" i="24"/>
  <c r="J210" i="24"/>
  <c r="J209" i="24"/>
  <c r="J208" i="24"/>
  <c r="J207" i="24"/>
  <c r="J206" i="24"/>
  <c r="J205" i="24"/>
  <c r="J204" i="24"/>
  <c r="J203" i="24"/>
  <c r="J202" i="24"/>
  <c r="J201" i="24"/>
  <c r="J200" i="24"/>
  <c r="J199" i="24"/>
  <c r="J198" i="24"/>
  <c r="J197" i="24"/>
  <c r="J196" i="24"/>
  <c r="J195" i="24"/>
  <c r="J194" i="24"/>
  <c r="J193" i="24"/>
  <c r="J192" i="24"/>
  <c r="J191" i="24"/>
  <c r="J190" i="24"/>
  <c r="J189" i="24"/>
  <c r="J188" i="24"/>
  <c r="J187" i="24"/>
  <c r="J186" i="24"/>
  <c r="J185" i="24"/>
  <c r="J184" i="24"/>
  <c r="J183" i="24"/>
  <c r="J182" i="24"/>
  <c r="J181" i="24"/>
  <c r="J180" i="24"/>
  <c r="J179" i="24"/>
  <c r="J178" i="24"/>
  <c r="J177" i="24"/>
  <c r="J176" i="24"/>
  <c r="J175" i="24"/>
  <c r="J174" i="24"/>
  <c r="J173" i="24"/>
  <c r="J172" i="24"/>
  <c r="J171" i="24"/>
  <c r="J170" i="24"/>
  <c r="J169" i="24"/>
  <c r="J168" i="24"/>
  <c r="J167" i="24"/>
  <c r="J166" i="24"/>
  <c r="J165" i="24"/>
  <c r="J164" i="24"/>
  <c r="J163" i="24"/>
  <c r="J162" i="24"/>
  <c r="J161" i="24"/>
  <c r="J160" i="24"/>
  <c r="J159" i="24"/>
  <c r="J158" i="24"/>
  <c r="J157" i="24"/>
  <c r="J156" i="24"/>
  <c r="J155" i="24"/>
  <c r="J154" i="24"/>
  <c r="J153" i="24"/>
  <c r="J152" i="24"/>
  <c r="J151" i="24"/>
  <c r="J150" i="24"/>
  <c r="J149" i="24"/>
  <c r="J148" i="24"/>
  <c r="J147" i="24"/>
  <c r="J146" i="24"/>
  <c r="J145" i="24"/>
  <c r="J144" i="24"/>
  <c r="J143" i="24"/>
  <c r="J142" i="24"/>
  <c r="J141" i="24"/>
  <c r="J140" i="24"/>
  <c r="J139" i="24"/>
  <c r="J138" i="24"/>
  <c r="J137" i="24"/>
  <c r="J136" i="24"/>
  <c r="J135" i="24"/>
  <c r="J134" i="24"/>
  <c r="J133" i="24"/>
  <c r="J132" i="24"/>
  <c r="J131" i="24"/>
  <c r="J130" i="24"/>
  <c r="J129" i="24"/>
  <c r="J128" i="24"/>
  <c r="B38" i="27" l="1"/>
  <c r="B37" i="27"/>
  <c r="D37" i="27"/>
  <c r="D38" i="27"/>
  <c r="F38" i="27"/>
  <c r="F37" i="27"/>
  <c r="E37" i="27"/>
  <c r="E38" i="27"/>
  <c r="C38" i="27"/>
  <c r="C37" i="27"/>
  <c r="N33" i="27" l="1"/>
  <c r="M33" i="27"/>
  <c r="R11" i="27" s="1"/>
  <c r="S11" i="27" s="1"/>
  <c r="Q44" i="27" s="1"/>
  <c r="N34" i="27"/>
  <c r="M34" i="27"/>
  <c r="R41" i="2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<sst xmlns="http://schemas.openxmlformats.org/spreadsheetml/2006/main" count="4759" uniqueCount="277">
  <si>
    <t>Date</t>
  </si>
  <si>
    <t>Debit</t>
  </si>
  <si>
    <t>Credit</t>
  </si>
  <si>
    <t>Balance</t>
  </si>
  <si>
    <t>First Level Classification</t>
  </si>
  <si>
    <t>NEFT Receipt</t>
  </si>
  <si>
    <t>Online Payment</t>
  </si>
  <si>
    <t>RTGS Receipt</t>
  </si>
  <si>
    <t>Online Receipt</t>
  </si>
  <si>
    <t>RTGS Payment</t>
  </si>
  <si>
    <t>IMPS Receipt</t>
  </si>
  <si>
    <t>Cash Withdrawal</t>
  </si>
  <si>
    <t>Company Expense</t>
  </si>
  <si>
    <t>NEFT Payment</t>
  </si>
  <si>
    <t>Salary</t>
  </si>
  <si>
    <t>Inhouse Payment</t>
  </si>
  <si>
    <t>Utility Payment</t>
  </si>
  <si>
    <t>Rent</t>
  </si>
  <si>
    <t>ECS/NACH Payment</t>
  </si>
  <si>
    <t>Working Capital</t>
  </si>
  <si>
    <t>Outward Online Return</t>
  </si>
  <si>
    <t>Inhouse Receipt</t>
  </si>
  <si>
    <t>Contra</t>
  </si>
  <si>
    <t>Investment</t>
  </si>
  <si>
    <t>Bank Charges</t>
  </si>
  <si>
    <t>IMPS Payment</t>
  </si>
  <si>
    <t>Cheque Payment</t>
  </si>
  <si>
    <t>Inward Online Return</t>
  </si>
  <si>
    <t>Cheque Receipt</t>
  </si>
  <si>
    <t>Insurance</t>
  </si>
  <si>
    <t>Cash Deposit</t>
  </si>
  <si>
    <t>Inward Cheque Return</t>
  </si>
  <si>
    <t>Loan</t>
  </si>
  <si>
    <t>Cash Return</t>
  </si>
  <si>
    <t>ECS/NACH Return</t>
  </si>
  <si>
    <t>#</t>
  </si>
  <si>
    <t>GRP</t>
  </si>
  <si>
    <t>C2</t>
  </si>
  <si>
    <t>C1</t>
  </si>
  <si>
    <t>EXP</t>
  </si>
  <si>
    <t>CASH</t>
  </si>
  <si>
    <t>BT</t>
  </si>
  <si>
    <t>RTN</t>
  </si>
  <si>
    <t>I/W CHQ RTN</t>
  </si>
  <si>
    <t>ECS PVT</t>
  </si>
  <si>
    <t>DBT</t>
  </si>
  <si>
    <t>ECS RTN</t>
  </si>
  <si>
    <t>ECS</t>
  </si>
  <si>
    <t>ZIH</t>
  </si>
  <si>
    <t>LOAN</t>
  </si>
  <si>
    <t xml:space="preserve">ECS </t>
  </si>
  <si>
    <t>ITA</t>
  </si>
  <si>
    <t>BT BLW 30K</t>
  </si>
  <si>
    <t>EMI</t>
  </si>
  <si>
    <t>CR</t>
  </si>
  <si>
    <t>Monthly Data (Bank Statement)</t>
  </si>
  <si>
    <t>M1</t>
  </si>
  <si>
    <t>M2</t>
  </si>
  <si>
    <t>M3</t>
  </si>
  <si>
    <t>M4</t>
  </si>
  <si>
    <t>M5</t>
  </si>
  <si>
    <t>M6</t>
  </si>
  <si>
    <t>M7</t>
  </si>
  <si>
    <t>EOD monthly balance</t>
  </si>
  <si>
    <t>S.No</t>
  </si>
  <si>
    <t>Data (Bank Statement)</t>
  </si>
  <si>
    <t>Value</t>
  </si>
  <si>
    <t>Sum</t>
  </si>
  <si>
    <t>Overall Metrics (Bank Statement)</t>
  </si>
  <si>
    <t>Score</t>
  </si>
  <si>
    <t>Credit (BT)</t>
  </si>
  <si>
    <t>Available Months</t>
  </si>
  <si>
    <t>SALES/PURCHASES</t>
  </si>
  <si>
    <t>Debit (BT)</t>
  </si>
  <si>
    <t>Average EOD monthly balance</t>
  </si>
  <si>
    <t>OD vs Credit (BT)</t>
  </si>
  <si>
    <t xml:space="preserve">Expense </t>
  </si>
  <si>
    <t>OD Limit</t>
  </si>
  <si>
    <t>OD Consumption</t>
  </si>
  <si>
    <t>Top 2 Credit (BT)</t>
  </si>
  <si>
    <t>Available Balance / Limit</t>
  </si>
  <si>
    <t xml:space="preserve">Dy. BT. Cr/Avg .Dy.Bal </t>
  </si>
  <si>
    <t>Top 2 Debit (BT)</t>
  </si>
  <si>
    <t>Credit (BT) Volatality</t>
  </si>
  <si>
    <t>ZIH Cr</t>
  </si>
  <si>
    <t>Debit (BT) Volatality</t>
  </si>
  <si>
    <t>ZIH Dr</t>
  </si>
  <si>
    <t>In house  Ratio</t>
  </si>
  <si>
    <t>DBT (Cr)</t>
  </si>
  <si>
    <t>LOANS</t>
  </si>
  <si>
    <t>ITA (Cr) Ratio</t>
  </si>
  <si>
    <t>DBT (Dr)</t>
  </si>
  <si>
    <t>Loan repayments( Bank)</t>
  </si>
  <si>
    <t>Sales trend</t>
  </si>
  <si>
    <t>Monthly Loan payments Bank</t>
  </si>
  <si>
    <t>Loan repayments( Pvt)</t>
  </si>
  <si>
    <t>Purchase trend</t>
  </si>
  <si>
    <t>Monthly Loan payments Pvt</t>
  </si>
  <si>
    <t>Loan received Bank</t>
  </si>
  <si>
    <t>Cash Trn Ratio (Deposit)</t>
  </si>
  <si>
    <t>Loan received Pvt</t>
  </si>
  <si>
    <t>Cash Trn Ratio (Withdrawal)</t>
  </si>
  <si>
    <t>OTHERS</t>
  </si>
  <si>
    <t>Cheque Trn ratio (BT/ECS)</t>
  </si>
  <si>
    <t>Net ZIH</t>
  </si>
  <si>
    <t xml:space="preserve">Transactions </t>
  </si>
  <si>
    <t>Cheque Rtn count (BT/ECS)</t>
  </si>
  <si>
    <t>Net BT</t>
  </si>
  <si>
    <t>Cheque Trn</t>
  </si>
  <si>
    <t>Cheque Dishonor/Penalty ratio (BT/ECS)</t>
  </si>
  <si>
    <t>Net Loan flow- Bank</t>
  </si>
  <si>
    <t>Median of Chq Pmt</t>
  </si>
  <si>
    <t>Net Loan flow- Pvt</t>
  </si>
  <si>
    <t>Cheque pmt (ECS Pvt)</t>
  </si>
  <si>
    <t>EMI Pvt  Trend</t>
  </si>
  <si>
    <t>NET DBT</t>
  </si>
  <si>
    <t>PVT EMI count</t>
  </si>
  <si>
    <t>EMI to Inflow (BT) ratio - Pvt</t>
  </si>
  <si>
    <t xml:space="preserve">Net flow </t>
  </si>
  <si>
    <t>ECS Pmt (ECS)</t>
  </si>
  <si>
    <t>EMI to Inflow (BT) ratio - Bank</t>
  </si>
  <si>
    <t>Loan rollover ratio</t>
  </si>
  <si>
    <t>ECS EMI count</t>
  </si>
  <si>
    <t>Liquidity stress indicator (LSI)</t>
  </si>
  <si>
    <t>Count of Cash TR (includes withdrawal+deposits)</t>
  </si>
  <si>
    <t>Loan Trend Bank</t>
  </si>
  <si>
    <t>SUM of Cash payment (deposits)</t>
  </si>
  <si>
    <t>ECS Rtn count</t>
  </si>
  <si>
    <t>Loan Trend Pvt</t>
  </si>
  <si>
    <t>SUM of Cash payment (withdrawal)</t>
  </si>
  <si>
    <t>Cheque Rtn count (ECS PVT)</t>
  </si>
  <si>
    <t>Debt Dependence Ratio (DDR Bank)</t>
  </si>
  <si>
    <t>SUM of Cheque Payments</t>
  </si>
  <si>
    <t>Cash Trn count</t>
  </si>
  <si>
    <t>Debt Dependence Ratio Pvt (DDR Pvt)</t>
  </si>
  <si>
    <t>Median of Cheque payments</t>
  </si>
  <si>
    <t xml:space="preserve">GST Return </t>
  </si>
  <si>
    <t xml:space="preserve"> EMI pvt vs Cheque pmt </t>
  </si>
  <si>
    <t>Count of Cheque Payments</t>
  </si>
  <si>
    <t>Credit #1</t>
  </si>
  <si>
    <t>ECS vs ECS pmt</t>
  </si>
  <si>
    <t>Count of EMI (ECS)</t>
  </si>
  <si>
    <t>Credit #2</t>
  </si>
  <si>
    <t xml:space="preserve">ECS return count </t>
  </si>
  <si>
    <t>Count of ECS payment (ECS)</t>
  </si>
  <si>
    <t>Debit #1</t>
  </si>
  <si>
    <t>Cheque Rtn count (ECS Pvt)</t>
  </si>
  <si>
    <t>Count of EMI (ECS PVT))</t>
  </si>
  <si>
    <t>Debit #2</t>
  </si>
  <si>
    <t>Cheque Dishonor/Penalty ratio (ECS PVT)</t>
  </si>
  <si>
    <t>Count of Cheque Payments (ECS PVT)</t>
  </si>
  <si>
    <t>ITA Credit (BT)- AVG/SUM</t>
  </si>
  <si>
    <t>Loan Roll Over Ratio</t>
  </si>
  <si>
    <t>Total no of transaction</t>
  </si>
  <si>
    <t>ITA Debit (BT) - AVG/SUM</t>
  </si>
  <si>
    <t>Count of ITA (Credit)</t>
  </si>
  <si>
    <t>ZIH Cr  - AVG/SUM</t>
  </si>
  <si>
    <t xml:space="preserve">GST Volatality </t>
  </si>
  <si>
    <t>Count of ITA (Debit)</t>
  </si>
  <si>
    <t>ZIH Dr - AVG/SUM</t>
  </si>
  <si>
    <t>Utility Volatality</t>
  </si>
  <si>
    <t>ITA Credit sum</t>
  </si>
  <si>
    <t>Transaction volatality</t>
  </si>
  <si>
    <t>ITA debit sum</t>
  </si>
  <si>
    <t>Max. Loan repayment to Net inflow</t>
  </si>
  <si>
    <t>Count of Cheque Rtn (BT/ECS)</t>
  </si>
  <si>
    <t xml:space="preserve">Top 2 Credit ratio </t>
  </si>
  <si>
    <t>Count of Cheque Rtn (ECS)</t>
  </si>
  <si>
    <t>Top 2 Debit ratio</t>
  </si>
  <si>
    <t>Count of Cheque Rtn (ECS PVT)</t>
  </si>
  <si>
    <t>Net DBT</t>
  </si>
  <si>
    <t>ITA (Dr) Ratio</t>
  </si>
  <si>
    <t>Utility</t>
  </si>
  <si>
    <t>Net flow</t>
  </si>
  <si>
    <t>Opening.Bal</t>
  </si>
  <si>
    <t>avg bal 1</t>
  </si>
  <si>
    <t>avg bal 2</t>
  </si>
  <si>
    <t>avg bal 3</t>
  </si>
  <si>
    <t>avg bal 4</t>
  </si>
  <si>
    <t>avg bal 5</t>
  </si>
  <si>
    <t>avg bal 6</t>
  </si>
  <si>
    <t>Closing.Bal</t>
  </si>
  <si>
    <t>Industry Factor</t>
  </si>
  <si>
    <t>Sales Score (out of 5)</t>
  </si>
  <si>
    <t>Loan Score
(out of 5)</t>
  </si>
  <si>
    <t>`</t>
  </si>
  <si>
    <t>DEC</t>
  </si>
  <si>
    <t>AAA</t>
  </si>
  <si>
    <t>BBB</t>
  </si>
  <si>
    <t>CCC</t>
  </si>
  <si>
    <t>DDD</t>
  </si>
  <si>
    <t>FFF</t>
  </si>
  <si>
    <t>EEE</t>
  </si>
  <si>
    <t>GGG</t>
  </si>
  <si>
    <t>JJJ</t>
  </si>
  <si>
    <t>III</t>
  </si>
  <si>
    <t>MMM</t>
  </si>
  <si>
    <t>EE2</t>
  </si>
  <si>
    <t>WWW</t>
  </si>
  <si>
    <t>YYY</t>
  </si>
  <si>
    <t>RRR</t>
  </si>
  <si>
    <t>QQQ</t>
  </si>
  <si>
    <t>LLL</t>
  </si>
  <si>
    <t>TTT</t>
  </si>
  <si>
    <t>ASD</t>
  </si>
  <si>
    <t>JKL</t>
  </si>
  <si>
    <t>DS</t>
  </si>
  <si>
    <t>PPP</t>
  </si>
  <si>
    <t>KLP</t>
  </si>
  <si>
    <t>KKL</t>
  </si>
  <si>
    <t>ABC</t>
  </si>
  <si>
    <t>AA</t>
  </si>
  <si>
    <t>AB</t>
  </si>
  <si>
    <t>LKL</t>
  </si>
  <si>
    <t>YUY</t>
  </si>
  <si>
    <t>RRT</t>
  </si>
  <si>
    <t>PLK</t>
  </si>
  <si>
    <t>SSS</t>
  </si>
  <si>
    <t>DFD</t>
  </si>
  <si>
    <t>IOP</t>
  </si>
  <si>
    <t>QWE</t>
  </si>
  <si>
    <t>XCV</t>
  </si>
  <si>
    <t>LKM</t>
  </si>
  <si>
    <t>WER</t>
  </si>
  <si>
    <t>PIO</t>
  </si>
  <si>
    <t>TGH</t>
  </si>
  <si>
    <t>DFVB</t>
  </si>
  <si>
    <t>JKNM</t>
  </si>
  <si>
    <t>OKLJ</t>
  </si>
  <si>
    <t>WERDF</t>
  </si>
  <si>
    <t>IOPL</t>
  </si>
  <si>
    <t>RDFG</t>
  </si>
  <si>
    <t>SCVB</t>
  </si>
  <si>
    <t>JKLM</t>
  </si>
  <si>
    <t>SDCV</t>
  </si>
  <si>
    <t>BJK</t>
  </si>
  <si>
    <t>QAWE</t>
  </si>
  <si>
    <t>KLM</t>
  </si>
  <si>
    <t>HJBN</t>
  </si>
  <si>
    <t>NMK</t>
  </si>
  <si>
    <t>VJK</t>
  </si>
  <si>
    <t>AFPL</t>
  </si>
  <si>
    <t>CA</t>
  </si>
  <si>
    <t>CMIM</t>
  </si>
  <si>
    <t>EBCV</t>
  </si>
  <si>
    <t>ITITL</t>
  </si>
  <si>
    <t>LATFL</t>
  </si>
  <si>
    <t>AG</t>
  </si>
  <si>
    <t>BS</t>
  </si>
  <si>
    <t>BR</t>
  </si>
  <si>
    <t>CS</t>
  </si>
  <si>
    <t>KE</t>
  </si>
  <si>
    <t>OC</t>
  </si>
  <si>
    <t>PVK</t>
  </si>
  <si>
    <t>RMS</t>
  </si>
  <si>
    <t>SME</t>
  </si>
  <si>
    <t>ST</t>
  </si>
  <si>
    <t>VVHUF</t>
  </si>
  <si>
    <t>BC</t>
  </si>
  <si>
    <t>CRC</t>
  </si>
  <si>
    <t>COM EXP</t>
  </si>
  <si>
    <t>ERC</t>
  </si>
  <si>
    <t>INS</t>
  </si>
  <si>
    <t>RN</t>
  </si>
  <si>
    <t>SA</t>
  </si>
  <si>
    <t>UP</t>
  </si>
  <si>
    <t>CTA</t>
  </si>
  <si>
    <t>I/W CRT</t>
  </si>
  <si>
    <t>ONL RT</t>
  </si>
  <si>
    <t>GK</t>
  </si>
  <si>
    <t>IP</t>
  </si>
  <si>
    <t>KKVPT</t>
  </si>
  <si>
    <t>KV</t>
  </si>
  <si>
    <t>MSPM</t>
  </si>
  <si>
    <t>PV</t>
  </si>
  <si>
    <t>PMT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</si>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</sst>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#,##0.00;\(#,##0.00\)"/>
    <numFmt numFmtId="166" formatCode="d/m/yy"/>
    <numFmt numFmtId="170" formatCode="[$-14009]dd/mm/yyyy;@"/>
    <numFmt numFmtId="171" formatCode="#,##0.0"/>
  </numFmts>
  <fonts count="1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Aptos Narrow"/>
      <family val="2"/>
      <scheme val="minor"/>
    </font>
    <font>
      <sz val="11"/>
      <color rgb="FFFF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F497D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8" fillId="0" borderId="1" applyNumberFormat="0" applyFill="0" applyBorder="0" applyAlignment="0" applyProtection="0"/>
    <xf numFmtId="0" fontId="4" fillId="0" borderId="1"/>
    <xf numFmtId="44" fontId="4" fillId="0" borderId="1" applyFont="0" applyFill="0" applyBorder="0" applyAlignment="0" applyProtection="0"/>
  </cellStyleXfs>
  <cellXfs count="178">
    <xf numFmtId="0" fontId="0" fillId="0" borderId="0" xfId="0"/>
    <xf numFmtId="0" fontId="2" fillId="4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164" fontId="2" fillId="8" borderId="8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2" borderId="11" xfId="0" applyFont="1" applyFill="1" applyBorder="1" applyAlignment="1">
      <alignment horizontal="left" vertical="center"/>
    </xf>
    <xf numFmtId="166" fontId="2" fillId="3" borderId="8" xfId="0" applyNumberFormat="1" applyFont="1" applyFill="1" applyBorder="1" applyAlignment="1">
      <alignment horizontal="left" vertical="center"/>
    </xf>
    <xf numFmtId="164" fontId="2" fillId="6" borderId="8" xfId="0" applyNumberFormat="1" applyFont="1" applyFill="1" applyBorder="1" applyAlignment="1">
      <alignment horizontal="left" vertical="center"/>
    </xf>
    <xf numFmtId="43" fontId="2" fillId="6" borderId="8" xfId="1" applyFont="1" applyFill="1" applyBorder="1" applyAlignment="1">
      <alignment horizontal="left" vertical="center"/>
    </xf>
    <xf numFmtId="43" fontId="2" fillId="5" borderId="8" xfId="1" applyFont="1" applyFill="1" applyBorder="1" applyAlignment="1">
      <alignment horizontal="left" vertical="center"/>
    </xf>
    <xf numFmtId="166" fontId="2" fillId="11" borderId="8" xfId="0" applyNumberFormat="1" applyFont="1" applyFill="1" applyBorder="1" applyAlignment="1">
      <alignment horizontal="left" vertical="center"/>
    </xf>
    <xf numFmtId="0" fontId="1" fillId="9" borderId="3" xfId="3" applyFont="1" applyFill="1" applyBorder="1" applyAlignment="1">
      <alignment horizontal="left" vertical="center"/>
    </xf>
    <xf numFmtId="0" fontId="1" fillId="9" borderId="10" xfId="3" applyFont="1" applyFill="1" applyBorder="1" applyAlignment="1">
      <alignment horizontal="left" vertical="center"/>
    </xf>
    <xf numFmtId="0" fontId="1" fillId="9" borderId="4" xfId="3" applyFont="1" applyFill="1" applyBorder="1" applyAlignment="1">
      <alignment horizontal="left" vertical="center"/>
    </xf>
    <xf numFmtId="43" fontId="1" fillId="9" borderId="4" xfId="4" applyFont="1" applyFill="1" applyBorder="1" applyAlignment="1">
      <alignment horizontal="left" vertical="center"/>
    </xf>
    <xf numFmtId="43" fontId="1" fillId="9" borderId="5" xfId="4" applyFont="1" applyFill="1" applyBorder="1" applyAlignment="1">
      <alignment horizontal="left" vertical="center"/>
    </xf>
    <xf numFmtId="0" fontId="1" fillId="9" borderId="6" xfId="3" applyFont="1" applyFill="1" applyBorder="1" applyAlignment="1">
      <alignment horizontal="left" vertical="center"/>
    </xf>
    <xf numFmtId="0" fontId="4" fillId="0" borderId="1" xfId="3" applyAlignment="1">
      <alignment horizontal="left"/>
    </xf>
    <xf numFmtId="0" fontId="2" fillId="12" borderId="7" xfId="3" applyFont="1" applyFill="1" applyBorder="1" applyAlignment="1">
      <alignment horizontal="left" vertical="center"/>
    </xf>
    <xf numFmtId="0" fontId="2" fillId="12" borderId="11" xfId="3" applyFont="1" applyFill="1" applyBorder="1" applyAlignment="1">
      <alignment horizontal="left" vertical="center"/>
    </xf>
    <xf numFmtId="166" fontId="2" fillId="12" borderId="8" xfId="3" applyNumberFormat="1" applyFont="1" applyFill="1" applyBorder="1" applyAlignment="1">
      <alignment horizontal="left" vertical="center"/>
    </xf>
    <xf numFmtId="43" fontId="2" fillId="12" borderId="8" xfId="4" applyFont="1" applyFill="1" applyBorder="1" applyAlignment="1">
      <alignment horizontal="left" vertical="center"/>
    </xf>
    <xf numFmtId="0" fontId="2" fillId="12" borderId="8" xfId="3" applyFont="1" applyFill="1" applyBorder="1" applyAlignment="1">
      <alignment horizontal="left" vertical="center"/>
    </xf>
    <xf numFmtId="0" fontId="2" fillId="12" borderId="9" xfId="3" applyFont="1" applyFill="1" applyBorder="1" applyAlignment="1">
      <alignment horizontal="left" vertical="center"/>
    </xf>
    <xf numFmtId="0" fontId="2" fillId="10" borderId="11" xfId="3" applyFont="1" applyFill="1" applyBorder="1" applyAlignment="1">
      <alignment horizontal="left" vertical="center"/>
    </xf>
    <xf numFmtId="166" fontId="2" fillId="10" borderId="8" xfId="3" applyNumberFormat="1" applyFont="1" applyFill="1" applyBorder="1" applyAlignment="1">
      <alignment horizontal="left" vertical="center"/>
    </xf>
    <xf numFmtId="43" fontId="2" fillId="10" borderId="8" xfId="4" applyFont="1" applyFill="1" applyBorder="1" applyAlignment="1">
      <alignment horizontal="left" vertical="center"/>
    </xf>
    <xf numFmtId="0" fontId="2" fillId="10" borderId="8" xfId="3" applyFont="1" applyFill="1" applyBorder="1" applyAlignment="1">
      <alignment horizontal="left" vertical="center"/>
    </xf>
    <xf numFmtId="0" fontId="2" fillId="10" borderId="9" xfId="3" applyFont="1" applyFill="1" applyBorder="1" applyAlignment="1">
      <alignment horizontal="left" vertical="center"/>
    </xf>
    <xf numFmtId="0" fontId="2" fillId="13" borderId="11" xfId="3" applyFont="1" applyFill="1" applyBorder="1" applyAlignment="1">
      <alignment horizontal="left" vertical="center"/>
    </xf>
    <xf numFmtId="166" fontId="2" fillId="13" borderId="8" xfId="3" applyNumberFormat="1" applyFont="1" applyFill="1" applyBorder="1" applyAlignment="1">
      <alignment horizontal="left" vertical="center"/>
    </xf>
    <xf numFmtId="43" fontId="2" fillId="13" borderId="8" xfId="4" applyFont="1" applyFill="1" applyBorder="1" applyAlignment="1">
      <alignment horizontal="left" vertical="center"/>
    </xf>
    <xf numFmtId="0" fontId="2" fillId="13" borderId="8" xfId="3" applyFont="1" applyFill="1" applyBorder="1" applyAlignment="1">
      <alignment horizontal="left" vertical="center"/>
    </xf>
    <xf numFmtId="0" fontId="2" fillId="13" borderId="9" xfId="3" applyFont="1" applyFill="1" applyBorder="1" applyAlignment="1">
      <alignment horizontal="left" vertical="center"/>
    </xf>
    <xf numFmtId="0" fontId="6" fillId="0" borderId="1" xfId="3" applyFont="1" applyAlignment="1">
      <alignment horizontal="left"/>
    </xf>
    <xf numFmtId="0" fontId="2" fillId="14" borderId="11" xfId="3" applyFont="1" applyFill="1" applyBorder="1" applyAlignment="1">
      <alignment horizontal="left" vertical="center"/>
    </xf>
    <xf numFmtId="166" fontId="2" fillId="14" borderId="8" xfId="3" applyNumberFormat="1" applyFont="1" applyFill="1" applyBorder="1" applyAlignment="1">
      <alignment horizontal="left" vertical="center"/>
    </xf>
    <xf numFmtId="43" fontId="2" fillId="14" borderId="8" xfId="4" applyFont="1" applyFill="1" applyBorder="1" applyAlignment="1">
      <alignment horizontal="left" vertical="center"/>
    </xf>
    <xf numFmtId="0" fontId="2" fillId="14" borderId="8" xfId="3" applyFont="1" applyFill="1" applyBorder="1" applyAlignment="1">
      <alignment horizontal="left" vertical="center"/>
    </xf>
    <xf numFmtId="0" fontId="2" fillId="14" borderId="9" xfId="3" applyFont="1" applyFill="1" applyBorder="1" applyAlignment="1">
      <alignment horizontal="left" vertical="center"/>
    </xf>
    <xf numFmtId="0" fontId="2" fillId="15" borderId="11" xfId="3" applyFont="1" applyFill="1" applyBorder="1" applyAlignment="1">
      <alignment horizontal="left" vertical="center"/>
    </xf>
    <xf numFmtId="166" fontId="2" fillId="15" borderId="8" xfId="3" applyNumberFormat="1" applyFont="1" applyFill="1" applyBorder="1" applyAlignment="1">
      <alignment horizontal="left" vertical="center"/>
    </xf>
    <xf numFmtId="43" fontId="2" fillId="15" borderId="8" xfId="4" applyFont="1" applyFill="1" applyBorder="1" applyAlignment="1">
      <alignment horizontal="left" vertical="center"/>
    </xf>
    <xf numFmtId="0" fontId="2" fillId="15" borderId="8" xfId="3" applyFont="1" applyFill="1" applyBorder="1" applyAlignment="1">
      <alignment horizontal="left" vertical="center"/>
    </xf>
    <xf numFmtId="0" fontId="2" fillId="15" borderId="9" xfId="3" applyFont="1" applyFill="1" applyBorder="1" applyAlignment="1">
      <alignment horizontal="left" vertical="center"/>
    </xf>
    <xf numFmtId="0" fontId="3" fillId="15" borderId="11" xfId="3" applyFont="1" applyFill="1" applyBorder="1" applyAlignment="1">
      <alignment horizontal="left" vertical="center"/>
    </xf>
    <xf numFmtId="166" fontId="3" fillId="15" borderId="8" xfId="3" applyNumberFormat="1" applyFont="1" applyFill="1" applyBorder="1" applyAlignment="1">
      <alignment horizontal="left" vertical="center"/>
    </xf>
    <xf numFmtId="43" fontId="3" fillId="15" borderId="8" xfId="4" applyFont="1" applyFill="1" applyBorder="1" applyAlignment="1">
      <alignment horizontal="left" vertical="center"/>
    </xf>
    <xf numFmtId="0" fontId="3" fillId="15" borderId="8" xfId="3" applyFont="1" applyFill="1" applyBorder="1" applyAlignment="1">
      <alignment horizontal="left" vertical="center"/>
    </xf>
    <xf numFmtId="0" fontId="3" fillId="15" borderId="9" xfId="3" applyFont="1" applyFill="1" applyBorder="1" applyAlignment="1">
      <alignment horizontal="left" vertical="center"/>
    </xf>
    <xf numFmtId="43" fontId="2" fillId="12" borderId="1" xfId="4" applyFont="1" applyFill="1" applyBorder="1" applyAlignment="1">
      <alignment horizontal="left" vertical="center"/>
    </xf>
    <xf numFmtId="43" fontId="0" fillId="14" borderId="8" xfId="4" applyFont="1" applyFill="1" applyBorder="1" applyAlignment="1">
      <alignment horizontal="left"/>
    </xf>
    <xf numFmtId="43" fontId="0" fillId="0" borderId="1" xfId="4" applyFont="1" applyAlignment="1">
      <alignment horizontal="left"/>
    </xf>
    <xf numFmtId="3" fontId="0" fillId="0" borderId="0" xfId="0" applyNumberFormat="1"/>
    <xf numFmtId="0" fontId="1" fillId="9" borderId="0" xfId="0" applyFont="1" applyFill="1" applyAlignment="1">
      <alignment horizontal="left" vertical="center"/>
    </xf>
    <xf numFmtId="0" fontId="0" fillId="0" borderId="13" xfId="0" applyBorder="1"/>
    <xf numFmtId="49" fontId="0" fillId="0" borderId="13" xfId="0" applyNumberFormat="1" applyBorder="1"/>
    <xf numFmtId="0" fontId="0" fillId="0" borderId="14" xfId="0" applyBorder="1"/>
    <xf numFmtId="43" fontId="0" fillId="0" borderId="1" xfId="4" applyFont="1"/>
    <xf numFmtId="0" fontId="0" fillId="0" borderId="13" xfId="0" applyBorder="1" applyAlignment="1">
      <alignment horizontal="left"/>
    </xf>
    <xf numFmtId="170" fontId="0" fillId="17" borderId="12" xfId="0" applyNumberFormat="1" applyFill="1" applyBorder="1"/>
    <xf numFmtId="14" fontId="0" fillId="0" borderId="12" xfId="0" applyNumberFormat="1" applyBorder="1"/>
    <xf numFmtId="0" fontId="0" fillId="0" borderId="12" xfId="0" applyBorder="1"/>
    <xf numFmtId="43" fontId="2" fillId="10" borderId="8" xfId="4" applyFont="1" applyFill="1" applyBorder="1" applyAlignment="1">
      <alignment horizontal="right" vertical="center" wrapText="1"/>
    </xf>
    <xf numFmtId="43" fontId="0" fillId="0" borderId="1" xfId="4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15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43" fontId="5" fillId="0" borderId="13" xfId="0" applyNumberFormat="1" applyFont="1" applyBorder="1" applyAlignment="1">
      <alignment horizontal="center"/>
    </xf>
    <xf numFmtId="43" fontId="0" fillId="0" borderId="12" xfId="4" applyFont="1" applyBorder="1"/>
    <xf numFmtId="43" fontId="0" fillId="0" borderId="16" xfId="4" applyFont="1" applyBorder="1"/>
    <xf numFmtId="43" fontId="7" fillId="0" borderId="1" xfId="4" applyFont="1" applyAlignment="1">
      <alignment horizontal="center"/>
    </xf>
    <xf numFmtId="3" fontId="0" fillId="0" borderId="0" xfId="0" applyNumberFormat="1" applyAlignment="1">
      <alignment horizontal="right"/>
    </xf>
    <xf numFmtId="0" fontId="7" fillId="19" borderId="0" xfId="0" applyFont="1" applyFill="1" applyAlignment="1">
      <alignment horizontal="center"/>
    </xf>
    <xf numFmtId="0" fontId="0" fillId="0" borderId="17" xfId="0" applyBorder="1"/>
    <xf numFmtId="43" fontId="9" fillId="17" borderId="2" xfId="4" applyFont="1" applyFill="1" applyBorder="1" applyAlignment="1">
      <alignment horizontal="right" vertical="center" wrapText="1"/>
    </xf>
    <xf numFmtId="0" fontId="7" fillId="0" borderId="12" xfId="0" applyFont="1" applyBorder="1"/>
    <xf numFmtId="0" fontId="0" fillId="0" borderId="12" xfId="0" applyBorder="1" applyAlignment="1">
      <alignment horizontal="left"/>
    </xf>
    <xf numFmtId="0" fontId="0" fillId="19" borderId="0" xfId="0" applyFill="1"/>
    <xf numFmtId="43" fontId="0" fillId="19" borderId="1" xfId="4" applyFont="1" applyFill="1" applyAlignment="1">
      <alignment horizontal="left"/>
    </xf>
    <xf numFmtId="3" fontId="0" fillId="19" borderId="0" xfId="0" applyNumberFormat="1" applyFill="1" applyAlignment="1">
      <alignment horizontal="right"/>
    </xf>
    <xf numFmtId="43" fontId="7" fillId="0" borderId="12" xfId="4" applyFont="1" applyBorder="1"/>
    <xf numFmtId="3" fontId="0" fillId="0" borderId="1" xfId="4" applyNumberFormat="1" applyFont="1" applyAlignment="1">
      <alignment horizontal="right"/>
    </xf>
    <xf numFmtId="0" fontId="7" fillId="0" borderId="12" xfId="0" applyFont="1" applyBorder="1" applyAlignment="1">
      <alignment horizontal="left"/>
    </xf>
    <xf numFmtId="0" fontId="7" fillId="0" borderId="17" xfId="0" applyFont="1" applyBorder="1"/>
    <xf numFmtId="43" fontId="0" fillId="19" borderId="1" xfId="4" applyFont="1" applyFill="1"/>
    <xf numFmtId="0" fontId="7" fillId="0" borderId="17" xfId="0" applyFont="1" applyBorder="1" applyAlignment="1">
      <alignment horizontal="left"/>
    </xf>
    <xf numFmtId="43" fontId="0" fillId="0" borderId="18" xfId="4" applyFont="1" applyBorder="1" applyAlignment="1">
      <alignment horizontal="left"/>
    </xf>
    <xf numFmtId="43" fontId="0" fillId="0" borderId="19" xfId="4" applyFont="1" applyBorder="1" applyAlignment="1">
      <alignment horizontal="center"/>
    </xf>
    <xf numFmtId="43" fontId="0" fillId="0" borderId="20" xfId="4" applyFont="1" applyFill="1" applyBorder="1"/>
    <xf numFmtId="43" fontId="0" fillId="0" borderId="1" xfId="4" applyFont="1" applyFill="1" applyAlignment="1">
      <alignment horizontal="center"/>
    </xf>
    <xf numFmtId="10" fontId="0" fillId="0" borderId="0" xfId="0" applyNumberFormat="1"/>
    <xf numFmtId="0" fontId="7" fillId="11" borderId="17" xfId="0" applyFont="1" applyFill="1" applyBorder="1"/>
    <xf numFmtId="43" fontId="0" fillId="20" borderId="1" xfId="4" applyFont="1" applyFill="1"/>
    <xf numFmtId="4" fontId="0" fillId="0" borderId="0" xfId="0" applyNumberFormat="1"/>
    <xf numFmtId="171" fontId="0" fillId="0" borderId="0" xfId="0" applyNumberFormat="1" applyAlignment="1">
      <alignment horizontal="right"/>
    </xf>
    <xf numFmtId="0" fontId="0" fillId="11" borderId="21" xfId="0" applyFill="1" applyBorder="1"/>
    <xf numFmtId="43" fontId="0" fillId="0" borderId="0" xfId="0" applyNumberFormat="1"/>
    <xf numFmtId="0" fontId="0" fillId="11" borderId="17" xfId="0" applyFill="1" applyBorder="1"/>
    <xf numFmtId="0" fontId="0" fillId="12" borderId="0" xfId="0" applyFill="1"/>
    <xf numFmtId="0" fontId="7" fillId="0" borderId="0" xfId="0" applyFont="1" applyAlignment="1">
      <alignment horizontal="left"/>
    </xf>
    <xf numFmtId="0" fontId="7" fillId="0" borderId="12" xfId="0" applyFont="1" applyBorder="1" applyAlignment="1">
      <alignment horizontal="center"/>
    </xf>
    <xf numFmtId="43" fontId="0" fillId="0" borderId="20" xfId="4" applyFont="1" applyFill="1" applyBorder="1" applyAlignment="1">
      <alignment horizontal="center"/>
    </xf>
    <xf numFmtId="43" fontId="7" fillId="0" borderId="1" xfId="4" applyFont="1" applyFill="1" applyAlignment="1">
      <alignment horizontal="center"/>
    </xf>
    <xf numFmtId="0" fontId="7" fillId="0" borderId="0" xfId="0" applyFont="1"/>
    <xf numFmtId="0" fontId="7" fillId="21" borderId="0" xfId="0" applyFont="1" applyFill="1"/>
    <xf numFmtId="1" fontId="7" fillId="0" borderId="0" xfId="2" applyNumberFormat="1" applyFont="1"/>
    <xf numFmtId="0" fontId="0" fillId="21" borderId="0" xfId="0" applyFill="1"/>
    <xf numFmtId="0" fontId="7" fillId="21" borderId="12" xfId="0" applyFont="1" applyFill="1" applyBorder="1"/>
    <xf numFmtId="0" fontId="0" fillId="21" borderId="12" xfId="0" applyFill="1" applyBorder="1"/>
    <xf numFmtId="43" fontId="0" fillId="0" borderId="12" xfId="4" applyFont="1" applyBorder="1" applyAlignment="1">
      <alignment horizontal="left"/>
    </xf>
    <xf numFmtId="0" fontId="7" fillId="11" borderId="0" xfId="0" applyFont="1" applyFill="1"/>
    <xf numFmtId="43" fontId="0" fillId="0" borderId="1" xfId="4" applyFont="1" applyAlignment="1">
      <alignment horizontal="right"/>
    </xf>
    <xf numFmtId="0" fontId="0" fillId="11" borderId="0" xfId="0" applyFill="1"/>
    <xf numFmtId="0" fontId="5" fillId="22" borderId="22" xfId="0" applyFont="1" applyFill="1" applyBorder="1"/>
    <xf numFmtId="0" fontId="10" fillId="13" borderId="0" xfId="0" applyFont="1" applyFill="1" applyAlignment="1">
      <alignment vertical="center" wrapText="1"/>
    </xf>
    <xf numFmtId="164" fontId="7" fillId="13" borderId="12" xfId="0" applyNumberFormat="1" applyFont="1" applyFill="1" applyBorder="1"/>
    <xf numFmtId="164" fontId="7" fillId="23" borderId="12" xfId="0" applyNumberFormat="1" applyFont="1" applyFill="1" applyBorder="1"/>
    <xf numFmtId="164" fontId="2" fillId="10" borderId="8" xfId="0" applyNumberFormat="1" applyFont="1" applyFill="1" applyBorder="1" applyAlignment="1">
      <alignment horizontal="right" vertical="center" wrapText="1"/>
    </xf>
    <xf numFmtId="0" fontId="2" fillId="12" borderId="11" xfId="0" applyFont="1" applyFill="1" applyBorder="1" applyAlignment="1">
      <alignment horizontal="left" vertical="center"/>
    </xf>
    <xf numFmtId="166" fontId="2" fillId="12" borderId="8" xfId="0" applyNumberFormat="1" applyFont="1" applyFill="1" applyBorder="1" applyAlignment="1">
      <alignment horizontal="left" vertical="center"/>
    </xf>
    <xf numFmtId="43" fontId="2" fillId="12" borderId="8" xfId="1" applyFont="1" applyFill="1" applyBorder="1" applyAlignment="1">
      <alignment horizontal="left" vertical="center"/>
    </xf>
    <xf numFmtId="164" fontId="2" fillId="12" borderId="8" xfId="0" applyNumberFormat="1" applyFont="1" applyFill="1" applyBorder="1" applyAlignment="1">
      <alignment horizontal="left" vertical="center"/>
    </xf>
    <xf numFmtId="0" fontId="2" fillId="12" borderId="8" xfId="0" applyFont="1" applyFill="1" applyBorder="1" applyAlignment="1">
      <alignment horizontal="left" vertical="center"/>
    </xf>
    <xf numFmtId="0" fontId="2" fillId="12" borderId="9" xfId="0" applyFont="1" applyFill="1" applyBorder="1" applyAlignment="1">
      <alignment horizontal="left" vertical="center"/>
    </xf>
    <xf numFmtId="0" fontId="2" fillId="25" borderId="7" xfId="3" applyFont="1" applyFill="1" applyBorder="1" applyAlignment="1">
      <alignment horizontal="left" vertical="center"/>
    </xf>
    <xf numFmtId="0" fontId="2" fillId="25" borderId="11" xfId="0" applyFont="1" applyFill="1" applyBorder="1" applyAlignment="1">
      <alignment horizontal="left" vertical="center"/>
    </xf>
    <xf numFmtId="166" fontId="2" fillId="25" borderId="8" xfId="0" applyNumberFormat="1" applyFont="1" applyFill="1" applyBorder="1" applyAlignment="1">
      <alignment horizontal="left" vertical="center"/>
    </xf>
    <xf numFmtId="43" fontId="2" fillId="25" borderId="8" xfId="1" applyFont="1" applyFill="1" applyBorder="1" applyAlignment="1">
      <alignment horizontal="left" vertical="center"/>
    </xf>
    <xf numFmtId="164" fontId="2" fillId="25" borderId="8" xfId="0" applyNumberFormat="1" applyFont="1" applyFill="1" applyBorder="1" applyAlignment="1">
      <alignment horizontal="left" vertical="center"/>
    </xf>
    <xf numFmtId="0" fontId="2" fillId="25" borderId="8" xfId="0" applyFont="1" applyFill="1" applyBorder="1" applyAlignment="1">
      <alignment horizontal="left" vertical="center"/>
    </xf>
    <xf numFmtId="0" fontId="2" fillId="25" borderId="9" xfId="0" applyFont="1" applyFill="1" applyBorder="1" applyAlignment="1">
      <alignment horizontal="left" vertical="center"/>
    </xf>
    <xf numFmtId="0" fontId="2" fillId="15" borderId="7" xfId="3" applyFont="1" applyFill="1" applyBorder="1" applyAlignment="1">
      <alignment horizontal="left" vertical="center"/>
    </xf>
    <xf numFmtId="166" fontId="2" fillId="15" borderId="8" xfId="0" applyNumberFormat="1" applyFont="1" applyFill="1" applyBorder="1" applyAlignment="1">
      <alignment horizontal="left" vertical="center"/>
    </xf>
    <xf numFmtId="0" fontId="2" fillId="15" borderId="11" xfId="0" applyFont="1" applyFill="1" applyBorder="1" applyAlignment="1">
      <alignment horizontal="left" vertical="center"/>
    </xf>
    <xf numFmtId="43" fontId="2" fillId="15" borderId="8" xfId="1" applyFont="1" applyFill="1" applyBorder="1" applyAlignment="1">
      <alignment horizontal="left" vertical="center"/>
    </xf>
    <xf numFmtId="164" fontId="2" fillId="15" borderId="8" xfId="0" applyNumberFormat="1" applyFont="1" applyFill="1" applyBorder="1" applyAlignment="1">
      <alignment horizontal="left" vertical="center"/>
    </xf>
    <xf numFmtId="0" fontId="2" fillId="15" borderId="8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left" vertical="center"/>
    </xf>
    <xf numFmtId="0" fontId="3" fillId="15" borderId="11" xfId="0" applyFont="1" applyFill="1" applyBorder="1" applyAlignment="1">
      <alignment horizontal="left" vertical="center"/>
    </xf>
    <xf numFmtId="166" fontId="3" fillId="15" borderId="8" xfId="0" applyNumberFormat="1" applyFont="1" applyFill="1" applyBorder="1" applyAlignment="1">
      <alignment horizontal="left" vertical="center"/>
    </xf>
    <xf numFmtId="43" fontId="3" fillId="15" borderId="8" xfId="1" applyFont="1" applyFill="1" applyBorder="1" applyAlignment="1">
      <alignment horizontal="left" vertical="center"/>
    </xf>
    <xf numFmtId="164" fontId="3" fillId="15" borderId="8" xfId="0" applyNumberFormat="1" applyFont="1" applyFill="1" applyBorder="1" applyAlignment="1">
      <alignment horizontal="left" vertical="center"/>
    </xf>
    <xf numFmtId="0" fontId="3" fillId="15" borderId="8" xfId="0" applyFont="1" applyFill="1" applyBorder="1" applyAlignment="1">
      <alignment horizontal="left" vertical="center"/>
    </xf>
    <xf numFmtId="0" fontId="3" fillId="15" borderId="9" xfId="0" applyFont="1" applyFill="1" applyBorder="1" applyAlignment="1">
      <alignment horizontal="left" vertical="center"/>
    </xf>
    <xf numFmtId="0" fontId="2" fillId="13" borderId="7" xfId="3" applyFont="1" applyFill="1" applyBorder="1" applyAlignment="1">
      <alignment horizontal="left" vertical="center"/>
    </xf>
    <xf numFmtId="0" fontId="2" fillId="13" borderId="11" xfId="0" applyFont="1" applyFill="1" applyBorder="1" applyAlignment="1">
      <alignment horizontal="left" vertical="center"/>
    </xf>
    <xf numFmtId="166" fontId="2" fillId="13" borderId="8" xfId="0" applyNumberFormat="1" applyFont="1" applyFill="1" applyBorder="1" applyAlignment="1">
      <alignment horizontal="left" vertical="center"/>
    </xf>
    <xf numFmtId="43" fontId="2" fillId="13" borderId="8" xfId="1" applyFont="1" applyFill="1" applyBorder="1" applyAlignment="1">
      <alignment horizontal="left" vertical="center"/>
    </xf>
    <xf numFmtId="164" fontId="2" fillId="13" borderId="8" xfId="0" applyNumberFormat="1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3" borderId="9" xfId="0" applyFont="1" applyFill="1" applyBorder="1" applyAlignment="1">
      <alignment horizontal="left" vertical="center"/>
    </xf>
    <xf numFmtId="0" fontId="2" fillId="14" borderId="7" xfId="3" applyFont="1" applyFill="1" applyBorder="1" applyAlignment="1">
      <alignment horizontal="left" vertical="center"/>
    </xf>
    <xf numFmtId="0" fontId="2" fillId="14" borderId="11" xfId="0" applyFont="1" applyFill="1" applyBorder="1" applyAlignment="1">
      <alignment horizontal="left" vertical="center"/>
    </xf>
    <xf numFmtId="166" fontId="2" fillId="14" borderId="8" xfId="0" applyNumberFormat="1" applyFont="1" applyFill="1" applyBorder="1" applyAlignment="1">
      <alignment horizontal="left" vertical="center"/>
    </xf>
    <xf numFmtId="43" fontId="2" fillId="14" borderId="8" xfId="1" applyFont="1" applyFill="1" applyBorder="1" applyAlignment="1">
      <alignment horizontal="left" vertical="center"/>
    </xf>
    <xf numFmtId="164" fontId="2" fillId="14" borderId="8" xfId="0" applyNumberFormat="1" applyFont="1" applyFill="1" applyBorder="1" applyAlignment="1">
      <alignment horizontal="left" vertical="center"/>
    </xf>
    <xf numFmtId="0" fontId="2" fillId="14" borderId="8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3" fillId="13" borderId="7" xfId="3" applyFont="1" applyFill="1" applyBorder="1" applyAlignment="1">
      <alignment horizontal="left" vertical="center"/>
    </xf>
    <xf numFmtId="0" fontId="3" fillId="13" borderId="11" xfId="0" applyFont="1" applyFill="1" applyBorder="1" applyAlignment="1">
      <alignment horizontal="left" vertical="center"/>
    </xf>
    <xf numFmtId="166" fontId="3" fillId="13" borderId="8" xfId="0" applyNumberFormat="1" applyFont="1" applyFill="1" applyBorder="1" applyAlignment="1">
      <alignment horizontal="left" vertical="center"/>
    </xf>
    <xf numFmtId="43" fontId="3" fillId="13" borderId="8" xfId="1" applyFont="1" applyFill="1" applyBorder="1" applyAlignment="1">
      <alignment horizontal="left" vertical="center"/>
    </xf>
    <xf numFmtId="164" fontId="3" fillId="13" borderId="8" xfId="0" applyNumberFormat="1" applyFont="1" applyFill="1" applyBorder="1" applyAlignment="1">
      <alignment horizontal="left" vertical="center"/>
    </xf>
    <xf numFmtId="0" fontId="3" fillId="13" borderId="8" xfId="0" applyFont="1" applyFill="1" applyBorder="1" applyAlignment="1">
      <alignment horizontal="left" vertical="center"/>
    </xf>
    <xf numFmtId="0" fontId="3" fillId="13" borderId="9" xfId="0" applyFont="1" applyFill="1" applyBorder="1" applyAlignment="1">
      <alignment horizontal="left" vertical="center"/>
    </xf>
    <xf numFmtId="0" fontId="3" fillId="15" borderId="7" xfId="3" applyFont="1" applyFill="1" applyBorder="1" applyAlignment="1">
      <alignment horizontal="left" vertical="center"/>
    </xf>
    <xf numFmtId="166" fontId="3" fillId="11" borderId="8" xfId="0" applyNumberFormat="1" applyFont="1" applyFill="1" applyBorder="1" applyAlignment="1">
      <alignment horizontal="left" vertical="center"/>
    </xf>
    <xf numFmtId="0" fontId="11" fillId="13" borderId="11" xfId="0" applyFont="1" applyFill="1" applyBorder="1" applyAlignment="1">
      <alignment horizontal="left" vertical="center"/>
    </xf>
    <xf numFmtId="43" fontId="0" fillId="0" borderId="1" xfId="4" applyFont="1" applyAlignment="1">
      <alignment horizontal="center"/>
    </xf>
    <xf numFmtId="0" fontId="7" fillId="18" borderId="0" xfId="0" applyFont="1" applyFill="1" applyAlignment="1">
      <alignment horizontal="center"/>
    </xf>
    <xf numFmtId="14" fontId="7" fillId="18" borderId="0" xfId="0" applyNumberFormat="1" applyFont="1" applyFill="1" applyAlignment="1">
      <alignment horizontal="center"/>
    </xf>
    <xf numFmtId="0" fontId="10" fillId="13" borderId="0" xfId="0" applyFont="1" applyFill="1" applyAlignment="1">
      <alignment horizontal="center" vertical="center"/>
    </xf>
    <xf numFmtId="43" fontId="7" fillId="16" borderId="0" xfId="0" applyNumberFormat="1" applyFont="1" applyFill="1" applyAlignment="1">
      <alignment horizontal="center" vertical="center"/>
    </xf>
    <xf numFmtId="43" fontId="7" fillId="24" borderId="1" xfId="4" applyFont="1" applyFill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1" xfId="3" applyBorder="1" applyAlignment="1">
      <alignment horizontal="left"/>
    </xf>
  </cellXfs>
  <cellStyles count="8">
    <cellStyle name="Comma" xfId="1" builtinId="3"/>
    <cellStyle name="Comma 2" xfId="4" xr:uid="{F5CBCE6D-1C82-47F1-8291-7037FDB4DC1B}"/>
    <cellStyle name="Currency 2" xfId="7" xr:uid="{94A2EBA1-D744-4CDB-BCF6-A276E10A45D0}"/>
    <cellStyle name="Hyperlink 2" xfId="5" xr:uid="{427C5CBE-0A9E-4801-8BD3-3A5923732E77}"/>
    <cellStyle name="Normal" xfId="0" builtinId="0"/>
    <cellStyle name="Normal 2" xfId="3" xr:uid="{9AE7CB73-473E-46C8-B0D8-056C2EE98FC6}"/>
    <cellStyle name="Normal 3" xfId="6" xr:uid="{AA40CC3A-1FA1-4695-8830-E9428E7CAC91}"/>
    <cellStyle name="Percent" xfId="2" builtinId="5"/>
  </cellStyles>
  <dxfs count="42">
    <dxf>
      <font>
        <color rgb="FFC00000"/>
      </font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fgColor theme="5" tint="0.39985351115451523"/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" formatCode="#,##0"/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985BB-3641-4615-BB2E-876970886E71}" name="Table15" displayName="Table15" ref="P3:S41" totalsRowShown="0" headerRowDxfId="41" dataDxfId="39" headerRowBorderDxfId="40">
  <autoFilter ref="P3:S41" xr:uid="{395985BB-3641-4615-BB2E-876970886E71}"/>
  <tableColumns count="4">
    <tableColumn id="1" xr3:uid="{9DCB9672-28E3-4EAC-ADEA-06DDA2170092}" name="S.No" dataDxfId="38"/>
    <tableColumn id="2" xr3:uid="{3A58A362-7FC3-4880-953D-8D6DE5640D33}" name="Overall Metrics (Bank Statement)" dataDxfId="37"/>
    <tableColumn id="3" xr3:uid="{7D791B3C-E697-40B9-B41B-F833B0761C2F}" name="Value" dataDxfId="36" dataCellStyle="Comma"/>
    <tableColumn id="4" xr3:uid="{D4328D8F-AB42-479A-9F54-A3D3A77CB4F1}" name="Score" dataDxfId="3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BA070-8FF9-48FA-9562-2DCDBC235323}" name="Table5106" displayName="Table5106" ref="A1:H42" totalsRowShown="0" headerRowDxfId="34" headerRowBorderDxfId="33" tableBorderDxfId="32">
  <autoFilter ref="A1:H42" xr:uid="{335BA070-8FF9-48FA-9562-2DCDBC235323}"/>
  <tableColumns count="8">
    <tableColumn id="1" xr3:uid="{0618A041-943B-46B5-9107-FF4DE07C170D}" name="Monthly Data (Bank Statement)" dataDxfId="31"/>
    <tableColumn id="2" xr3:uid="{6E203A26-2618-442C-906D-0AEAC6F0B462}" name="M1"/>
    <tableColumn id="3" xr3:uid="{445EEC9F-21CE-4BE8-86A1-1102C94DB235}" name="M2"/>
    <tableColumn id="4" xr3:uid="{2B98990E-0D7E-499F-9185-13373B659478}" name="M3"/>
    <tableColumn id="5" xr3:uid="{9C1FE597-985B-4726-B8A6-D6FE955C491B}" name="M4"/>
    <tableColumn id="6" xr3:uid="{943F3639-416C-4919-9EDC-9C4037E52FB9}" name="M5" dataDxfId="30"/>
    <tableColumn id="7" xr3:uid="{1918E051-5397-41E5-B4DD-2EC64F309E97}" name="M6"/>
    <tableColumn id="8" xr3:uid="{44FEF7F3-86B4-4B62-8685-FD6C2E8647F9}" name="M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38916-2E97-4664-A144-E352B53F264E}" name="Table3487" displayName="Table3487" ref="K3:N43" totalsRowShown="0" headerRowDxfId="29">
  <autoFilter ref="K3:N43" xr:uid="{3C138916-2E97-4664-A144-E352B53F264E}"/>
  <tableColumns count="4">
    <tableColumn id="1" xr3:uid="{42A6C920-AB26-4A5A-813D-ADD7F135291C}" name="S.No"/>
    <tableColumn id="2" xr3:uid="{153A0DF9-FCF9-42DD-B7DD-D9A7828E849D}" name="Data (Bank Statement)" dataDxfId="28"/>
    <tableColumn id="4" xr3:uid="{C860708D-A277-4F75-80A1-10D94DAEB649}" name="Value" dataCellStyle="Comma"/>
    <tableColumn id="5" xr3:uid="{75758B99-090F-4EAC-9BA2-B18252403D90}" name="Sum" dataDxfId="2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B039-7093-4739-9D6C-55CD4E82B0ED}">
  <dimension ref="A1:J1152"/>
  <sheetViews>
    <sheetView zoomScale="80" zoomScaleNormal="80" workbookViewId="0">
      <pane ySplit="1" topLeftCell="A2" activePane="bottomLeft" state="frozen"/>
      <selection pane="bottomLeft" activeCell="D1" sqref="D1"/>
    </sheetView>
  </sheetViews>
  <sheetFormatPr defaultColWidth="8.88671875" defaultRowHeight="14.4" x14ac:dyDescent="0.3"/>
  <cols>
    <col min="1" max="1" width="5" style="17" bestFit="1" customWidth="1"/>
    <col min="2" max="3" width="7.77734375" style="17" bestFit="1" customWidth="1"/>
    <col min="4" max="4" width="42.88671875" style="17" bestFit="1" customWidth="1"/>
    <col min="5" max="7" width="12.33203125" style="52" bestFit="1" customWidth="1"/>
    <col min="8" max="8" width="21.33203125" style="17" bestFit="1" customWidth="1"/>
    <col min="9" max="9" width="24.6640625" style="17" bestFit="1" customWidth="1"/>
    <col min="10" max="10" width="6.5546875" style="17" bestFit="1" customWidth="1"/>
    <col min="11" max="16384" width="8.88671875" style="17"/>
  </cols>
  <sheetData>
    <row r="1" spans="1:10" ht="15" thickBot="1" x14ac:dyDescent="0.35">
      <c r="A1" s="11" t="s">
        <v>35</v>
      </c>
      <c r="B1" s="12" t="s">
        <v>36</v>
      </c>
      <c r="C1" s="13" t="s">
        <v>0</v>
      </c>
      <c r="D1" s="13" t="s">
        <v>37</v>
      </c>
      <c r="E1" s="14" t="s">
        <v>1</v>
      </c>
      <c r="F1" s="14" t="s">
        <v>2</v>
      </c>
      <c r="G1" s="15" t="s">
        <v>3</v>
      </c>
      <c r="H1" s="16" t="s">
        <v>38</v>
      </c>
      <c r="I1" s="13" t="s">
        <v>4</v>
      </c>
      <c r="J1" s="54" t="s">
        <v>51</v>
      </c>
    </row>
    <row r="2" spans="1:10" x14ac:dyDescent="0.3">
      <c r="A2" s="18">
        <v>1</v>
      </c>
      <c r="B2" s="19" t="s">
        <v>41</v>
      </c>
      <c r="C2" s="20">
        <v>45689</v>
      </c>
      <c r="D2" s="20" t="s">
        <v>232</v>
      </c>
      <c r="E2" s="21"/>
      <c r="F2" s="21">
        <v>50000</v>
      </c>
      <c r="G2" s="21">
        <v>58849.99</v>
      </c>
      <c r="H2" s="23" t="s">
        <v>8</v>
      </c>
      <c r="I2" s="22" t="s">
        <v>8</v>
      </c>
      <c r="J2" s="176" t="str">
        <f>IF(AND(B2="BT", F2 &gt; 0.03 * SUMIF(B:B, "BT", F:F)), "ITA-C", IF(AND(B2="BT", E2 &gt; 0.03 * SUMIF(B:B, "BT", E:E)), "ITA-D", ""))</f>
        <v/>
      </c>
    </row>
    <row r="3" spans="1:10" x14ac:dyDescent="0.3">
      <c r="A3" s="18">
        <v>2</v>
      </c>
      <c r="B3" s="19" t="s">
        <v>41</v>
      </c>
      <c r="C3" s="20">
        <v>45689</v>
      </c>
      <c r="D3" s="20" t="s">
        <v>52</v>
      </c>
      <c r="E3" s="21">
        <v>85</v>
      </c>
      <c r="F3" s="21"/>
      <c r="G3" s="21">
        <v>58764.99</v>
      </c>
      <c r="H3" s="23" t="s">
        <v>6</v>
      </c>
      <c r="I3" s="22" t="s">
        <v>6</v>
      </c>
      <c r="J3" s="4" t="str">
        <f>IF(AND(B3="BT", F3 &gt; 0.03 * SUMIF(B:B, "BT", F:F)), "ITA-C", IF(AND(B3="BT", E3 &gt; 0.03 * SUMIF(B:B, "BT", E:E)), "ITA-D", ""))</f>
        <v/>
      </c>
    </row>
    <row r="4" spans="1:10" x14ac:dyDescent="0.3">
      <c r="A4" s="18">
        <v>3</v>
      </c>
      <c r="B4" s="19" t="s">
        <v>41</v>
      </c>
      <c r="C4" s="20">
        <v>45689</v>
      </c>
      <c r="D4" s="20" t="s">
        <v>227</v>
      </c>
      <c r="E4" s="21"/>
      <c r="F4" s="21">
        <v>564032</v>
      </c>
      <c r="G4" s="21">
        <v>622796.99</v>
      </c>
      <c r="H4" s="23" t="s">
        <v>5</v>
      </c>
      <c r="I4" s="22" t="s">
        <v>5</v>
      </c>
      <c r="J4" s="176" t="str">
        <f>IF(AND(B4="BT", F4 &gt; 0.03 * SUMIF(B:B, "BT", F:F)), "ITA-C", IF(AND(B4="BT", E4 &gt; 0.03 * SUMIF(B:B, "BT", E:E)), "ITA-D", ""))</f>
        <v/>
      </c>
    </row>
    <row r="5" spans="1:10" x14ac:dyDescent="0.3">
      <c r="A5" s="18">
        <v>4</v>
      </c>
      <c r="B5" s="19" t="s">
        <v>41</v>
      </c>
      <c r="C5" s="20">
        <v>45689</v>
      </c>
      <c r="D5" s="20" t="s">
        <v>52</v>
      </c>
      <c r="E5" s="21">
        <v>580</v>
      </c>
      <c r="F5" s="21"/>
      <c r="G5" s="21">
        <v>622216.99</v>
      </c>
      <c r="H5" s="23" t="s">
        <v>6</v>
      </c>
      <c r="I5" s="22" t="s">
        <v>6</v>
      </c>
      <c r="J5" s="4" t="str">
        <f>IF(AND(B5="BT", F5 &gt; 0.03 * SUMIF(B:B, "BT", F:F)), "ITA-C", IF(AND(B5="BT", E5 &gt; 0.03 * SUMIF(B:B, "BT", E:E)), "ITA-D", ""))</f>
        <v/>
      </c>
    </row>
    <row r="6" spans="1:10" x14ac:dyDescent="0.3">
      <c r="A6" s="18">
        <v>5</v>
      </c>
      <c r="B6" s="19" t="s">
        <v>41</v>
      </c>
      <c r="C6" s="20">
        <v>45689</v>
      </c>
      <c r="D6" s="20" t="s">
        <v>52</v>
      </c>
      <c r="E6" s="21">
        <v>350</v>
      </c>
      <c r="F6" s="21"/>
      <c r="G6" s="21">
        <v>621866.99</v>
      </c>
      <c r="H6" s="23" t="s">
        <v>6</v>
      </c>
      <c r="I6" s="22" t="s">
        <v>6</v>
      </c>
      <c r="J6" s="4" t="str">
        <f>IF(AND(B6="BT", F6 &gt; 0.03 * SUMIF(B:B, "BT", F:F)), "ITA-C", IF(AND(B6="BT", E6 &gt; 0.03 * SUMIF(B:B, "BT", E:E)), "ITA-D", ""))</f>
        <v/>
      </c>
    </row>
    <row r="7" spans="1:10" x14ac:dyDescent="0.3">
      <c r="A7" s="18">
        <v>6</v>
      </c>
      <c r="B7" s="19" t="s">
        <v>41</v>
      </c>
      <c r="C7" s="20">
        <v>45689</v>
      </c>
      <c r="D7" s="20" t="s">
        <v>208</v>
      </c>
      <c r="E7" s="21">
        <v>600000</v>
      </c>
      <c r="F7" s="21"/>
      <c r="G7" s="21">
        <v>21866.99</v>
      </c>
      <c r="H7" s="23" t="s">
        <v>9</v>
      </c>
      <c r="I7" s="22" t="s">
        <v>9</v>
      </c>
      <c r="J7" s="176" t="str">
        <f>IF(AND(B7="BT", F7 &gt; 0.03 * SUMIF(B:B, "BT", F:F)), "ITA-C", IF(AND(B7="BT", E7 &gt; 0.03 * SUMIF(B:B, "BT", E:E)), "ITA-D", ""))</f>
        <v/>
      </c>
    </row>
    <row r="8" spans="1:10" x14ac:dyDescent="0.3">
      <c r="A8" s="18">
        <v>7</v>
      </c>
      <c r="B8" s="24" t="s">
        <v>39</v>
      </c>
      <c r="C8" s="25">
        <v>45689</v>
      </c>
      <c r="D8" s="25" t="s">
        <v>265</v>
      </c>
      <c r="E8" s="26">
        <v>85</v>
      </c>
      <c r="F8" s="26"/>
      <c r="G8" s="26">
        <v>21781.99</v>
      </c>
      <c r="H8" s="28" t="s">
        <v>6</v>
      </c>
      <c r="I8" s="27" t="s">
        <v>6</v>
      </c>
      <c r="J8" s="176" t="str">
        <f>IF(AND(B8="BT", F8 &gt; 0.03 * SUMIF(B:B, "BT", F:F)), "ITA-C", IF(AND(B8="BT", E8 &gt; 0.03 * SUMIF(B:B, "BT", E:E)), "ITA-D", ""))</f>
        <v/>
      </c>
    </row>
    <row r="9" spans="1:10" x14ac:dyDescent="0.3">
      <c r="A9" s="18">
        <v>8</v>
      </c>
      <c r="B9" s="19" t="s">
        <v>41</v>
      </c>
      <c r="C9" s="20">
        <v>45689</v>
      </c>
      <c r="D9" s="20" t="s">
        <v>52</v>
      </c>
      <c r="E9" s="21">
        <v>2050</v>
      </c>
      <c r="F9" s="21"/>
      <c r="G9" s="21">
        <v>19731.990000000002</v>
      </c>
      <c r="H9" s="23" t="s">
        <v>6</v>
      </c>
      <c r="I9" s="22" t="s">
        <v>6</v>
      </c>
      <c r="J9" s="4" t="str">
        <f>IF(AND(B9="BT", F9 &gt; 0.03 * SUMIF(B:B, "BT", F:F)), "ITA-C", IF(AND(B9="BT", E9 &gt; 0.03 * SUMIF(B:B, "BT", E:E)), "ITA-D", ""))</f>
        <v/>
      </c>
    </row>
    <row r="10" spans="1:10" x14ac:dyDescent="0.3">
      <c r="A10" s="18">
        <v>9</v>
      </c>
      <c r="B10" s="19" t="s">
        <v>41</v>
      </c>
      <c r="C10" s="20">
        <v>45689</v>
      </c>
      <c r="D10" s="20" t="s">
        <v>52</v>
      </c>
      <c r="E10" s="21">
        <v>1000</v>
      </c>
      <c r="F10" s="21"/>
      <c r="G10" s="21">
        <v>18731.990000000002</v>
      </c>
      <c r="H10" s="23" t="s">
        <v>6</v>
      </c>
      <c r="I10" s="22" t="s">
        <v>6</v>
      </c>
      <c r="J10" s="4" t="str">
        <f>IF(AND(B10="BT", F10 &gt; 0.03 * SUMIF(B:B, "BT", F:F)), "ITA-C", IF(AND(B10="BT", E10 &gt; 0.03 * SUMIF(B:B, "BT", E:E)), "ITA-D", ""))</f>
        <v/>
      </c>
    </row>
    <row r="11" spans="1:10" x14ac:dyDescent="0.3">
      <c r="A11" s="18">
        <v>10</v>
      </c>
      <c r="B11" s="19" t="s">
        <v>41</v>
      </c>
      <c r="C11" s="20">
        <v>45689</v>
      </c>
      <c r="D11" s="20" t="s">
        <v>52</v>
      </c>
      <c r="E11" s="21">
        <v>2500</v>
      </c>
      <c r="F11" s="21"/>
      <c r="G11" s="21">
        <v>16231.99</v>
      </c>
      <c r="H11" s="23" t="s">
        <v>6</v>
      </c>
      <c r="I11" s="22" t="s">
        <v>6</v>
      </c>
      <c r="J11" s="4" t="str">
        <f>IF(AND(B11="BT", F11 &gt; 0.03 * SUMIF(B:B, "BT", F:F)), "ITA-C", IF(AND(B11="BT", E11 &gt; 0.03 * SUMIF(B:B, "BT", E:E)), "ITA-D", ""))</f>
        <v/>
      </c>
    </row>
    <row r="12" spans="1:10" x14ac:dyDescent="0.3">
      <c r="A12" s="18">
        <v>11</v>
      </c>
      <c r="B12" s="19" t="s">
        <v>41</v>
      </c>
      <c r="C12" s="20">
        <v>45689</v>
      </c>
      <c r="D12" s="20" t="s">
        <v>52</v>
      </c>
      <c r="E12" s="21">
        <v>1100</v>
      </c>
      <c r="F12" s="21"/>
      <c r="G12" s="21">
        <v>15131.99</v>
      </c>
      <c r="H12" s="23" t="s">
        <v>6</v>
      </c>
      <c r="I12" s="22" t="s">
        <v>6</v>
      </c>
      <c r="J12" s="4" t="str">
        <f>IF(AND(B12="BT", F12 &gt; 0.03 * SUMIF(B:B, "BT", F:F)), "ITA-C", IF(AND(B12="BT", E12 &gt; 0.03 * SUMIF(B:B, "BT", E:E)), "ITA-D", ""))</f>
        <v/>
      </c>
    </row>
    <row r="13" spans="1:10" x14ac:dyDescent="0.3">
      <c r="A13" s="18">
        <v>12</v>
      </c>
      <c r="B13" s="24" t="s">
        <v>39</v>
      </c>
      <c r="C13" s="25">
        <v>45689</v>
      </c>
      <c r="D13" s="25" t="s">
        <v>265</v>
      </c>
      <c r="E13" s="26">
        <v>588.04999999999995</v>
      </c>
      <c r="F13" s="26"/>
      <c r="G13" s="26">
        <v>14543.94</v>
      </c>
      <c r="H13" s="28" t="s">
        <v>6</v>
      </c>
      <c r="I13" s="27" t="s">
        <v>6</v>
      </c>
      <c r="J13" s="176" t="str">
        <f>IF(AND(B13="BT", F13 &gt; 0.03 * SUMIF(B:B, "BT", F:F)), "ITA-C", IF(AND(B13="BT", E13 &gt; 0.03 * SUMIF(B:B, "BT", E:E)), "ITA-D", ""))</f>
        <v/>
      </c>
    </row>
    <row r="14" spans="1:10" x14ac:dyDescent="0.3">
      <c r="A14" s="18">
        <v>13</v>
      </c>
      <c r="B14" s="19" t="s">
        <v>41</v>
      </c>
      <c r="C14" s="20">
        <v>45690</v>
      </c>
      <c r="D14" s="20" t="s">
        <v>52</v>
      </c>
      <c r="E14" s="21">
        <v>12</v>
      </c>
      <c r="F14" s="21"/>
      <c r="G14" s="21">
        <v>14531.94</v>
      </c>
      <c r="H14" s="23" t="s">
        <v>6</v>
      </c>
      <c r="I14" s="22" t="s">
        <v>6</v>
      </c>
      <c r="J14" s="4" t="str">
        <f>IF(AND(B14="BT", F14 &gt; 0.03 * SUMIF(B:B, "BT", F:F)), "ITA-C", IF(AND(B14="BT", E14 &gt; 0.03 * SUMIF(B:B, "BT", E:E)), "ITA-D", ""))</f>
        <v/>
      </c>
    </row>
    <row r="15" spans="1:10" x14ac:dyDescent="0.3">
      <c r="A15" s="18">
        <v>14</v>
      </c>
      <c r="B15" s="19" t="s">
        <v>41</v>
      </c>
      <c r="C15" s="20">
        <v>45690</v>
      </c>
      <c r="D15" s="20" t="s">
        <v>52</v>
      </c>
      <c r="E15" s="21">
        <v>450</v>
      </c>
      <c r="F15" s="21"/>
      <c r="G15" s="21">
        <v>14081.94</v>
      </c>
      <c r="H15" s="23" t="s">
        <v>6</v>
      </c>
      <c r="I15" s="22" t="s">
        <v>6</v>
      </c>
      <c r="J15" s="4" t="str">
        <f>IF(AND(B15="BT", F15 &gt; 0.03 * SUMIF(B:B, "BT", F:F)), "ITA-C", IF(AND(B15="BT", E15 &gt; 0.03 * SUMIF(B:B, "BT", E:E)), "ITA-D", ""))</f>
        <v/>
      </c>
    </row>
    <row r="16" spans="1:10" x14ac:dyDescent="0.3">
      <c r="A16" s="18">
        <v>15</v>
      </c>
      <c r="B16" s="19" t="s">
        <v>41</v>
      </c>
      <c r="C16" s="20">
        <v>45690</v>
      </c>
      <c r="D16" s="20" t="s">
        <v>52</v>
      </c>
      <c r="E16" s="21">
        <v>200</v>
      </c>
      <c r="F16" s="21"/>
      <c r="G16" s="21">
        <v>13881.94</v>
      </c>
      <c r="H16" s="23" t="s">
        <v>6</v>
      </c>
      <c r="I16" s="22" t="s">
        <v>6</v>
      </c>
      <c r="J16" s="4" t="str">
        <f>IF(AND(B16="BT", F16 &gt; 0.03 * SUMIF(B:B, "BT", F:F)), "ITA-C", IF(AND(B16="BT", E16 &gt; 0.03 * SUMIF(B:B, "BT", E:E)), "ITA-D", ""))</f>
        <v/>
      </c>
    </row>
    <row r="17" spans="1:10" x14ac:dyDescent="0.3">
      <c r="A17" s="18">
        <v>16</v>
      </c>
      <c r="B17" s="19" t="s">
        <v>41</v>
      </c>
      <c r="C17" s="20">
        <v>45690</v>
      </c>
      <c r="D17" s="20" t="s">
        <v>52</v>
      </c>
      <c r="E17" s="21">
        <v>170</v>
      </c>
      <c r="F17" s="21"/>
      <c r="G17" s="21">
        <v>13711.94</v>
      </c>
      <c r="H17" s="23" t="s">
        <v>6</v>
      </c>
      <c r="I17" s="22" t="s">
        <v>6</v>
      </c>
      <c r="J17" s="4" t="str">
        <f>IF(AND(B17="BT", F17 &gt; 0.03 * SUMIF(B:B, "BT", F:F)), "ITA-C", IF(AND(B17="BT", E17 &gt; 0.03 * SUMIF(B:B, "BT", E:E)), "ITA-D", ""))</f>
        <v/>
      </c>
    </row>
    <row r="18" spans="1:10" x14ac:dyDescent="0.3">
      <c r="A18" s="18">
        <v>17</v>
      </c>
      <c r="B18" s="19" t="s">
        <v>41</v>
      </c>
      <c r="C18" s="20">
        <v>45690</v>
      </c>
      <c r="D18" s="20" t="s">
        <v>52</v>
      </c>
      <c r="E18" s="21">
        <v>460</v>
      </c>
      <c r="F18" s="21"/>
      <c r="G18" s="21">
        <v>13251.94</v>
      </c>
      <c r="H18" s="23" t="s">
        <v>6</v>
      </c>
      <c r="I18" s="22" t="s">
        <v>6</v>
      </c>
      <c r="J18" s="4" t="str">
        <f>IF(AND(B18="BT", F18 &gt; 0.03 * SUMIF(B:B, "BT", F:F)), "ITA-C", IF(AND(B18="BT", E18 &gt; 0.03 * SUMIF(B:B, "BT", E:E)), "ITA-D", ""))</f>
        <v/>
      </c>
    </row>
    <row r="19" spans="1:10" x14ac:dyDescent="0.3">
      <c r="A19" s="18">
        <v>18</v>
      </c>
      <c r="B19" s="19" t="s">
        <v>41</v>
      </c>
      <c r="C19" s="20">
        <v>45690</v>
      </c>
      <c r="D19" s="20" t="s">
        <v>52</v>
      </c>
      <c r="E19" s="21">
        <v>6600</v>
      </c>
      <c r="F19" s="21"/>
      <c r="G19" s="21">
        <v>6651.94</v>
      </c>
      <c r="H19" s="23" t="s">
        <v>6</v>
      </c>
      <c r="I19" s="22" t="s">
        <v>6</v>
      </c>
      <c r="J19" s="4" t="str">
        <f>IF(AND(B19="BT", F19 &gt; 0.03 * SUMIF(B:B, "BT", F:F)), "ITA-C", IF(AND(B19="BT", E19 &gt; 0.03 * SUMIF(B:B, "BT", E:E)), "ITA-D", ""))</f>
        <v/>
      </c>
    </row>
    <row r="20" spans="1:10" x14ac:dyDescent="0.3">
      <c r="A20" s="18">
        <v>19</v>
      </c>
      <c r="B20" s="19" t="s">
        <v>41</v>
      </c>
      <c r="C20" s="20">
        <v>45690</v>
      </c>
      <c r="D20" s="20" t="s">
        <v>52</v>
      </c>
      <c r="E20" s="21">
        <v>500</v>
      </c>
      <c r="F20" s="21"/>
      <c r="G20" s="21">
        <v>6151.94</v>
      </c>
      <c r="H20" s="23" t="s">
        <v>6</v>
      </c>
      <c r="I20" s="22" t="s">
        <v>6</v>
      </c>
      <c r="J20" s="4" t="str">
        <f>IF(AND(B20="BT", F20 &gt; 0.03 * SUMIF(B:B, "BT", F:F)), "ITA-C", IF(AND(B20="BT", E20 &gt; 0.03 * SUMIF(B:B, "BT", E:E)), "ITA-D", ""))</f>
        <v/>
      </c>
    </row>
    <row r="21" spans="1:10" x14ac:dyDescent="0.3">
      <c r="A21" s="18">
        <v>20</v>
      </c>
      <c r="B21" s="19" t="s">
        <v>41</v>
      </c>
      <c r="C21" s="20">
        <v>45690</v>
      </c>
      <c r="D21" s="20" t="s">
        <v>52</v>
      </c>
      <c r="E21" s="21">
        <v>172</v>
      </c>
      <c r="F21" s="21"/>
      <c r="G21" s="21">
        <v>5979.94</v>
      </c>
      <c r="H21" s="23" t="s">
        <v>6</v>
      </c>
      <c r="I21" s="22" t="s">
        <v>6</v>
      </c>
      <c r="J21" s="4" t="str">
        <f>IF(AND(B21="BT", F21 &gt; 0.03 * SUMIF(B:B, "BT", F:F)), "ITA-C", IF(AND(B21="BT", E21 &gt; 0.03 * SUMIF(B:B, "BT", E:E)), "ITA-D", ""))</f>
        <v/>
      </c>
    </row>
    <row r="22" spans="1:10" x14ac:dyDescent="0.3">
      <c r="A22" s="18">
        <v>21</v>
      </c>
      <c r="B22" s="19" t="s">
        <v>41</v>
      </c>
      <c r="C22" s="20">
        <v>45691</v>
      </c>
      <c r="D22" s="20" t="s">
        <v>52</v>
      </c>
      <c r="E22" s="21">
        <v>500</v>
      </c>
      <c r="F22" s="21"/>
      <c r="G22" s="21">
        <v>5479.94</v>
      </c>
      <c r="H22" s="23" t="s">
        <v>6</v>
      </c>
      <c r="I22" s="22" t="s">
        <v>6</v>
      </c>
      <c r="J22" s="4" t="str">
        <f>IF(AND(B22="BT", F22 &gt; 0.03 * SUMIF(B:B, "BT", F:F)), "ITA-C", IF(AND(B22="BT", E22 &gt; 0.03 * SUMIF(B:B, "BT", E:E)), "ITA-D", ""))</f>
        <v/>
      </c>
    </row>
    <row r="23" spans="1:10" x14ac:dyDescent="0.3">
      <c r="A23" s="18">
        <v>22</v>
      </c>
      <c r="B23" s="19" t="s">
        <v>41</v>
      </c>
      <c r="C23" s="20">
        <v>45691</v>
      </c>
      <c r="D23" s="20" t="s">
        <v>52</v>
      </c>
      <c r="E23" s="21">
        <v>2050</v>
      </c>
      <c r="F23" s="21"/>
      <c r="G23" s="21">
        <v>3429.94</v>
      </c>
      <c r="H23" s="23" t="s">
        <v>6</v>
      </c>
      <c r="I23" s="22" t="s">
        <v>6</v>
      </c>
      <c r="J23" s="4" t="str">
        <f>IF(AND(B23="BT", F23 &gt; 0.03 * SUMIF(B:B, "BT", F:F)), "ITA-C", IF(AND(B23="BT", E23 &gt; 0.03 * SUMIF(B:B, "BT", E:E)), "ITA-D", ""))</f>
        <v/>
      </c>
    </row>
    <row r="24" spans="1:10" x14ac:dyDescent="0.3">
      <c r="A24" s="18">
        <v>23</v>
      </c>
      <c r="B24" s="19" t="s">
        <v>41</v>
      </c>
      <c r="C24" s="20">
        <v>45691</v>
      </c>
      <c r="D24" s="20" t="s">
        <v>52</v>
      </c>
      <c r="E24" s="21">
        <v>61</v>
      </c>
      <c r="F24" s="21"/>
      <c r="G24" s="21">
        <v>3368.94</v>
      </c>
      <c r="H24" s="23" t="s">
        <v>6</v>
      </c>
      <c r="I24" s="22" t="s">
        <v>6</v>
      </c>
      <c r="J24" s="4" t="str">
        <f>IF(AND(B24="BT", F24 &gt; 0.03 * SUMIF(B:B, "BT", F:F)), "ITA-C", IF(AND(B24="BT", E24 &gt; 0.03 * SUMIF(B:B, "BT", E:E)), "ITA-D", ""))</f>
        <v/>
      </c>
    </row>
    <row r="25" spans="1:10" x14ac:dyDescent="0.3">
      <c r="A25" s="18">
        <v>24</v>
      </c>
      <c r="B25" s="24" t="s">
        <v>39</v>
      </c>
      <c r="C25" s="25">
        <v>45691</v>
      </c>
      <c r="D25" s="6" t="s">
        <v>258</v>
      </c>
      <c r="E25" s="26">
        <v>17.7</v>
      </c>
      <c r="F25" s="26"/>
      <c r="G25" s="26">
        <v>3351.24</v>
      </c>
      <c r="H25" s="28" t="s">
        <v>24</v>
      </c>
      <c r="I25" s="27" t="s">
        <v>24</v>
      </c>
      <c r="J25" s="4" t="str">
        <f>IF(AND(B25="BT", F25 &gt; 0.03 * SUMIF(B:B, "BT", F:F)), "ITA-C", IF(AND(B25="BT", E25 &gt; 0.03 * SUMIF(B:B, "BT", E:E)), "ITA-D", ""))</f>
        <v/>
      </c>
    </row>
    <row r="26" spans="1:10" x14ac:dyDescent="0.3">
      <c r="A26" s="18">
        <v>25</v>
      </c>
      <c r="B26" s="19" t="s">
        <v>41</v>
      </c>
      <c r="C26" s="20">
        <v>45691</v>
      </c>
      <c r="D26" s="20" t="s">
        <v>52</v>
      </c>
      <c r="E26" s="21">
        <v>1000</v>
      </c>
      <c r="F26" s="21"/>
      <c r="G26" s="21">
        <v>2351.2399999999998</v>
      </c>
      <c r="H26" s="23" t="s">
        <v>6</v>
      </c>
      <c r="I26" s="22" t="s">
        <v>6</v>
      </c>
      <c r="J26" s="4" t="str">
        <f>IF(AND(B26="BT", F26 &gt; 0.03 * SUMIF(B:B, "BT", F:F)), "ITA-C", IF(AND(B26="BT", E26 &gt; 0.03 * SUMIF(B:B, "BT", E:E)), "ITA-D", ""))</f>
        <v/>
      </c>
    </row>
    <row r="27" spans="1:10" x14ac:dyDescent="0.3">
      <c r="A27" s="18">
        <v>26</v>
      </c>
      <c r="B27" s="19" t="s">
        <v>41</v>
      </c>
      <c r="C27" s="20">
        <v>45691</v>
      </c>
      <c r="D27" s="20" t="s">
        <v>232</v>
      </c>
      <c r="E27" s="21"/>
      <c r="F27" s="21">
        <v>60000</v>
      </c>
      <c r="G27" s="21">
        <v>62351.24</v>
      </c>
      <c r="H27" s="23" t="s">
        <v>8</v>
      </c>
      <c r="I27" s="22" t="s">
        <v>8</v>
      </c>
      <c r="J27" s="176" t="str">
        <f>IF(AND(B27="BT", F27 &gt; 0.03 * SUMIF(B:B, "BT", F:F)), "ITA-C", IF(AND(B27="BT", E27 &gt; 0.03 * SUMIF(B:B, "BT", E:E)), "ITA-D", ""))</f>
        <v/>
      </c>
    </row>
    <row r="28" spans="1:10" x14ac:dyDescent="0.3">
      <c r="A28" s="18">
        <v>27</v>
      </c>
      <c r="B28" s="19" t="s">
        <v>41</v>
      </c>
      <c r="C28" s="20">
        <v>45691</v>
      </c>
      <c r="D28" s="20" t="s">
        <v>192</v>
      </c>
      <c r="E28" s="21"/>
      <c r="F28" s="21">
        <v>100000</v>
      </c>
      <c r="G28" s="21">
        <v>162351.24</v>
      </c>
      <c r="H28" s="23" t="s">
        <v>8</v>
      </c>
      <c r="I28" s="22" t="s">
        <v>8</v>
      </c>
      <c r="J28" s="176" t="str">
        <f>IF(AND(B28="BT", F28 &gt; 0.03 * SUMIF(B:B, "BT", F:F)), "ITA-C", IF(AND(B28="BT", E28 &gt; 0.03 * SUMIF(B:B, "BT", E:E)), "ITA-D", ""))</f>
        <v/>
      </c>
    </row>
    <row r="29" spans="1:10" s="34" customFormat="1" x14ac:dyDescent="0.3">
      <c r="A29" s="18">
        <v>28</v>
      </c>
      <c r="B29" s="19" t="s">
        <v>41</v>
      </c>
      <c r="C29" s="20">
        <v>45692</v>
      </c>
      <c r="D29" s="20" t="s">
        <v>52</v>
      </c>
      <c r="E29" s="21">
        <v>6238.45</v>
      </c>
      <c r="F29" s="21"/>
      <c r="G29" s="21">
        <v>156112.79</v>
      </c>
      <c r="H29" s="23" t="s">
        <v>6</v>
      </c>
      <c r="I29" s="22" t="s">
        <v>6</v>
      </c>
      <c r="J29" s="4" t="str">
        <f>IF(AND(B29="BT", F29 &gt; 0.03 * SUMIF(B:B, "BT", F:F)), "ITA-C", IF(AND(B29="BT", E29 &gt; 0.03 * SUMIF(B:B, "BT", E:E)), "ITA-D", ""))</f>
        <v/>
      </c>
    </row>
    <row r="30" spans="1:10" x14ac:dyDescent="0.3">
      <c r="A30" s="153">
        <v>29</v>
      </c>
      <c r="B30" s="154" t="s">
        <v>48</v>
      </c>
      <c r="C30" s="36">
        <v>45692</v>
      </c>
      <c r="D30" s="36" t="s">
        <v>248</v>
      </c>
      <c r="E30" s="37"/>
      <c r="F30" s="37">
        <v>3000</v>
      </c>
      <c r="G30" s="37">
        <v>159112.79</v>
      </c>
      <c r="H30" s="39" t="s">
        <v>10</v>
      </c>
      <c r="I30" s="38" t="s">
        <v>10</v>
      </c>
      <c r="J30" s="4" t="str">
        <f>IF(AND(B30="BT", F30 &gt; 0.03 * SUMIF(B:B, "BT", F:F)), "ITA-C", IF(AND(B30="BT", E30 &gt; 0.03 * SUMIF(B:B, "BT", E:E)), "ITA-D", ""))</f>
        <v/>
      </c>
    </row>
    <row r="31" spans="1:10" x14ac:dyDescent="0.3">
      <c r="A31" s="18">
        <v>30</v>
      </c>
      <c r="B31" s="19" t="s">
        <v>41</v>
      </c>
      <c r="C31" s="20">
        <v>45692</v>
      </c>
      <c r="D31" s="20" t="s">
        <v>52</v>
      </c>
      <c r="E31" s="21">
        <v>10</v>
      </c>
      <c r="F31" s="21"/>
      <c r="G31" s="21">
        <v>159102.79</v>
      </c>
      <c r="H31" s="23" t="s">
        <v>6</v>
      </c>
      <c r="I31" s="22" t="s">
        <v>6</v>
      </c>
      <c r="J31" s="4" t="str">
        <f>IF(AND(B31="BT", F31 &gt; 0.03 * SUMIF(B:B, "BT", F:F)), "ITA-C", IF(AND(B31="BT", E31 &gt; 0.03 * SUMIF(B:B, "BT", E:E)), "ITA-D", ""))</f>
        <v/>
      </c>
    </row>
    <row r="32" spans="1:10" x14ac:dyDescent="0.3">
      <c r="A32" s="18">
        <v>31</v>
      </c>
      <c r="B32" s="19" t="s">
        <v>41</v>
      </c>
      <c r="C32" s="20">
        <v>45692</v>
      </c>
      <c r="D32" s="20" t="s">
        <v>52</v>
      </c>
      <c r="E32" s="21">
        <v>36</v>
      </c>
      <c r="F32" s="21"/>
      <c r="G32" s="21">
        <v>159066.79</v>
      </c>
      <c r="H32" s="23" t="s">
        <v>6</v>
      </c>
      <c r="I32" s="22" t="s">
        <v>6</v>
      </c>
      <c r="J32" s="4" t="str">
        <f>IF(AND(B32="BT", F32 &gt; 0.03 * SUMIF(B:B, "BT", F:F)), "ITA-C", IF(AND(B32="BT", E32 &gt; 0.03 * SUMIF(B:B, "BT", E:E)), "ITA-D", ""))</f>
        <v/>
      </c>
    </row>
    <row r="33" spans="1:10" x14ac:dyDescent="0.3">
      <c r="A33" s="18">
        <v>32</v>
      </c>
      <c r="B33" s="19" t="s">
        <v>41</v>
      </c>
      <c r="C33" s="20">
        <v>45692</v>
      </c>
      <c r="D33" s="20" t="s">
        <v>52</v>
      </c>
      <c r="E33" s="21">
        <v>574</v>
      </c>
      <c r="F33" s="21"/>
      <c r="G33" s="21">
        <v>158492.79</v>
      </c>
      <c r="H33" s="23" t="s">
        <v>6</v>
      </c>
      <c r="I33" s="22" t="s">
        <v>6</v>
      </c>
      <c r="J33" s="4" t="str">
        <f>IF(AND(B33="BT", F33 &gt; 0.03 * SUMIF(B:B, "BT", F:F)), "ITA-C", IF(AND(B33="BT", E33 &gt; 0.03 * SUMIF(B:B, "BT", E:E)), "ITA-D", ""))</f>
        <v/>
      </c>
    </row>
    <row r="34" spans="1:10" x14ac:dyDescent="0.3">
      <c r="A34" s="153">
        <v>33</v>
      </c>
      <c r="B34" s="154" t="s">
        <v>48</v>
      </c>
      <c r="C34" s="36">
        <v>45692</v>
      </c>
      <c r="D34" s="36" t="s">
        <v>248</v>
      </c>
      <c r="E34" s="37"/>
      <c r="F34" s="37">
        <v>300000</v>
      </c>
      <c r="G34" s="37">
        <v>458492.79</v>
      </c>
      <c r="H34" s="39" t="s">
        <v>10</v>
      </c>
      <c r="I34" s="38" t="s">
        <v>10</v>
      </c>
      <c r="J34" s="4" t="str">
        <f>IF(AND(B34="BT", F34 &gt; 0.03 * SUMIF(B:B, "BT", F:F)), "ITA-C", IF(AND(B34="BT", E34 &gt; 0.03 * SUMIF(B:B, "BT", E:E)), "ITA-D", ""))</f>
        <v/>
      </c>
    </row>
    <row r="35" spans="1:10" x14ac:dyDescent="0.3">
      <c r="A35" s="153">
        <v>34</v>
      </c>
      <c r="B35" s="154" t="s">
        <v>48</v>
      </c>
      <c r="C35" s="36">
        <v>45692</v>
      </c>
      <c r="D35" s="36" t="s">
        <v>248</v>
      </c>
      <c r="E35" s="37"/>
      <c r="F35" s="37">
        <v>300000</v>
      </c>
      <c r="G35" s="37">
        <v>758492.79</v>
      </c>
      <c r="H35" s="39" t="s">
        <v>10</v>
      </c>
      <c r="I35" s="38" t="s">
        <v>10</v>
      </c>
      <c r="J35" s="4" t="str">
        <f>IF(AND(B35="BT", F35 &gt; 0.03 * SUMIF(B:B, "BT", F:F)), "ITA-C", IF(AND(B35="BT", E35 &gt; 0.03 * SUMIF(B:B, "BT", E:E)), "ITA-D", ""))</f>
        <v/>
      </c>
    </row>
    <row r="36" spans="1:10" x14ac:dyDescent="0.3">
      <c r="A36" s="153">
        <v>35</v>
      </c>
      <c r="B36" s="154" t="s">
        <v>48</v>
      </c>
      <c r="C36" s="36">
        <v>45692</v>
      </c>
      <c r="D36" s="36" t="s">
        <v>248</v>
      </c>
      <c r="E36" s="37"/>
      <c r="F36" s="37">
        <v>300000</v>
      </c>
      <c r="G36" s="37">
        <v>1058492.79</v>
      </c>
      <c r="H36" s="39" t="s">
        <v>10</v>
      </c>
      <c r="I36" s="38" t="s">
        <v>10</v>
      </c>
      <c r="J36" s="4" t="str">
        <f>IF(AND(B36="BT", F36 &gt; 0.03 * SUMIF(B:B, "BT", F:F)), "ITA-C", IF(AND(B36="BT", E36 &gt; 0.03 * SUMIF(B:B, "BT", E:E)), "ITA-D", ""))</f>
        <v/>
      </c>
    </row>
    <row r="37" spans="1:10" x14ac:dyDescent="0.3">
      <c r="A37" s="18">
        <v>36</v>
      </c>
      <c r="B37" s="24" t="s">
        <v>39</v>
      </c>
      <c r="C37" s="25">
        <v>45692</v>
      </c>
      <c r="D37" s="6" t="s">
        <v>264</v>
      </c>
      <c r="E37" s="26">
        <v>1700</v>
      </c>
      <c r="F37" s="26"/>
      <c r="G37" s="26">
        <v>1056792.79</v>
      </c>
      <c r="H37" s="28" t="s">
        <v>14</v>
      </c>
      <c r="I37" s="27" t="s">
        <v>14</v>
      </c>
      <c r="J37" s="176" t="str">
        <f>IF(AND(B37="BT", F37 &gt; 0.03 * SUMIF(B:B, "BT", F:F)), "ITA-C", IF(AND(B37="BT", E37 &gt; 0.03 * SUMIF(B:B, "BT", E:E)), "ITA-D", ""))</f>
        <v/>
      </c>
    </row>
    <row r="38" spans="1:10" x14ac:dyDescent="0.3">
      <c r="A38" s="18">
        <v>37</v>
      </c>
      <c r="B38" s="24" t="s">
        <v>39</v>
      </c>
      <c r="C38" s="25">
        <v>45692</v>
      </c>
      <c r="D38" s="6" t="s">
        <v>264</v>
      </c>
      <c r="E38" s="26">
        <v>6968</v>
      </c>
      <c r="F38" s="26"/>
      <c r="G38" s="26">
        <v>1049824.79</v>
      </c>
      <c r="H38" s="28" t="s">
        <v>14</v>
      </c>
      <c r="I38" s="27" t="s">
        <v>14</v>
      </c>
      <c r="J38" s="176" t="str">
        <f>IF(AND(B38="BT", F38 &gt; 0.03 * SUMIF(B:B, "BT", F:F)), "ITA-C", IF(AND(B38="BT", E38 &gt; 0.03 * SUMIF(B:B, "BT", E:E)), "ITA-D", ""))</f>
        <v/>
      </c>
    </row>
    <row r="39" spans="1:10" x14ac:dyDescent="0.3">
      <c r="A39" s="18">
        <v>38</v>
      </c>
      <c r="B39" s="19" t="s">
        <v>41</v>
      </c>
      <c r="C39" s="20">
        <v>45692</v>
      </c>
      <c r="D39" s="20" t="s">
        <v>208</v>
      </c>
      <c r="E39" s="21">
        <v>299950</v>
      </c>
      <c r="F39" s="21"/>
      <c r="G39" s="21">
        <v>749874.79</v>
      </c>
      <c r="H39" s="23" t="s">
        <v>9</v>
      </c>
      <c r="I39" s="22" t="s">
        <v>9</v>
      </c>
      <c r="J39" s="176" t="str">
        <f>IF(AND(B39="BT", F39 &gt; 0.03 * SUMIF(B:B, "BT", F:F)), "ITA-C", IF(AND(B39="BT", E39 &gt; 0.03 * SUMIF(B:B, "BT", E:E)), "ITA-D", ""))</f>
        <v/>
      </c>
    </row>
    <row r="40" spans="1:10" x14ac:dyDescent="0.3">
      <c r="A40" s="18">
        <v>39</v>
      </c>
      <c r="B40" s="19" t="s">
        <v>41</v>
      </c>
      <c r="C40" s="20">
        <v>45692</v>
      </c>
      <c r="D40" s="20" t="s">
        <v>216</v>
      </c>
      <c r="E40" s="21">
        <v>329468</v>
      </c>
      <c r="F40" s="21"/>
      <c r="G40" s="21">
        <v>420406.79</v>
      </c>
      <c r="H40" s="23" t="s">
        <v>9</v>
      </c>
      <c r="I40" s="22" t="s">
        <v>9</v>
      </c>
      <c r="J40" s="176" t="str">
        <f>IF(AND(B40="BT", F40 &gt; 0.03 * SUMIF(B:B, "BT", F:F)), "ITA-C", IF(AND(B40="BT", E40 &gt; 0.03 * SUMIF(B:B, "BT", E:E)), "ITA-D", ""))</f>
        <v/>
      </c>
    </row>
    <row r="41" spans="1:10" x14ac:dyDescent="0.3">
      <c r="A41" s="18">
        <v>40</v>
      </c>
      <c r="B41" s="19" t="s">
        <v>41</v>
      </c>
      <c r="C41" s="20">
        <v>45692</v>
      </c>
      <c r="D41" s="20" t="s">
        <v>52</v>
      </c>
      <c r="E41" s="21">
        <v>46</v>
      </c>
      <c r="F41" s="21"/>
      <c r="G41" s="21">
        <v>420360.79</v>
      </c>
      <c r="H41" s="23" t="s">
        <v>6</v>
      </c>
      <c r="I41" s="22" t="s">
        <v>6</v>
      </c>
      <c r="J41" s="4" t="str">
        <f>IF(AND(B41="BT", F41 &gt; 0.03 * SUMIF(B:B, "BT", F:F)), "ITA-C", IF(AND(B41="BT", E41 &gt; 0.03 * SUMIF(B:B, "BT", E:E)), "ITA-D", ""))</f>
        <v/>
      </c>
    </row>
    <row r="42" spans="1:10" x14ac:dyDescent="0.3">
      <c r="A42" s="18">
        <v>41</v>
      </c>
      <c r="B42" s="19" t="s">
        <v>41</v>
      </c>
      <c r="C42" s="20">
        <v>45692</v>
      </c>
      <c r="D42" s="20" t="s">
        <v>217</v>
      </c>
      <c r="E42" s="21">
        <v>164450</v>
      </c>
      <c r="F42" s="21"/>
      <c r="G42" s="21">
        <v>255910.79</v>
      </c>
      <c r="H42" s="23" t="s">
        <v>13</v>
      </c>
      <c r="I42" s="22" t="s">
        <v>13</v>
      </c>
      <c r="J42" s="176" t="str">
        <f>IF(AND(B42="BT", F42 &gt; 0.03 * SUMIF(B:B, "BT", F:F)), "ITA-C", IF(AND(B42="BT", E42 &gt; 0.03 * SUMIF(B:B, "BT", E:E)), "ITA-D", ""))</f>
        <v/>
      </c>
    </row>
    <row r="43" spans="1:10" x14ac:dyDescent="0.3">
      <c r="A43" s="18">
        <v>42</v>
      </c>
      <c r="B43" s="19" t="s">
        <v>41</v>
      </c>
      <c r="C43" s="20">
        <v>45692</v>
      </c>
      <c r="D43" s="20" t="s">
        <v>226</v>
      </c>
      <c r="E43" s="21">
        <v>125874</v>
      </c>
      <c r="F43" s="21"/>
      <c r="G43" s="21">
        <v>130036.79</v>
      </c>
      <c r="H43" s="23" t="s">
        <v>13</v>
      </c>
      <c r="I43" s="22" t="s">
        <v>13</v>
      </c>
      <c r="J43" s="176" t="str">
        <f>IF(AND(B43="BT", F43 &gt; 0.03 * SUMIF(B:B, "BT", F:F)), "ITA-C", IF(AND(B43="BT", E43 &gt; 0.03 * SUMIF(B:B, "BT", E:E)), "ITA-D", ""))</f>
        <v/>
      </c>
    </row>
    <row r="44" spans="1:10" x14ac:dyDescent="0.3">
      <c r="A44" s="18">
        <v>43</v>
      </c>
      <c r="B44" s="19" t="s">
        <v>41</v>
      </c>
      <c r="C44" s="20">
        <v>45692</v>
      </c>
      <c r="D44" s="20" t="s">
        <v>52</v>
      </c>
      <c r="E44" s="21">
        <v>65</v>
      </c>
      <c r="F44" s="21"/>
      <c r="G44" s="21">
        <v>129971.79</v>
      </c>
      <c r="H44" s="23" t="s">
        <v>6</v>
      </c>
      <c r="I44" s="22" t="s">
        <v>6</v>
      </c>
      <c r="J44" s="4" t="str">
        <f>IF(AND(B44="BT", F44 &gt; 0.03 * SUMIF(B:B, "BT", F:F)), "ITA-C", IF(AND(B44="BT", E44 &gt; 0.03 * SUMIF(B:B, "BT", E:E)), "ITA-D", ""))</f>
        <v/>
      </c>
    </row>
    <row r="45" spans="1:10" x14ac:dyDescent="0.3">
      <c r="A45" s="18">
        <v>44</v>
      </c>
      <c r="B45" s="19" t="s">
        <v>41</v>
      </c>
      <c r="C45" s="20">
        <v>45692</v>
      </c>
      <c r="D45" s="20" t="s">
        <v>227</v>
      </c>
      <c r="E45" s="21"/>
      <c r="F45" s="21">
        <v>504010</v>
      </c>
      <c r="G45" s="21">
        <v>633981.79</v>
      </c>
      <c r="H45" s="23" t="s">
        <v>5</v>
      </c>
      <c r="I45" s="22" t="s">
        <v>5</v>
      </c>
      <c r="J45" s="176" t="str">
        <f>IF(AND(B45="BT", F45 &gt; 0.03 * SUMIF(B:B, "BT", F:F)), "ITA-C", IF(AND(B45="BT", E45 &gt; 0.03 * SUMIF(B:B, "BT", E:E)), "ITA-D", ""))</f>
        <v/>
      </c>
    </row>
    <row r="46" spans="1:10" x14ac:dyDescent="0.3">
      <c r="A46" s="18">
        <v>45</v>
      </c>
      <c r="B46" s="19" t="s">
        <v>41</v>
      </c>
      <c r="C46" s="20">
        <v>45692</v>
      </c>
      <c r="D46" s="20" t="s">
        <v>221</v>
      </c>
      <c r="E46" s="21"/>
      <c r="F46" s="21">
        <v>132001</v>
      </c>
      <c r="G46" s="21">
        <v>765982.79</v>
      </c>
      <c r="H46" s="23" t="s">
        <v>5</v>
      </c>
      <c r="I46" s="22" t="s">
        <v>5</v>
      </c>
      <c r="J46" s="176" t="str">
        <f>IF(AND(B46="BT", F46 &gt; 0.03 * SUMIF(B:B, "BT", F:F)), "ITA-C", IF(AND(B46="BT", E46 &gt; 0.03 * SUMIF(B:B, "BT", E:E)), "ITA-D", ""))</f>
        <v/>
      </c>
    </row>
    <row r="47" spans="1:10" x14ac:dyDescent="0.3">
      <c r="A47" s="153">
        <v>46</v>
      </c>
      <c r="B47" s="35" t="s">
        <v>48</v>
      </c>
      <c r="C47" s="36">
        <v>45692</v>
      </c>
      <c r="D47" s="36" t="s">
        <v>269</v>
      </c>
      <c r="E47" s="37">
        <v>50000</v>
      </c>
      <c r="F47" s="37"/>
      <c r="G47" s="37">
        <v>715982.79</v>
      </c>
      <c r="H47" s="39" t="s">
        <v>6</v>
      </c>
      <c r="I47" s="38" t="s">
        <v>6</v>
      </c>
      <c r="J47" s="4" t="str">
        <f>IF(AND(B47="BT", F47 &gt; 0.03 * SUMIF(B:B, "BT", F:F)), "ITA-C", IF(AND(B47="BT", E47 &gt; 0.03 * SUMIF(B:B, "BT", E:E)), "ITA-D", ""))</f>
        <v/>
      </c>
    </row>
    <row r="48" spans="1:10" x14ac:dyDescent="0.3">
      <c r="A48" s="18">
        <v>47</v>
      </c>
      <c r="B48" s="24" t="s">
        <v>39</v>
      </c>
      <c r="C48" s="25">
        <v>45693</v>
      </c>
      <c r="D48" s="25" t="s">
        <v>260</v>
      </c>
      <c r="E48" s="26">
        <v>90</v>
      </c>
      <c r="F48" s="26"/>
      <c r="G48" s="26">
        <v>715892.79</v>
      </c>
      <c r="H48" s="28" t="s">
        <v>12</v>
      </c>
      <c r="I48" s="27" t="s">
        <v>12</v>
      </c>
      <c r="J48" s="176" t="str">
        <f>IF(AND(B48="BT", F48 &gt; 0.03 * SUMIF(B:B, "BT", F:F)), "ITA-C", IF(AND(B48="BT", E48 &gt; 0.03 * SUMIF(B:B, "BT", E:E)), "ITA-D", ""))</f>
        <v/>
      </c>
    </row>
    <row r="49" spans="1:10" x14ac:dyDescent="0.3">
      <c r="A49" s="18">
        <v>48</v>
      </c>
      <c r="B49" s="19" t="s">
        <v>41</v>
      </c>
      <c r="C49" s="20">
        <v>45693</v>
      </c>
      <c r="D49" s="20" t="s">
        <v>52</v>
      </c>
      <c r="E49" s="21">
        <v>420</v>
      </c>
      <c r="F49" s="21"/>
      <c r="G49" s="21">
        <v>715472.79</v>
      </c>
      <c r="H49" s="23" t="s">
        <v>6</v>
      </c>
      <c r="I49" s="22" t="s">
        <v>6</v>
      </c>
      <c r="J49" s="4" t="str">
        <f>IF(AND(B49="BT", F49 &gt; 0.03 * SUMIF(B:B, "BT", F:F)), "ITA-C", IF(AND(B49="BT", E49 &gt; 0.03 * SUMIF(B:B, "BT", E:E)), "ITA-D", ""))</f>
        <v/>
      </c>
    </row>
    <row r="50" spans="1:10" x14ac:dyDescent="0.3">
      <c r="A50" s="18">
        <v>49</v>
      </c>
      <c r="B50" s="24" t="s">
        <v>39</v>
      </c>
      <c r="C50" s="25">
        <v>45693</v>
      </c>
      <c r="D50" s="6" t="s">
        <v>264</v>
      </c>
      <c r="E50" s="26">
        <v>5000</v>
      </c>
      <c r="F50" s="26"/>
      <c r="G50" s="26">
        <v>710472.79</v>
      </c>
      <c r="H50" s="28" t="s">
        <v>14</v>
      </c>
      <c r="I50" s="27" t="s">
        <v>14</v>
      </c>
      <c r="J50" s="176" t="str">
        <f>IF(AND(B50="BT", F50 &gt; 0.03 * SUMIF(B:B, "BT", F:F)), "ITA-C", IF(AND(B50="BT", E50 &gt; 0.03 * SUMIF(B:B, "BT", E:E)), "ITA-D", ""))</f>
        <v/>
      </c>
    </row>
    <row r="51" spans="1:10" x14ac:dyDescent="0.3">
      <c r="A51" s="133">
        <v>50</v>
      </c>
      <c r="B51" s="40" t="s">
        <v>47</v>
      </c>
      <c r="C51" s="41">
        <v>45693</v>
      </c>
      <c r="D51" s="41" t="s">
        <v>243</v>
      </c>
      <c r="E51" s="42">
        <v>37200</v>
      </c>
      <c r="F51" s="42"/>
      <c r="G51" s="42">
        <v>673272.79</v>
      </c>
      <c r="H51" s="44" t="s">
        <v>18</v>
      </c>
      <c r="I51" s="43" t="s">
        <v>18</v>
      </c>
      <c r="J51" s="176" t="str">
        <f>IF(AND(B51="BT", F51 &gt; 0.03 * SUMIF(B:B, "BT", F:F)), "ITA-C", IF(AND(B51="BT", E51 &gt; 0.03 * SUMIF(B:B, "BT", E:E)), "ITA-D", ""))</f>
        <v/>
      </c>
    </row>
    <row r="52" spans="1:10" x14ac:dyDescent="0.3">
      <c r="A52" s="18">
        <v>51</v>
      </c>
      <c r="B52" s="19" t="s">
        <v>41</v>
      </c>
      <c r="C52" s="20">
        <v>45693</v>
      </c>
      <c r="D52" s="20" t="s">
        <v>52</v>
      </c>
      <c r="E52" s="21"/>
      <c r="F52" s="21">
        <v>3400</v>
      </c>
      <c r="G52" s="21">
        <v>676672.79</v>
      </c>
      <c r="H52" s="23" t="s">
        <v>8</v>
      </c>
      <c r="I52" s="22" t="s">
        <v>8</v>
      </c>
      <c r="J52" s="4" t="str">
        <f>IF(AND(B52="BT", F52 &gt; 0.03 * SUMIF(B:B, "BT", F:F)), "ITA-C", IF(AND(B52="BT", E52 &gt; 0.03 * SUMIF(B:B, "BT", E:E)), "ITA-D", ""))</f>
        <v/>
      </c>
    </row>
    <row r="53" spans="1:10" x14ac:dyDescent="0.3">
      <c r="A53" s="18">
        <v>52</v>
      </c>
      <c r="B53" s="19" t="s">
        <v>41</v>
      </c>
      <c r="C53" s="20">
        <v>45693</v>
      </c>
      <c r="D53" s="20" t="s">
        <v>226</v>
      </c>
      <c r="E53" s="21">
        <v>251685</v>
      </c>
      <c r="F53" s="21"/>
      <c r="G53" s="21">
        <v>424987.79</v>
      </c>
      <c r="H53" s="23" t="s">
        <v>9</v>
      </c>
      <c r="I53" s="22" t="s">
        <v>9</v>
      </c>
      <c r="J53" s="176" t="str">
        <f>IF(AND(B53="BT", F53 &gt; 0.03 * SUMIF(B:B, "BT", F:F)), "ITA-C", IF(AND(B53="BT", E53 &gt; 0.03 * SUMIF(B:B, "BT", E:E)), "ITA-D", ""))</f>
        <v/>
      </c>
    </row>
    <row r="54" spans="1:10" x14ac:dyDescent="0.3">
      <c r="A54" s="18">
        <v>53</v>
      </c>
      <c r="B54" s="19" t="s">
        <v>41</v>
      </c>
      <c r="C54" s="20">
        <v>45693</v>
      </c>
      <c r="D54" s="20" t="s">
        <v>227</v>
      </c>
      <c r="E54" s="21">
        <v>300000</v>
      </c>
      <c r="F54" s="21"/>
      <c r="G54" s="21">
        <v>124987.79</v>
      </c>
      <c r="H54" s="23" t="s">
        <v>9</v>
      </c>
      <c r="I54" s="22" t="s">
        <v>9</v>
      </c>
      <c r="J54" s="176" t="str">
        <f>IF(AND(B54="BT", F54 &gt; 0.03 * SUMIF(B:B, "BT", F:F)), "ITA-C", IF(AND(B54="BT", E54 &gt; 0.03 * SUMIF(B:B, "BT", E:E)), "ITA-D", ""))</f>
        <v/>
      </c>
    </row>
    <row r="55" spans="1:10" x14ac:dyDescent="0.3">
      <c r="A55" s="18">
        <v>54</v>
      </c>
      <c r="B55" s="19" t="s">
        <v>41</v>
      </c>
      <c r="C55" s="20">
        <v>45693</v>
      </c>
      <c r="D55" s="20" t="s">
        <v>52</v>
      </c>
      <c r="E55" s="21">
        <v>135</v>
      </c>
      <c r="F55" s="21"/>
      <c r="G55" s="21">
        <v>124852.79</v>
      </c>
      <c r="H55" s="23" t="s">
        <v>6</v>
      </c>
      <c r="I55" s="22" t="s">
        <v>6</v>
      </c>
      <c r="J55" s="4" t="str">
        <f>IF(AND(B55="BT", F55 &gt; 0.03 * SUMIF(B:B, "BT", F:F)), "ITA-C", IF(AND(B55="BT", E55 &gt; 0.03 * SUMIF(B:B, "BT", E:E)), "ITA-D", ""))</f>
        <v/>
      </c>
    </row>
    <row r="56" spans="1:10" x14ac:dyDescent="0.3">
      <c r="A56" s="18">
        <v>55</v>
      </c>
      <c r="B56" s="19" t="s">
        <v>41</v>
      </c>
      <c r="C56" s="20">
        <v>45693</v>
      </c>
      <c r="D56" s="20" t="s">
        <v>52</v>
      </c>
      <c r="E56" s="21">
        <v>10000</v>
      </c>
      <c r="F56" s="21"/>
      <c r="G56" s="21">
        <v>114852.79</v>
      </c>
      <c r="H56" s="23" t="s">
        <v>6</v>
      </c>
      <c r="I56" s="22" t="s">
        <v>6</v>
      </c>
      <c r="J56" s="4" t="str">
        <f>IF(AND(B56="BT", F56 &gt; 0.03 * SUMIF(B:B, "BT", F:F)), "ITA-C", IF(AND(B56="BT", E56 &gt; 0.03 * SUMIF(B:B, "BT", E:E)), "ITA-D", ""))</f>
        <v/>
      </c>
    </row>
    <row r="57" spans="1:10" x14ac:dyDescent="0.3">
      <c r="A57" s="18">
        <v>56</v>
      </c>
      <c r="B57" s="19" t="s">
        <v>41</v>
      </c>
      <c r="C57" s="20">
        <v>45693</v>
      </c>
      <c r="D57" s="20" t="s">
        <v>52</v>
      </c>
      <c r="E57" s="21">
        <v>210</v>
      </c>
      <c r="F57" s="21"/>
      <c r="G57" s="21">
        <v>114642.79</v>
      </c>
      <c r="H57" s="23" t="s">
        <v>6</v>
      </c>
      <c r="I57" s="22" t="s">
        <v>6</v>
      </c>
      <c r="J57" s="4" t="str">
        <f>IF(AND(B57="BT", F57 &gt; 0.03 * SUMIF(B:B, "BT", F:F)), "ITA-C", IF(AND(B57="BT", E57 &gt; 0.03 * SUMIF(B:B, "BT", E:E)), "ITA-D", ""))</f>
        <v/>
      </c>
    </row>
    <row r="58" spans="1:10" x14ac:dyDescent="0.3">
      <c r="A58" s="18">
        <v>57</v>
      </c>
      <c r="B58" s="19" t="s">
        <v>41</v>
      </c>
      <c r="C58" s="20">
        <v>45693</v>
      </c>
      <c r="D58" s="20" t="s">
        <v>52</v>
      </c>
      <c r="E58" s="21">
        <v>1000</v>
      </c>
      <c r="F58" s="21"/>
      <c r="G58" s="21">
        <v>113642.79</v>
      </c>
      <c r="H58" s="23" t="s">
        <v>6</v>
      </c>
      <c r="I58" s="22" t="s">
        <v>6</v>
      </c>
      <c r="J58" s="4" t="str">
        <f>IF(AND(B58="BT", F58 &gt; 0.03 * SUMIF(B:B, "BT", F:F)), "ITA-C", IF(AND(B58="BT", E58 &gt; 0.03 * SUMIF(B:B, "BT", E:E)), "ITA-D", ""))</f>
        <v/>
      </c>
    </row>
    <row r="59" spans="1:10" x14ac:dyDescent="0.3">
      <c r="A59" s="18">
        <v>58</v>
      </c>
      <c r="B59" s="19" t="s">
        <v>41</v>
      </c>
      <c r="C59" s="20">
        <v>45693</v>
      </c>
      <c r="D59" s="20" t="s">
        <v>52</v>
      </c>
      <c r="E59" s="21">
        <v>105</v>
      </c>
      <c r="F59" s="21"/>
      <c r="G59" s="21">
        <v>113537.79</v>
      </c>
      <c r="H59" s="23" t="s">
        <v>6</v>
      </c>
      <c r="I59" s="22" t="s">
        <v>6</v>
      </c>
      <c r="J59" s="4" t="str">
        <f>IF(AND(B59="BT", F59 &gt; 0.03 * SUMIF(B:B, "BT", F:F)), "ITA-C", IF(AND(B59="BT", E59 &gt; 0.03 * SUMIF(B:B, "BT", E:E)), "ITA-D", ""))</f>
        <v/>
      </c>
    </row>
    <row r="60" spans="1:10" x14ac:dyDescent="0.3">
      <c r="A60" s="18">
        <v>59</v>
      </c>
      <c r="B60" s="19" t="s">
        <v>41</v>
      </c>
      <c r="C60" s="20">
        <v>45693</v>
      </c>
      <c r="D60" s="20" t="s">
        <v>52</v>
      </c>
      <c r="E60" s="21">
        <v>92</v>
      </c>
      <c r="F60" s="21"/>
      <c r="G60" s="21">
        <v>113445.79</v>
      </c>
      <c r="H60" s="23" t="s">
        <v>6</v>
      </c>
      <c r="I60" s="22" t="s">
        <v>6</v>
      </c>
      <c r="J60" s="4" t="str">
        <f>IF(AND(B60="BT", F60 &gt; 0.03 * SUMIF(B:B, "BT", F:F)), "ITA-C", IF(AND(B60="BT", E60 &gt; 0.03 * SUMIF(B:B, "BT", E:E)), "ITA-D", ""))</f>
        <v/>
      </c>
    </row>
    <row r="61" spans="1:10" x14ac:dyDescent="0.3">
      <c r="A61" s="18">
        <v>60</v>
      </c>
      <c r="B61" s="24" t="s">
        <v>39</v>
      </c>
      <c r="C61" s="25">
        <v>45693</v>
      </c>
      <c r="D61" s="25" t="s">
        <v>265</v>
      </c>
      <c r="E61" s="26">
        <v>2550</v>
      </c>
      <c r="F61" s="26"/>
      <c r="G61" s="26">
        <v>110895.79</v>
      </c>
      <c r="H61" s="28" t="s">
        <v>16</v>
      </c>
      <c r="I61" s="27" t="s">
        <v>16</v>
      </c>
      <c r="J61" s="176" t="str">
        <f>IF(AND(B61="BT", F61 &gt; 0.03 * SUMIF(B:B, "BT", F:F)), "ITA-C", IF(AND(B61="BT", E61 &gt; 0.03 * SUMIF(B:B, "BT", E:E)), "ITA-D", ""))</f>
        <v/>
      </c>
    </row>
    <row r="62" spans="1:10" x14ac:dyDescent="0.3">
      <c r="A62" s="18">
        <v>61</v>
      </c>
      <c r="B62" s="19" t="s">
        <v>41</v>
      </c>
      <c r="C62" s="20">
        <v>45693</v>
      </c>
      <c r="D62" s="20" t="s">
        <v>52</v>
      </c>
      <c r="E62" s="21">
        <v>765</v>
      </c>
      <c r="F62" s="21"/>
      <c r="G62" s="21">
        <v>110130.79</v>
      </c>
      <c r="H62" s="23" t="s">
        <v>6</v>
      </c>
      <c r="I62" s="22" t="s">
        <v>6</v>
      </c>
      <c r="J62" s="4" t="str">
        <f>IF(AND(B62="BT", F62 &gt; 0.03 * SUMIF(B:B, "BT", F:F)), "ITA-C", IF(AND(B62="BT", E62 &gt; 0.03 * SUMIF(B:B, "BT", E:E)), "ITA-D", ""))</f>
        <v/>
      </c>
    </row>
    <row r="63" spans="1:10" x14ac:dyDescent="0.3">
      <c r="A63" s="18">
        <v>62</v>
      </c>
      <c r="B63" s="19" t="s">
        <v>41</v>
      </c>
      <c r="C63" s="20">
        <v>45693</v>
      </c>
      <c r="D63" s="20" t="s">
        <v>52</v>
      </c>
      <c r="E63" s="21">
        <v>10</v>
      </c>
      <c r="F63" s="21"/>
      <c r="G63" s="21">
        <v>110120.79</v>
      </c>
      <c r="H63" s="23" t="s">
        <v>6</v>
      </c>
      <c r="I63" s="22" t="s">
        <v>6</v>
      </c>
      <c r="J63" s="4" t="str">
        <f>IF(AND(B63="BT", F63 &gt; 0.03 * SUMIF(B:B, "BT", F:F)), "ITA-C", IF(AND(B63="BT", E63 &gt; 0.03 * SUMIF(B:B, "BT", E:E)), "ITA-D", ""))</f>
        <v/>
      </c>
    </row>
    <row r="64" spans="1:10" x14ac:dyDescent="0.3">
      <c r="A64" s="18">
        <v>63</v>
      </c>
      <c r="B64" s="19" t="s">
        <v>41</v>
      </c>
      <c r="C64" s="20">
        <v>45694</v>
      </c>
      <c r="D64" s="20" t="s">
        <v>52</v>
      </c>
      <c r="E64" s="21">
        <v>450</v>
      </c>
      <c r="F64" s="21"/>
      <c r="G64" s="21">
        <v>109670.79</v>
      </c>
      <c r="H64" s="23" t="s">
        <v>6</v>
      </c>
      <c r="I64" s="22" t="s">
        <v>6</v>
      </c>
      <c r="J64" s="4" t="str">
        <f>IF(AND(B64="BT", F64 &gt; 0.03 * SUMIF(B:B, "BT", F:F)), "ITA-C", IF(AND(B64="BT", E64 &gt; 0.03 * SUMIF(B:B, "BT", E:E)), "ITA-D", ""))</f>
        <v/>
      </c>
    </row>
    <row r="65" spans="1:10" x14ac:dyDescent="0.3">
      <c r="A65" s="153">
        <v>64</v>
      </c>
      <c r="B65" s="35" t="s">
        <v>48</v>
      </c>
      <c r="C65" s="36">
        <v>45694</v>
      </c>
      <c r="D65" s="36" t="s">
        <v>271</v>
      </c>
      <c r="E65" s="37">
        <v>50000</v>
      </c>
      <c r="F65" s="37"/>
      <c r="G65" s="37">
        <v>59670.79</v>
      </c>
      <c r="H65" s="39" t="s">
        <v>6</v>
      </c>
      <c r="I65" s="38" t="s">
        <v>6</v>
      </c>
      <c r="J65" s="176" t="str">
        <f>IF(AND(B65="BT", F65 &gt; 0.03 * SUMIF(B:B, "BT", F:F)), "ITA-C", IF(AND(B65="BT", E65 &gt; 0.03 * SUMIF(B:B, "BT", E:E)), "ITA-D", ""))</f>
        <v/>
      </c>
    </row>
    <row r="66" spans="1:10" x14ac:dyDescent="0.3">
      <c r="A66" s="18">
        <v>65</v>
      </c>
      <c r="B66" s="19" t="s">
        <v>41</v>
      </c>
      <c r="C66" s="20">
        <v>45694</v>
      </c>
      <c r="D66" s="20" t="s">
        <v>52</v>
      </c>
      <c r="E66" s="21"/>
      <c r="F66" s="21">
        <v>4368</v>
      </c>
      <c r="G66" s="21">
        <v>64038.79</v>
      </c>
      <c r="H66" s="23" t="s">
        <v>8</v>
      </c>
      <c r="I66" s="22" t="s">
        <v>8</v>
      </c>
      <c r="J66" s="4" t="str">
        <f>IF(AND(B66="BT", F66 &gt; 0.03 * SUMIF(B:B, "BT", F:F)), "ITA-C", IF(AND(B66="BT", E66 &gt; 0.03 * SUMIF(B:B, "BT", E:E)), "ITA-D", ""))</f>
        <v/>
      </c>
    </row>
    <row r="67" spans="1:10" x14ac:dyDescent="0.3">
      <c r="A67" s="18">
        <v>66</v>
      </c>
      <c r="B67" s="19" t="s">
        <v>41</v>
      </c>
      <c r="C67" s="20">
        <v>45694</v>
      </c>
      <c r="D67" s="20" t="s">
        <v>52</v>
      </c>
      <c r="E67" s="21"/>
      <c r="F67" s="21">
        <v>3200</v>
      </c>
      <c r="G67" s="21">
        <v>67238.789999999994</v>
      </c>
      <c r="H67" s="23" t="s">
        <v>8</v>
      </c>
      <c r="I67" s="22" t="s">
        <v>8</v>
      </c>
      <c r="J67" s="4" t="str">
        <f>IF(AND(B67="BT", F67 &gt; 0.03 * SUMIF(B:B, "BT", F:F)), "ITA-C", IF(AND(B67="BT", E67 &gt; 0.03 * SUMIF(B:B, "BT", E:E)), "ITA-D", ""))</f>
        <v/>
      </c>
    </row>
    <row r="68" spans="1:10" s="34" customFormat="1" x14ac:dyDescent="0.3">
      <c r="A68" s="18">
        <v>67</v>
      </c>
      <c r="B68" s="19" t="s">
        <v>41</v>
      </c>
      <c r="C68" s="20">
        <v>45694</v>
      </c>
      <c r="D68" s="20" t="s">
        <v>52</v>
      </c>
      <c r="E68" s="21">
        <v>363</v>
      </c>
      <c r="F68" s="21"/>
      <c r="G68" s="21">
        <v>66875.789999999994</v>
      </c>
      <c r="H68" s="23" t="s">
        <v>6</v>
      </c>
      <c r="I68" s="22" t="s">
        <v>6</v>
      </c>
      <c r="J68" s="4" t="str">
        <f>IF(AND(B68="BT", F68 &gt; 0.03 * SUMIF(B:B, "BT", F:F)), "ITA-C", IF(AND(B68="BT", E68 &gt; 0.03 * SUMIF(B:B, "BT", E:E)), "ITA-D", ""))</f>
        <v/>
      </c>
    </row>
    <row r="69" spans="1:10" x14ac:dyDescent="0.3">
      <c r="A69" s="18">
        <v>68</v>
      </c>
      <c r="B69" s="24" t="s">
        <v>39</v>
      </c>
      <c r="C69" s="25">
        <v>45694</v>
      </c>
      <c r="D69" s="6" t="s">
        <v>258</v>
      </c>
      <c r="E69" s="26">
        <v>23.6</v>
      </c>
      <c r="F69" s="26"/>
      <c r="G69" s="26">
        <v>66852.19</v>
      </c>
      <c r="H69" s="28" t="s">
        <v>24</v>
      </c>
      <c r="I69" s="27" t="s">
        <v>24</v>
      </c>
      <c r="J69" s="4" t="str">
        <f>IF(AND(B69="BT", F69 &gt; 0.03 * SUMIF(B:B, "BT", F:F)), "ITA-C", IF(AND(B69="BT", E69 &gt; 0.03 * SUMIF(B:B, "BT", E:E)), "ITA-D", ""))</f>
        <v/>
      </c>
    </row>
    <row r="70" spans="1:10" x14ac:dyDescent="0.3">
      <c r="A70" s="18">
        <v>69</v>
      </c>
      <c r="B70" s="24" t="s">
        <v>39</v>
      </c>
      <c r="C70" s="25">
        <v>45694</v>
      </c>
      <c r="D70" s="6" t="s">
        <v>258</v>
      </c>
      <c r="E70" s="26">
        <v>23.6</v>
      </c>
      <c r="F70" s="26"/>
      <c r="G70" s="26">
        <v>66828.59</v>
      </c>
      <c r="H70" s="28" t="s">
        <v>24</v>
      </c>
      <c r="I70" s="27" t="s">
        <v>24</v>
      </c>
      <c r="J70" s="4" t="str">
        <f>IF(AND(B70="BT", F70 &gt; 0.03 * SUMIF(B:B, "BT", F:F)), "ITA-C", IF(AND(B70="BT", E70 &gt; 0.03 * SUMIF(B:B, "BT", E:E)), "ITA-D", ""))</f>
        <v/>
      </c>
    </row>
    <row r="71" spans="1:10" x14ac:dyDescent="0.3">
      <c r="A71" s="18">
        <v>70</v>
      </c>
      <c r="B71" s="24" t="s">
        <v>39</v>
      </c>
      <c r="C71" s="25">
        <v>45694</v>
      </c>
      <c r="D71" s="6" t="s">
        <v>258</v>
      </c>
      <c r="E71" s="26">
        <v>70.8</v>
      </c>
      <c r="F71" s="26"/>
      <c r="G71" s="26">
        <v>66757.789999999994</v>
      </c>
      <c r="H71" s="28" t="s">
        <v>24</v>
      </c>
      <c r="I71" s="27" t="s">
        <v>24</v>
      </c>
      <c r="J71" s="4" t="str">
        <f>IF(AND(B71="BT", F71 &gt; 0.03 * SUMIF(B:B, "BT", F:F)), "ITA-C", IF(AND(B71="BT", E71 &gt; 0.03 * SUMIF(B:B, "BT", E:E)), "ITA-D", ""))</f>
        <v/>
      </c>
    </row>
    <row r="72" spans="1:10" s="34" customFormat="1" x14ac:dyDescent="0.3">
      <c r="A72" s="18">
        <v>71</v>
      </c>
      <c r="B72" s="19" t="s">
        <v>41</v>
      </c>
      <c r="C72" s="20">
        <v>45694</v>
      </c>
      <c r="D72" s="20" t="s">
        <v>52</v>
      </c>
      <c r="E72" s="21">
        <v>49</v>
      </c>
      <c r="F72" s="21"/>
      <c r="G72" s="21">
        <v>66708.789999999994</v>
      </c>
      <c r="H72" s="23" t="s">
        <v>6</v>
      </c>
      <c r="I72" s="22" t="s">
        <v>6</v>
      </c>
      <c r="J72" s="4" t="str">
        <f>IF(AND(B72="BT", F72 &gt; 0.03 * SUMIF(B:B, "BT", F:F)), "ITA-C", IF(AND(B72="BT", E72 &gt; 0.03 * SUMIF(B:B, "BT", E:E)), "ITA-D", ""))</f>
        <v/>
      </c>
    </row>
    <row r="73" spans="1:10" x14ac:dyDescent="0.3">
      <c r="A73" s="18">
        <v>72</v>
      </c>
      <c r="B73" s="19" t="s">
        <v>41</v>
      </c>
      <c r="C73" s="20">
        <v>45694</v>
      </c>
      <c r="D73" s="20" t="s">
        <v>193</v>
      </c>
      <c r="E73" s="21"/>
      <c r="F73" s="21">
        <v>168001</v>
      </c>
      <c r="G73" s="21">
        <v>234709.79</v>
      </c>
      <c r="H73" s="23" t="s">
        <v>5</v>
      </c>
      <c r="I73" s="22" t="s">
        <v>5</v>
      </c>
      <c r="J73" s="176" t="str">
        <f>IF(AND(B73="BT", F73 &gt; 0.03 * SUMIF(B:B, "BT", F:F)), "ITA-C", IF(AND(B73="BT", E73 &gt; 0.03 * SUMIF(B:B, "BT", E:E)), "ITA-D", ""))</f>
        <v/>
      </c>
    </row>
    <row r="74" spans="1:10" x14ac:dyDescent="0.3">
      <c r="A74" s="146">
        <v>73</v>
      </c>
      <c r="B74" s="29" t="s">
        <v>42</v>
      </c>
      <c r="C74" s="30">
        <v>45694</v>
      </c>
      <c r="D74" s="30" t="s">
        <v>54</v>
      </c>
      <c r="E74" s="31">
        <v>10000</v>
      </c>
      <c r="F74" s="31"/>
      <c r="G74" s="31">
        <v>224709.79</v>
      </c>
      <c r="H74" s="33" t="s">
        <v>20</v>
      </c>
      <c r="I74" s="32" t="s">
        <v>20</v>
      </c>
      <c r="J74" s="4" t="str">
        <f>IF(AND(B74="BT", F74 &gt; 0.03 * SUMIF(B:B, "BT", F:F)), "ITA-C", IF(AND(B74="BT", E74 &gt; 0.03 * SUMIF(B:B, "BT", E:E)), "ITA-D", ""))</f>
        <v/>
      </c>
    </row>
    <row r="75" spans="1:10" x14ac:dyDescent="0.3">
      <c r="A75" s="18">
        <v>74</v>
      </c>
      <c r="B75" s="19" t="s">
        <v>41</v>
      </c>
      <c r="C75" s="20">
        <v>45695</v>
      </c>
      <c r="D75" s="20" t="s">
        <v>52</v>
      </c>
      <c r="E75" s="21">
        <v>16460</v>
      </c>
      <c r="F75" s="21"/>
      <c r="G75" s="21">
        <v>208249.79</v>
      </c>
      <c r="H75" s="23" t="s">
        <v>6</v>
      </c>
      <c r="I75" s="22" t="s">
        <v>6</v>
      </c>
      <c r="J75" s="4" t="str">
        <f>IF(AND(B75="BT", F75 &gt; 0.03 * SUMIF(B:B, "BT", F:F)), "ITA-C", IF(AND(B75="BT", E75 &gt; 0.03 * SUMIF(B:B, "BT", E:E)), "ITA-D", ""))</f>
        <v/>
      </c>
    </row>
    <row r="76" spans="1:10" x14ac:dyDescent="0.3">
      <c r="A76" s="18">
        <v>75</v>
      </c>
      <c r="B76" s="19" t="s">
        <v>41</v>
      </c>
      <c r="C76" s="20">
        <v>45695</v>
      </c>
      <c r="D76" s="20" t="s">
        <v>52</v>
      </c>
      <c r="E76" s="21">
        <v>3252</v>
      </c>
      <c r="F76" s="21"/>
      <c r="G76" s="21">
        <v>204997.79</v>
      </c>
      <c r="H76" s="23" t="s">
        <v>6</v>
      </c>
      <c r="I76" s="22" t="s">
        <v>6</v>
      </c>
      <c r="J76" s="4" t="str">
        <f>IF(AND(B76="BT", F76 &gt; 0.03 * SUMIF(B:B, "BT", F:F)), "ITA-C", IF(AND(B76="BT", E76 &gt; 0.03 * SUMIF(B:B, "BT", E:E)), "ITA-D", ""))</f>
        <v/>
      </c>
    </row>
    <row r="77" spans="1:10" x14ac:dyDescent="0.3">
      <c r="A77" s="18">
        <v>76</v>
      </c>
      <c r="B77" s="19" t="s">
        <v>41</v>
      </c>
      <c r="C77" s="20">
        <v>45695</v>
      </c>
      <c r="D77" s="20" t="s">
        <v>52</v>
      </c>
      <c r="E77" s="21">
        <v>3550</v>
      </c>
      <c r="F77" s="21"/>
      <c r="G77" s="21">
        <v>201447.79</v>
      </c>
      <c r="H77" s="23" t="s">
        <v>6</v>
      </c>
      <c r="I77" s="22" t="s">
        <v>6</v>
      </c>
      <c r="J77" s="4" t="str">
        <f>IF(AND(B77="BT", F77 &gt; 0.03 * SUMIF(B:B, "BT", F:F)), "ITA-C", IF(AND(B77="BT", E77 &gt; 0.03 * SUMIF(B:B, "BT", E:E)), "ITA-D", ""))</f>
        <v/>
      </c>
    </row>
    <row r="78" spans="1:10" x14ac:dyDescent="0.3">
      <c r="A78" s="18">
        <v>77</v>
      </c>
      <c r="B78" s="19" t="s">
        <v>41</v>
      </c>
      <c r="C78" s="20">
        <v>45695</v>
      </c>
      <c r="D78" s="20" t="s">
        <v>52</v>
      </c>
      <c r="E78" s="21">
        <v>3226</v>
      </c>
      <c r="F78" s="21"/>
      <c r="G78" s="21">
        <v>198221.79</v>
      </c>
      <c r="H78" s="23" t="s">
        <v>6</v>
      </c>
      <c r="I78" s="22" t="s">
        <v>6</v>
      </c>
      <c r="J78" s="4" t="str">
        <f>IF(AND(B78="BT", F78 &gt; 0.03 * SUMIF(B:B, "BT", F:F)), "ITA-C", IF(AND(B78="BT", E78 &gt; 0.03 * SUMIF(B:B, "BT", E:E)), "ITA-D", ""))</f>
        <v/>
      </c>
    </row>
    <row r="79" spans="1:10" x14ac:dyDescent="0.3">
      <c r="A79" s="18">
        <v>78</v>
      </c>
      <c r="B79" s="19" t="s">
        <v>41</v>
      </c>
      <c r="C79" s="20">
        <v>45695</v>
      </c>
      <c r="D79" s="20" t="s">
        <v>232</v>
      </c>
      <c r="E79" s="21"/>
      <c r="F79" s="21">
        <v>70100</v>
      </c>
      <c r="G79" s="21">
        <v>268321.78999999998</v>
      </c>
      <c r="H79" s="23" t="s">
        <v>8</v>
      </c>
      <c r="I79" s="22" t="s">
        <v>8</v>
      </c>
      <c r="J79" s="176" t="str">
        <f>IF(AND(B79="BT", F79 &gt; 0.03 * SUMIF(B:B, "BT", F:F)), "ITA-C", IF(AND(B79="BT", E79 &gt; 0.03 * SUMIF(B:B, "BT", E:E)), "ITA-D", ""))</f>
        <v/>
      </c>
    </row>
    <row r="80" spans="1:10" x14ac:dyDescent="0.3">
      <c r="A80" s="153">
        <v>79</v>
      </c>
      <c r="B80" s="35" t="s">
        <v>48</v>
      </c>
      <c r="C80" s="36">
        <v>45695</v>
      </c>
      <c r="D80" s="36" t="s">
        <v>273</v>
      </c>
      <c r="E80" s="37"/>
      <c r="F80" s="37">
        <v>200200</v>
      </c>
      <c r="G80" s="37">
        <v>468521.79</v>
      </c>
      <c r="H80" s="39" t="s">
        <v>7</v>
      </c>
      <c r="I80" s="38" t="s">
        <v>7</v>
      </c>
      <c r="J80" s="176" t="str">
        <f>IF(AND(B80="BT", F80 &gt; 0.03 * SUMIF(B:B, "BT", F:F)), "ITA-C", IF(AND(B80="BT", E80 &gt; 0.03 * SUMIF(B:B, "BT", E:E)), "ITA-D", ""))</f>
        <v/>
      </c>
    </row>
    <row r="81" spans="1:10" s="34" customFormat="1" x14ac:dyDescent="0.3">
      <c r="A81" s="18">
        <v>80</v>
      </c>
      <c r="B81" s="19" t="s">
        <v>41</v>
      </c>
      <c r="C81" s="20">
        <v>45695</v>
      </c>
      <c r="D81" s="20" t="s">
        <v>52</v>
      </c>
      <c r="E81" s="21">
        <v>297</v>
      </c>
      <c r="F81" s="21"/>
      <c r="G81" s="21">
        <v>468224.79</v>
      </c>
      <c r="H81" s="23" t="s">
        <v>6</v>
      </c>
      <c r="I81" s="22" t="s">
        <v>6</v>
      </c>
      <c r="J81" s="4" t="str">
        <f>IF(AND(B81="BT", F81 &gt; 0.03 * SUMIF(B:B, "BT", F:F)), "ITA-C", IF(AND(B81="BT", E81 &gt; 0.03 * SUMIF(B:B, "BT", E:E)), "ITA-D", ""))</f>
        <v/>
      </c>
    </row>
    <row r="82" spans="1:10" s="34" customFormat="1" x14ac:dyDescent="0.3">
      <c r="A82" s="18">
        <v>81</v>
      </c>
      <c r="B82" s="19" t="s">
        <v>41</v>
      </c>
      <c r="C82" s="20">
        <v>45695</v>
      </c>
      <c r="D82" s="20" t="s">
        <v>52</v>
      </c>
      <c r="E82" s="21">
        <v>445</v>
      </c>
      <c r="F82" s="21"/>
      <c r="G82" s="21">
        <v>467779.79</v>
      </c>
      <c r="H82" s="23" t="s">
        <v>6</v>
      </c>
      <c r="I82" s="22" t="s">
        <v>6</v>
      </c>
      <c r="J82" s="4" t="str">
        <f>IF(AND(B82="BT", F82 &gt; 0.03 * SUMIF(B:B, "BT", F:F)), "ITA-C", IF(AND(B82="BT", E82 &gt; 0.03 * SUMIF(B:B, "BT", E:E)), "ITA-D", ""))</f>
        <v/>
      </c>
    </row>
    <row r="83" spans="1:10" x14ac:dyDescent="0.3">
      <c r="A83" s="18">
        <v>82</v>
      </c>
      <c r="B83" s="19" t="s">
        <v>41</v>
      </c>
      <c r="C83" s="20">
        <v>45695</v>
      </c>
      <c r="D83" s="20" t="s">
        <v>186</v>
      </c>
      <c r="E83" s="21">
        <v>400000</v>
      </c>
      <c r="F83" s="21"/>
      <c r="G83" s="21">
        <v>67779.789999999994</v>
      </c>
      <c r="H83" s="23" t="s">
        <v>9</v>
      </c>
      <c r="I83" s="22" t="s">
        <v>9</v>
      </c>
      <c r="J83" s="176" t="str">
        <f>IF(AND(B83="BT", F83 &gt; 0.03 * SUMIF(B:B, "BT", F:F)), "ITA-C", IF(AND(B83="BT", E83 &gt; 0.03 * SUMIF(B:B, "BT", E:E)), "ITA-D", ""))</f>
        <v/>
      </c>
    </row>
    <row r="84" spans="1:10" x14ac:dyDescent="0.3">
      <c r="A84" s="18">
        <v>83</v>
      </c>
      <c r="B84" s="19" t="s">
        <v>41</v>
      </c>
      <c r="C84" s="20">
        <v>45697</v>
      </c>
      <c r="D84" s="20" t="s">
        <v>52</v>
      </c>
      <c r="E84" s="21"/>
      <c r="F84" s="21">
        <v>4800</v>
      </c>
      <c r="G84" s="21">
        <v>72579.789999999994</v>
      </c>
      <c r="H84" s="23" t="s">
        <v>8</v>
      </c>
      <c r="I84" s="22" t="s">
        <v>8</v>
      </c>
      <c r="J84" s="4" t="str">
        <f>IF(AND(B84="BT", F84 &gt; 0.03 * SUMIF(B:B, "BT", F:F)), "ITA-C", IF(AND(B84="BT", E84 &gt; 0.03 * SUMIF(B:B, "BT", E:E)), "ITA-D", ""))</f>
        <v/>
      </c>
    </row>
    <row r="85" spans="1:10" x14ac:dyDescent="0.3">
      <c r="A85" s="18">
        <v>84</v>
      </c>
      <c r="B85" s="19" t="s">
        <v>41</v>
      </c>
      <c r="C85" s="20">
        <v>45698</v>
      </c>
      <c r="D85" s="20" t="s">
        <v>52</v>
      </c>
      <c r="E85" s="21">
        <v>199</v>
      </c>
      <c r="F85" s="21"/>
      <c r="G85" s="21">
        <v>72380.789999999994</v>
      </c>
      <c r="H85" s="23" t="s">
        <v>6</v>
      </c>
      <c r="I85" s="22" t="s">
        <v>6</v>
      </c>
      <c r="J85" s="4" t="str">
        <f>IF(AND(B85="BT", F85 &gt; 0.03 * SUMIF(B:B, "BT", F:F)), "ITA-C", IF(AND(B85="BT", E85 &gt; 0.03 * SUMIF(B:B, "BT", E:E)), "ITA-D", ""))</f>
        <v/>
      </c>
    </row>
    <row r="86" spans="1:10" x14ac:dyDescent="0.3">
      <c r="A86" s="18">
        <v>85</v>
      </c>
      <c r="B86" s="19" t="s">
        <v>41</v>
      </c>
      <c r="C86" s="20">
        <v>45698</v>
      </c>
      <c r="D86" s="20" t="s">
        <v>193</v>
      </c>
      <c r="E86" s="21"/>
      <c r="F86" s="21">
        <v>144000</v>
      </c>
      <c r="G86" s="21">
        <v>216380.79</v>
      </c>
      <c r="H86" s="23" t="s">
        <v>5</v>
      </c>
      <c r="I86" s="22" t="s">
        <v>5</v>
      </c>
      <c r="J86" s="176" t="str">
        <f>IF(AND(B86="BT", F86 &gt; 0.03 * SUMIF(B:B, "BT", F:F)), "ITA-C", IF(AND(B86="BT", E86 &gt; 0.03 * SUMIF(B:B, "BT", E:E)), "ITA-D", ""))</f>
        <v/>
      </c>
    </row>
    <row r="87" spans="1:10" x14ac:dyDescent="0.3">
      <c r="A87" s="18">
        <v>86</v>
      </c>
      <c r="B87" s="19" t="s">
        <v>41</v>
      </c>
      <c r="C87" s="20">
        <v>45698</v>
      </c>
      <c r="D87" s="20" t="s">
        <v>40</v>
      </c>
      <c r="E87" s="21"/>
      <c r="F87" s="21">
        <v>128000</v>
      </c>
      <c r="G87" s="21">
        <v>344380.79</v>
      </c>
      <c r="H87" s="23" t="s">
        <v>30</v>
      </c>
      <c r="I87" s="22" t="s">
        <v>30</v>
      </c>
      <c r="J87" s="176" t="str">
        <f>IF(AND(B87="BT", F87 &gt; 0.03 * SUMIF(B:B, "BT", F:F)), "ITA-C", IF(AND(B87="BT", E87 &gt; 0.03 * SUMIF(B:B, "BT", E:E)), "ITA-D", ""))</f>
        <v/>
      </c>
    </row>
    <row r="88" spans="1:10" x14ac:dyDescent="0.3">
      <c r="A88" s="18">
        <v>87</v>
      </c>
      <c r="B88" s="19" t="s">
        <v>41</v>
      </c>
      <c r="C88" s="20">
        <v>45698</v>
      </c>
      <c r="D88" s="20" t="s">
        <v>232</v>
      </c>
      <c r="E88" s="21"/>
      <c r="F88" s="21">
        <v>50000</v>
      </c>
      <c r="G88" s="21">
        <v>394380.79</v>
      </c>
      <c r="H88" s="23" t="s">
        <v>8</v>
      </c>
      <c r="I88" s="22" t="s">
        <v>8</v>
      </c>
      <c r="J88" s="176" t="str">
        <f>IF(AND(B88="BT", F88 &gt; 0.03 * SUMIF(B:B, "BT", F:F)), "ITA-C", IF(AND(B88="BT", E88 &gt; 0.03 * SUMIF(B:B, "BT", E:E)), "ITA-D", ""))</f>
        <v/>
      </c>
    </row>
    <row r="89" spans="1:10" x14ac:dyDescent="0.3">
      <c r="A89" s="18">
        <v>88</v>
      </c>
      <c r="B89" s="19" t="s">
        <v>41</v>
      </c>
      <c r="C89" s="20">
        <v>45698</v>
      </c>
      <c r="D89" s="20" t="s">
        <v>186</v>
      </c>
      <c r="E89" s="21">
        <v>356856</v>
      </c>
      <c r="F89" s="21"/>
      <c r="G89" s="21">
        <v>37524.79</v>
      </c>
      <c r="H89" s="23" t="s">
        <v>9</v>
      </c>
      <c r="I89" s="22" t="s">
        <v>9</v>
      </c>
      <c r="J89" s="176" t="str">
        <f>IF(AND(B89="BT", F89 &gt; 0.03 * SUMIF(B:B, "BT", F:F)), "ITA-C", IF(AND(B89="BT", E89 &gt; 0.03 * SUMIF(B:B, "BT", E:E)), "ITA-D", ""))</f>
        <v/>
      </c>
    </row>
    <row r="90" spans="1:10" x14ac:dyDescent="0.3">
      <c r="A90" s="18">
        <v>89</v>
      </c>
      <c r="B90" s="19" t="s">
        <v>41</v>
      </c>
      <c r="C90" s="20">
        <v>45699</v>
      </c>
      <c r="D90" s="20" t="s">
        <v>227</v>
      </c>
      <c r="E90" s="21"/>
      <c r="F90" s="21">
        <v>163690</v>
      </c>
      <c r="G90" s="21">
        <v>201214.79</v>
      </c>
      <c r="H90" s="23" t="s">
        <v>5</v>
      </c>
      <c r="I90" s="22" t="s">
        <v>5</v>
      </c>
      <c r="J90" s="176" t="str">
        <f>IF(AND(B90="BT", F90 &gt; 0.03 * SUMIF(B:B, "BT", F:F)), "ITA-C", IF(AND(B90="BT", E90 &gt; 0.03 * SUMIF(B:B, "BT", E:E)), "ITA-D", ""))</f>
        <v/>
      </c>
    </row>
    <row r="91" spans="1:10" x14ac:dyDescent="0.3">
      <c r="A91" s="18">
        <v>90</v>
      </c>
      <c r="B91" s="19" t="s">
        <v>41</v>
      </c>
      <c r="C91" s="20">
        <v>45700</v>
      </c>
      <c r="D91" s="20" t="s">
        <v>215</v>
      </c>
      <c r="E91" s="21">
        <v>129000</v>
      </c>
      <c r="F91" s="21"/>
      <c r="G91" s="21">
        <v>72214.789999999994</v>
      </c>
      <c r="H91" s="23" t="s">
        <v>13</v>
      </c>
      <c r="I91" s="22" t="s">
        <v>13</v>
      </c>
      <c r="J91" s="176" t="str">
        <f>IF(AND(B91="BT", F91 &gt; 0.03 * SUMIF(B:B, "BT", F:F)), "ITA-C", IF(AND(B91="BT", E91 &gt; 0.03 * SUMIF(B:B, "BT", E:E)), "ITA-D", ""))</f>
        <v/>
      </c>
    </row>
    <row r="92" spans="1:10" x14ac:dyDescent="0.3">
      <c r="A92" s="18">
        <v>91</v>
      </c>
      <c r="B92" s="19" t="s">
        <v>41</v>
      </c>
      <c r="C92" s="20">
        <v>45700</v>
      </c>
      <c r="D92" s="20" t="s">
        <v>193</v>
      </c>
      <c r="E92" s="21"/>
      <c r="F92" s="21">
        <v>500000</v>
      </c>
      <c r="G92" s="21">
        <v>572214.79</v>
      </c>
      <c r="H92" s="23" t="s">
        <v>7</v>
      </c>
      <c r="I92" s="22" t="s">
        <v>7</v>
      </c>
      <c r="J92" s="176" t="str">
        <f>IF(AND(B92="BT", F92 &gt; 0.03 * SUMIF(B:B, "BT", F:F)), "ITA-C", IF(AND(B92="BT", E92 &gt; 0.03 * SUMIF(B:B, "BT", E:E)), "ITA-D", ""))</f>
        <v/>
      </c>
    </row>
    <row r="93" spans="1:10" x14ac:dyDescent="0.3">
      <c r="A93" s="18">
        <v>92</v>
      </c>
      <c r="B93" s="19" t="s">
        <v>41</v>
      </c>
      <c r="C93" s="20">
        <v>45700</v>
      </c>
      <c r="D93" s="20" t="s">
        <v>238</v>
      </c>
      <c r="E93" s="21">
        <v>325906</v>
      </c>
      <c r="F93" s="21"/>
      <c r="G93" s="21">
        <v>246308.79</v>
      </c>
      <c r="H93" s="23" t="s">
        <v>9</v>
      </c>
      <c r="I93" s="22" t="s">
        <v>9</v>
      </c>
      <c r="J93" s="176" t="str">
        <f>IF(AND(B93="BT", F93 &gt; 0.03 * SUMIF(B:B, "BT", F:F)), "ITA-C", IF(AND(B93="BT", E93 &gt; 0.03 * SUMIF(B:B, "BT", E:E)), "ITA-D", ""))</f>
        <v/>
      </c>
    </row>
    <row r="94" spans="1:10" x14ac:dyDescent="0.3">
      <c r="A94" s="153">
        <v>93</v>
      </c>
      <c r="B94" s="35" t="s">
        <v>48</v>
      </c>
      <c r="C94" s="36">
        <v>45700</v>
      </c>
      <c r="D94" s="36" t="s">
        <v>271</v>
      </c>
      <c r="E94" s="37"/>
      <c r="F94" s="37">
        <v>80000</v>
      </c>
      <c r="G94" s="37">
        <v>326308.78999999998</v>
      </c>
      <c r="H94" s="39" t="s">
        <v>21</v>
      </c>
      <c r="I94" s="38" t="s">
        <v>5</v>
      </c>
      <c r="J94" s="176" t="str">
        <f>IF(AND(B94="BT", F94 &gt; 0.03 * SUMIF(B:B, "BT", F:F)), "ITA-C", IF(AND(B94="BT", E94 &gt; 0.03 * SUMIF(B:B, "BT", E:E)), "ITA-D", ""))</f>
        <v/>
      </c>
    </row>
    <row r="95" spans="1:10" x14ac:dyDescent="0.3">
      <c r="A95" s="18">
        <v>94</v>
      </c>
      <c r="B95" s="19" t="s">
        <v>41</v>
      </c>
      <c r="C95" s="20">
        <v>45700</v>
      </c>
      <c r="D95" s="20" t="s">
        <v>226</v>
      </c>
      <c r="E95" s="21">
        <v>300000</v>
      </c>
      <c r="F95" s="21"/>
      <c r="G95" s="21">
        <v>26308.79</v>
      </c>
      <c r="H95" s="23" t="s">
        <v>9</v>
      </c>
      <c r="I95" s="22" t="s">
        <v>9</v>
      </c>
      <c r="J95" s="176" t="str">
        <f>IF(AND(B95="BT", F95 &gt; 0.03 * SUMIF(B:B, "BT", F:F)), "ITA-C", IF(AND(B95="BT", E95 &gt; 0.03 * SUMIF(B:B, "BT", E:E)), "ITA-D", ""))</f>
        <v/>
      </c>
    </row>
    <row r="96" spans="1:10" x14ac:dyDescent="0.3">
      <c r="A96" s="146">
        <v>95</v>
      </c>
      <c r="B96" s="29" t="s">
        <v>42</v>
      </c>
      <c r="C96" s="30">
        <v>45700</v>
      </c>
      <c r="D96" s="30" t="s">
        <v>54</v>
      </c>
      <c r="E96" s="31"/>
      <c r="F96" s="31">
        <v>28000</v>
      </c>
      <c r="G96" s="31">
        <v>54308.79</v>
      </c>
      <c r="H96" s="33" t="s">
        <v>10</v>
      </c>
      <c r="I96" s="32" t="s">
        <v>10</v>
      </c>
      <c r="J96" s="4" t="str">
        <f>IF(AND(B96="BT", F96 &gt; 0.03 * SUMIF(B:B, "BT", F:F)), "ITA-C", IF(AND(B96="BT", E96 &gt; 0.03 * SUMIF(B:B, "BT", E:E)), "ITA-D", ""))</f>
        <v/>
      </c>
    </row>
    <row r="97" spans="1:10" x14ac:dyDescent="0.3">
      <c r="A97" s="18">
        <v>96</v>
      </c>
      <c r="B97" s="19" t="s">
        <v>41</v>
      </c>
      <c r="C97" s="20">
        <v>45700</v>
      </c>
      <c r="D97" s="20" t="s">
        <v>232</v>
      </c>
      <c r="E97" s="21"/>
      <c r="F97" s="21">
        <v>47206</v>
      </c>
      <c r="G97" s="21">
        <v>101514.79</v>
      </c>
      <c r="H97" s="23" t="s">
        <v>8</v>
      </c>
      <c r="I97" s="22" t="s">
        <v>8</v>
      </c>
      <c r="J97" s="176" t="str">
        <f>IF(AND(B97="BT", F97 &gt; 0.03 * SUMIF(B:B, "BT", F:F)), "ITA-C", IF(AND(B97="BT", E97 &gt; 0.03 * SUMIF(B:B, "BT", E:E)), "ITA-D", ""))</f>
        <v/>
      </c>
    </row>
    <row r="98" spans="1:10" x14ac:dyDescent="0.3">
      <c r="A98" s="18">
        <v>97</v>
      </c>
      <c r="B98" s="120" t="s">
        <v>41</v>
      </c>
      <c r="C98" s="20">
        <v>45701</v>
      </c>
      <c r="D98" s="20" t="s">
        <v>187</v>
      </c>
      <c r="E98" s="21"/>
      <c r="F98" s="21">
        <v>200000</v>
      </c>
      <c r="G98" s="21">
        <v>301514.78999999998</v>
      </c>
      <c r="H98" s="23" t="s">
        <v>10</v>
      </c>
      <c r="I98" s="22" t="s">
        <v>10</v>
      </c>
      <c r="J98" s="4" t="str">
        <f>IF(AND(B98="BT", F98 &gt; 0.03 * SUMIF(B:B, "BT", F:F)), "ITA-C", IF(AND(B98="BT", E98 &gt; 0.03 * SUMIF(B:B, "BT", E:E)), "ITA-D", ""))</f>
        <v/>
      </c>
    </row>
    <row r="99" spans="1:10" x14ac:dyDescent="0.3">
      <c r="A99" s="18">
        <v>98</v>
      </c>
      <c r="B99" s="19" t="s">
        <v>41</v>
      </c>
      <c r="C99" s="20">
        <v>45701</v>
      </c>
      <c r="D99" s="121" t="s">
        <v>214</v>
      </c>
      <c r="E99" s="21">
        <v>300000</v>
      </c>
      <c r="F99" s="21"/>
      <c r="G99" s="21">
        <v>1514.79</v>
      </c>
      <c r="H99" s="23" t="s">
        <v>9</v>
      </c>
      <c r="I99" s="22" t="s">
        <v>9</v>
      </c>
      <c r="J99" s="176" t="str">
        <f>IF(AND(B99="BT", F99 &gt; 0.03 * SUMIF(B:B, "BT", F:F)), "ITA-C", IF(AND(B99="BT", E99 &gt; 0.03 * SUMIF(B:B, "BT", E:E)), "ITA-D", ""))</f>
        <v/>
      </c>
    </row>
    <row r="100" spans="1:10" x14ac:dyDescent="0.3">
      <c r="A100" s="18">
        <v>99</v>
      </c>
      <c r="B100" s="120" t="s">
        <v>41</v>
      </c>
      <c r="C100" s="20">
        <v>45701</v>
      </c>
      <c r="D100" s="20" t="s">
        <v>187</v>
      </c>
      <c r="E100" s="21"/>
      <c r="F100" s="21">
        <v>240000</v>
      </c>
      <c r="G100" s="21">
        <v>241514.79</v>
      </c>
      <c r="H100" s="23" t="s">
        <v>5</v>
      </c>
      <c r="I100" s="22" t="s">
        <v>5</v>
      </c>
      <c r="J100" s="4" t="str">
        <f>IF(AND(B100="BT", F100 &gt; 0.03 * SUMIF(B:B, "BT", F:F)), "ITA-C", IF(AND(B100="BT", E100 &gt; 0.03 * SUMIF(B:B, "BT", E:E)), "ITA-D", ""))</f>
        <v/>
      </c>
    </row>
    <row r="101" spans="1:10" x14ac:dyDescent="0.3">
      <c r="A101" s="146">
        <v>100</v>
      </c>
      <c r="B101" s="29" t="s">
        <v>42</v>
      </c>
      <c r="C101" s="30">
        <v>45701</v>
      </c>
      <c r="D101" s="30" t="s">
        <v>54</v>
      </c>
      <c r="E101" s="31">
        <v>28000</v>
      </c>
      <c r="F101" s="31"/>
      <c r="G101" s="31">
        <v>213514.79</v>
      </c>
      <c r="H101" s="33" t="s">
        <v>33</v>
      </c>
      <c r="I101" s="32" t="s">
        <v>33</v>
      </c>
      <c r="J101" s="4" t="str">
        <f>IF(AND(B101="BT", F101 &gt; 0.03 * SUMIF(B:B, "BT", F:F)), "ITA-C", IF(AND(B101="BT", E101 &gt; 0.03 * SUMIF(B:B, "BT", E:E)), "ITA-D", ""))</f>
        <v/>
      </c>
    </row>
    <row r="102" spans="1:10" x14ac:dyDescent="0.3">
      <c r="A102" s="18">
        <v>101</v>
      </c>
      <c r="B102" s="19" t="s">
        <v>41</v>
      </c>
      <c r="C102" s="20">
        <v>45701</v>
      </c>
      <c r="D102" s="20" t="s">
        <v>221</v>
      </c>
      <c r="E102" s="21"/>
      <c r="F102" s="21">
        <v>100000</v>
      </c>
      <c r="G102" s="21">
        <v>313514.78999999998</v>
      </c>
      <c r="H102" s="23" t="s">
        <v>5</v>
      </c>
      <c r="I102" s="22" t="s">
        <v>5</v>
      </c>
      <c r="J102" s="176" t="str">
        <f>IF(AND(B102="BT", F102 &gt; 0.03 * SUMIF(B:B, "BT", F:F)), "ITA-C", IF(AND(B102="BT", E102 &gt; 0.03 * SUMIF(B:B, "BT", E:E)), "ITA-D", ""))</f>
        <v/>
      </c>
    </row>
    <row r="103" spans="1:10" x14ac:dyDescent="0.3">
      <c r="A103" s="146">
        <v>102</v>
      </c>
      <c r="B103" s="29" t="s">
        <v>42</v>
      </c>
      <c r="C103" s="30">
        <v>45701</v>
      </c>
      <c r="D103" s="30" t="s">
        <v>268</v>
      </c>
      <c r="E103" s="31"/>
      <c r="F103" s="31">
        <v>20000</v>
      </c>
      <c r="G103" s="31">
        <v>333514.78999999998</v>
      </c>
      <c r="H103" s="33" t="s">
        <v>27</v>
      </c>
      <c r="I103" s="32" t="s">
        <v>27</v>
      </c>
      <c r="J103" s="176" t="str">
        <f>IF(AND(B103="BT", F103 &gt; 0.03 * SUMIF(B:B, "BT", F:F)), "ITA-C", IF(AND(B103="BT", E103 &gt; 0.03 * SUMIF(B:B, "BT", E:E)), "ITA-D", ""))</f>
        <v/>
      </c>
    </row>
    <row r="104" spans="1:10" x14ac:dyDescent="0.3">
      <c r="A104" s="18">
        <v>103</v>
      </c>
      <c r="B104" s="19" t="s">
        <v>41</v>
      </c>
      <c r="C104" s="20">
        <v>45701</v>
      </c>
      <c r="D104" s="20" t="s">
        <v>216</v>
      </c>
      <c r="E104" s="21">
        <v>329468</v>
      </c>
      <c r="F104" s="21"/>
      <c r="G104" s="21">
        <v>4046.79</v>
      </c>
      <c r="H104" s="23" t="s">
        <v>9</v>
      </c>
      <c r="I104" s="22" t="s">
        <v>9</v>
      </c>
      <c r="J104" s="176" t="str">
        <f>IF(AND(B104="BT", F104 &gt; 0.03 * SUMIF(B:B, "BT", F:F)), "ITA-C", IF(AND(B104="BT", E104 &gt; 0.03 * SUMIF(B:B, "BT", E:E)), "ITA-D", ""))</f>
        <v/>
      </c>
    </row>
    <row r="105" spans="1:10" x14ac:dyDescent="0.3">
      <c r="A105" s="18">
        <v>104</v>
      </c>
      <c r="B105" s="24" t="s">
        <v>39</v>
      </c>
      <c r="C105" s="25">
        <v>45702</v>
      </c>
      <c r="D105" s="6" t="s">
        <v>258</v>
      </c>
      <c r="E105" s="26">
        <v>35.4</v>
      </c>
      <c r="F105" s="26"/>
      <c r="G105" s="26">
        <v>4011.39</v>
      </c>
      <c r="H105" s="28" t="s">
        <v>24</v>
      </c>
      <c r="I105" s="27" t="s">
        <v>24</v>
      </c>
      <c r="J105" s="4" t="str">
        <f>IF(AND(B105="BT", F105 &gt; 0.03 * SUMIF(B:B, "BT", F:F)), "ITA-C", IF(AND(B105="BT", E105 &gt; 0.03 * SUMIF(B:B, "BT", E:E)), "ITA-D", ""))</f>
        <v/>
      </c>
    </row>
    <row r="106" spans="1:10" x14ac:dyDescent="0.3">
      <c r="A106" s="18">
        <v>105</v>
      </c>
      <c r="B106" s="19" t="s">
        <v>41</v>
      </c>
      <c r="C106" s="20">
        <v>45702</v>
      </c>
      <c r="D106" s="20" t="s">
        <v>227</v>
      </c>
      <c r="E106" s="21"/>
      <c r="F106" s="21">
        <v>559584</v>
      </c>
      <c r="G106" s="21">
        <v>563595.39</v>
      </c>
      <c r="H106" s="23" t="s">
        <v>5</v>
      </c>
      <c r="I106" s="22" t="s">
        <v>5</v>
      </c>
      <c r="J106" s="176" t="str">
        <f>IF(AND(B106="BT", F106 &gt; 0.03 * SUMIF(B:B, "BT", F:F)), "ITA-C", IF(AND(B106="BT", E106 &gt; 0.03 * SUMIF(B:B, "BT", E:E)), "ITA-D", ""))</f>
        <v/>
      </c>
    </row>
    <row r="107" spans="1:10" x14ac:dyDescent="0.3">
      <c r="A107" s="18">
        <v>106</v>
      </c>
      <c r="B107" s="19" t="s">
        <v>41</v>
      </c>
      <c r="C107" s="20">
        <v>45702</v>
      </c>
      <c r="D107" s="20" t="s">
        <v>226</v>
      </c>
      <c r="E107" s="21">
        <v>266244</v>
      </c>
      <c r="F107" s="21"/>
      <c r="G107" s="21">
        <v>297351.39</v>
      </c>
      <c r="H107" s="23" t="s">
        <v>9</v>
      </c>
      <c r="I107" s="22" t="s">
        <v>9</v>
      </c>
      <c r="J107" s="176" t="str">
        <f>IF(AND(B107="BT", F107 &gt; 0.03 * SUMIF(B:B, "BT", F:F)), "ITA-C", IF(AND(B107="BT", E107 &gt; 0.03 * SUMIF(B:B, "BT", E:E)), "ITA-D", ""))</f>
        <v/>
      </c>
    </row>
    <row r="108" spans="1:10" x14ac:dyDescent="0.3">
      <c r="A108" s="18">
        <v>107</v>
      </c>
      <c r="B108" s="19" t="s">
        <v>41</v>
      </c>
      <c r="C108" s="20">
        <v>45702</v>
      </c>
      <c r="D108" s="20" t="s">
        <v>40</v>
      </c>
      <c r="E108" s="21">
        <v>20000</v>
      </c>
      <c r="F108" s="21"/>
      <c r="G108" s="21">
        <v>277351.39</v>
      </c>
      <c r="H108" s="23" t="s">
        <v>11</v>
      </c>
      <c r="I108" s="22" t="s">
        <v>11</v>
      </c>
      <c r="J108" s="176" t="str">
        <f>IF(AND(B108="BT", F108 &gt; 0.03 * SUMIF(B:B, "BT", F:F)), "ITA-C", IF(AND(B108="BT", E108 &gt; 0.03 * SUMIF(B:B, "BT", E:E)), "ITA-D", ""))</f>
        <v/>
      </c>
    </row>
    <row r="109" spans="1:10" x14ac:dyDescent="0.3">
      <c r="A109" s="18">
        <v>108</v>
      </c>
      <c r="B109" s="19" t="s">
        <v>41</v>
      </c>
      <c r="C109" s="20">
        <v>45702</v>
      </c>
      <c r="D109" s="20" t="s">
        <v>205</v>
      </c>
      <c r="E109" s="21">
        <v>250000</v>
      </c>
      <c r="F109" s="21"/>
      <c r="G109" s="21">
        <v>27351.39</v>
      </c>
      <c r="H109" s="23" t="s">
        <v>9</v>
      </c>
      <c r="I109" s="22" t="s">
        <v>9</v>
      </c>
      <c r="J109" s="176" t="str">
        <f>IF(AND(B109="BT", F109 &gt; 0.03 * SUMIF(B:B, "BT", F:F)), "ITA-C", IF(AND(B109="BT", E109 &gt; 0.03 * SUMIF(B:B, "BT", E:E)), "ITA-D", ""))</f>
        <v/>
      </c>
    </row>
    <row r="110" spans="1:10" x14ac:dyDescent="0.3">
      <c r="A110" s="18">
        <v>109</v>
      </c>
      <c r="B110" s="19" t="s">
        <v>41</v>
      </c>
      <c r="C110" s="20">
        <v>45702</v>
      </c>
      <c r="D110" s="20" t="s">
        <v>232</v>
      </c>
      <c r="E110" s="21"/>
      <c r="F110" s="21">
        <v>50000</v>
      </c>
      <c r="G110" s="21">
        <v>77351.39</v>
      </c>
      <c r="H110" s="23" t="s">
        <v>8</v>
      </c>
      <c r="I110" s="22" t="s">
        <v>8</v>
      </c>
      <c r="J110" s="176" t="str">
        <f>IF(AND(B110="BT", F110 &gt; 0.03 * SUMIF(B:B, "BT", F:F)), "ITA-C", IF(AND(B110="BT", E110 &gt; 0.03 * SUMIF(B:B, "BT", E:E)), "ITA-D", ""))</f>
        <v/>
      </c>
    </row>
    <row r="111" spans="1:10" x14ac:dyDescent="0.3">
      <c r="A111" s="153">
        <v>110</v>
      </c>
      <c r="B111" s="35" t="s">
        <v>48</v>
      </c>
      <c r="C111" s="36">
        <v>45703</v>
      </c>
      <c r="D111" s="36" t="s">
        <v>271</v>
      </c>
      <c r="E111" s="37"/>
      <c r="F111" s="37">
        <v>90000</v>
      </c>
      <c r="G111" s="37">
        <v>167351.39000000001</v>
      </c>
      <c r="H111" s="39" t="s">
        <v>21</v>
      </c>
      <c r="I111" s="38" t="s">
        <v>5</v>
      </c>
      <c r="J111" s="176" t="str">
        <f>IF(AND(B111="BT", F111 &gt; 0.03 * SUMIF(B:B, "BT", F:F)), "ITA-C", IF(AND(B111="BT", E111 &gt; 0.03 * SUMIF(B:B, "BT", E:E)), "ITA-D", ""))</f>
        <v/>
      </c>
    </row>
    <row r="112" spans="1:10" x14ac:dyDescent="0.3">
      <c r="A112" s="133">
        <v>111</v>
      </c>
      <c r="B112" s="40" t="s">
        <v>47</v>
      </c>
      <c r="C112" s="41">
        <v>45704</v>
      </c>
      <c r="D112" s="41" t="s">
        <v>49</v>
      </c>
      <c r="E112" s="42">
        <v>30000</v>
      </c>
      <c r="F112" s="42"/>
      <c r="G112" s="42">
        <v>137351.39000000001</v>
      </c>
      <c r="H112" s="44" t="s">
        <v>32</v>
      </c>
      <c r="I112" s="43" t="s">
        <v>32</v>
      </c>
      <c r="J112" s="176" t="str">
        <f>IF(AND(B112="BT", F112 &gt; 0.03 * SUMIF(B:B, "BT", F:F)), "ITA-C", IF(AND(B112="BT", E112 &gt; 0.03 * SUMIF(B:B, "BT", E:E)), "ITA-D", ""))</f>
        <v/>
      </c>
    </row>
    <row r="113" spans="1:10" x14ac:dyDescent="0.3">
      <c r="A113" s="146">
        <v>112</v>
      </c>
      <c r="B113" s="29" t="s">
        <v>42</v>
      </c>
      <c r="C113" s="30">
        <v>45704</v>
      </c>
      <c r="D113" s="30" t="s">
        <v>54</v>
      </c>
      <c r="E113" s="31">
        <v>50000</v>
      </c>
      <c r="F113" s="31"/>
      <c r="G113" s="31">
        <v>87351.39</v>
      </c>
      <c r="H113" s="33" t="s">
        <v>33</v>
      </c>
      <c r="I113" s="32" t="s">
        <v>33</v>
      </c>
      <c r="J113" s="4" t="str">
        <f>IF(AND(B113="BT", F113 &gt; 0.03 * SUMIF(B:B, "BT", F:F)), "ITA-C", IF(AND(B113="BT", E113 &gt; 0.03 * SUMIF(B:B, "BT", E:E)), "ITA-D", ""))</f>
        <v/>
      </c>
    </row>
    <row r="114" spans="1:10" x14ac:dyDescent="0.3">
      <c r="A114" s="18">
        <v>113</v>
      </c>
      <c r="B114" s="19" t="s">
        <v>41</v>
      </c>
      <c r="C114" s="20">
        <v>45704</v>
      </c>
      <c r="D114" s="20" t="s">
        <v>224</v>
      </c>
      <c r="E114" s="21">
        <v>50000</v>
      </c>
      <c r="F114" s="21"/>
      <c r="G114" s="21">
        <v>37351.39</v>
      </c>
      <c r="H114" s="23" t="s">
        <v>13</v>
      </c>
      <c r="I114" s="22" t="s">
        <v>13</v>
      </c>
      <c r="J114" s="176" t="str">
        <f>IF(AND(B114="BT", F114 &gt; 0.03 * SUMIF(B:B, "BT", F:F)), "ITA-C", IF(AND(B114="BT", E114 &gt; 0.03 * SUMIF(B:B, "BT", E:E)), "ITA-D", ""))</f>
        <v/>
      </c>
    </row>
    <row r="115" spans="1:10" x14ac:dyDescent="0.3">
      <c r="A115" s="18">
        <v>114</v>
      </c>
      <c r="B115" s="24" t="s">
        <v>39</v>
      </c>
      <c r="C115" s="25">
        <v>45704</v>
      </c>
      <c r="D115" s="25" t="s">
        <v>263</v>
      </c>
      <c r="E115" s="26">
        <v>15000</v>
      </c>
      <c r="F115" s="26"/>
      <c r="G115" s="26">
        <v>22351.39</v>
      </c>
      <c r="H115" s="28" t="s">
        <v>17</v>
      </c>
      <c r="I115" s="27" t="s">
        <v>17</v>
      </c>
      <c r="J115" s="176" t="str">
        <f>IF(AND(B115="BT", F115 &gt; 0.03 * SUMIF(B:B, "BT", F:F)), "ITA-C", IF(AND(B115="BT", E115 &gt; 0.03 * SUMIF(B:B, "BT", E:E)), "ITA-D", ""))</f>
        <v/>
      </c>
    </row>
    <row r="116" spans="1:10" x14ac:dyDescent="0.3">
      <c r="A116" s="18">
        <v>115</v>
      </c>
      <c r="B116" s="24" t="s">
        <v>39</v>
      </c>
      <c r="C116" s="25">
        <v>45705</v>
      </c>
      <c r="D116" s="25" t="s">
        <v>262</v>
      </c>
      <c r="E116" s="26">
        <v>7200</v>
      </c>
      <c r="F116" s="26"/>
      <c r="G116" s="26">
        <v>15151.39</v>
      </c>
      <c r="H116" s="28" t="s">
        <v>29</v>
      </c>
      <c r="I116" s="27" t="s">
        <v>29</v>
      </c>
      <c r="J116" s="176" t="str">
        <f>IF(AND(B116="BT", F116 &gt; 0.03 * SUMIF(B:B, "BT", F:F)), "ITA-C", IF(AND(B116="BT", E116 &gt; 0.03 * SUMIF(B:B, "BT", E:E)), "ITA-D", ""))</f>
        <v/>
      </c>
    </row>
    <row r="117" spans="1:10" x14ac:dyDescent="0.3">
      <c r="A117" s="18">
        <v>116</v>
      </c>
      <c r="B117" s="24" t="s">
        <v>39</v>
      </c>
      <c r="C117" s="25">
        <v>45706</v>
      </c>
      <c r="D117" s="6" t="s">
        <v>258</v>
      </c>
      <c r="E117" s="26">
        <v>17.7</v>
      </c>
      <c r="F117" s="26"/>
      <c r="G117" s="26">
        <v>15133.69</v>
      </c>
      <c r="H117" s="28" t="s">
        <v>24</v>
      </c>
      <c r="I117" s="27" t="s">
        <v>24</v>
      </c>
      <c r="J117" s="4" t="str">
        <f>IF(AND(B117="BT", F117 &gt; 0.03 * SUMIF(B:B, "BT", F:F)), "ITA-C", IF(AND(B117="BT", E117 &gt; 0.03 * SUMIF(B:B, "BT", E:E)), "ITA-D", ""))</f>
        <v/>
      </c>
    </row>
    <row r="118" spans="1:10" x14ac:dyDescent="0.3">
      <c r="A118" s="18">
        <v>117</v>
      </c>
      <c r="B118" s="19" t="s">
        <v>41</v>
      </c>
      <c r="C118" s="20">
        <v>45706</v>
      </c>
      <c r="D118" s="20" t="s">
        <v>227</v>
      </c>
      <c r="E118" s="21"/>
      <c r="F118" s="21">
        <v>204015</v>
      </c>
      <c r="G118" s="21">
        <v>219148.69</v>
      </c>
      <c r="H118" s="23" t="s">
        <v>5</v>
      </c>
      <c r="I118" s="22" t="s">
        <v>5</v>
      </c>
      <c r="J118" s="176" t="str">
        <f>IF(AND(B118="BT", F118 &gt; 0.03 * SUMIF(B:B, "BT", F:F)), "ITA-C", IF(AND(B118="BT", E118 &gt; 0.03 * SUMIF(B:B, "BT", E:E)), "ITA-D", ""))</f>
        <v/>
      </c>
    </row>
    <row r="119" spans="1:10" x14ac:dyDescent="0.3">
      <c r="A119" s="18">
        <v>118</v>
      </c>
      <c r="B119" s="19" t="s">
        <v>41</v>
      </c>
      <c r="C119" s="20">
        <v>45706</v>
      </c>
      <c r="D119" s="20" t="s">
        <v>232</v>
      </c>
      <c r="E119" s="21"/>
      <c r="F119" s="21">
        <v>50000</v>
      </c>
      <c r="G119" s="21">
        <v>269148.69</v>
      </c>
      <c r="H119" s="23" t="s">
        <v>8</v>
      </c>
      <c r="I119" s="22" t="s">
        <v>8</v>
      </c>
      <c r="J119" s="176" t="str">
        <f>IF(AND(B119="BT", F119 &gt; 0.03 * SUMIF(B:B, "BT", F:F)), "ITA-C", IF(AND(B119="BT", E119 &gt; 0.03 * SUMIF(B:B, "BT", E:E)), "ITA-D", ""))</f>
        <v/>
      </c>
    </row>
    <row r="120" spans="1:10" x14ac:dyDescent="0.3">
      <c r="A120" s="18">
        <v>119</v>
      </c>
      <c r="B120" s="19" t="s">
        <v>41</v>
      </c>
      <c r="C120" s="20">
        <v>45706</v>
      </c>
      <c r="D120" s="20" t="s">
        <v>231</v>
      </c>
      <c r="E120" s="21">
        <v>200000</v>
      </c>
      <c r="F120" s="21"/>
      <c r="G120" s="21">
        <v>69148.69</v>
      </c>
      <c r="H120" s="23" t="s">
        <v>13</v>
      </c>
      <c r="I120" s="22" t="s">
        <v>13</v>
      </c>
      <c r="J120" s="176" t="str">
        <f>IF(AND(B120="BT", F120 &gt; 0.03 * SUMIF(B:B, "BT", F:F)), "ITA-C", IF(AND(B120="BT", E120 &gt; 0.03 * SUMIF(B:B, "BT", E:E)), "ITA-D", ""))</f>
        <v/>
      </c>
    </row>
    <row r="121" spans="1:10" x14ac:dyDescent="0.3">
      <c r="A121" s="18">
        <v>120</v>
      </c>
      <c r="B121" s="19" t="s">
        <v>41</v>
      </c>
      <c r="C121" s="20">
        <v>45706</v>
      </c>
      <c r="D121" s="20" t="s">
        <v>227</v>
      </c>
      <c r="E121" s="21">
        <v>50000</v>
      </c>
      <c r="F121" s="21"/>
      <c r="G121" s="21">
        <v>19148.689999999999</v>
      </c>
      <c r="H121" s="23" t="s">
        <v>13</v>
      </c>
      <c r="I121" s="22" t="s">
        <v>13</v>
      </c>
      <c r="J121" s="176" t="str">
        <f>IF(AND(B121="BT", F121 &gt; 0.03 * SUMIF(B:B, "BT", F:F)), "ITA-C", IF(AND(B121="BT", E121 &gt; 0.03 * SUMIF(B:B, "BT", E:E)), "ITA-D", ""))</f>
        <v/>
      </c>
    </row>
    <row r="122" spans="1:10" x14ac:dyDescent="0.3">
      <c r="A122" s="18">
        <v>121</v>
      </c>
      <c r="B122" s="19" t="s">
        <v>41</v>
      </c>
      <c r="C122" s="20">
        <v>45707</v>
      </c>
      <c r="D122" s="20" t="s">
        <v>227</v>
      </c>
      <c r="E122" s="21"/>
      <c r="F122" s="21">
        <v>36750</v>
      </c>
      <c r="G122" s="21">
        <v>55898.69</v>
      </c>
      <c r="H122" s="23" t="s">
        <v>5</v>
      </c>
      <c r="I122" s="22" t="s">
        <v>5</v>
      </c>
      <c r="J122" s="176" t="str">
        <f>IF(AND(B122="BT", F122 &gt; 0.03 * SUMIF(B:B, "BT", F:F)), "ITA-C", IF(AND(B122="BT", E122 &gt; 0.03 * SUMIF(B:B, "BT", E:E)), "ITA-D", ""))</f>
        <v/>
      </c>
    </row>
    <row r="123" spans="1:10" x14ac:dyDescent="0.3">
      <c r="A123" s="18">
        <v>122</v>
      </c>
      <c r="B123" s="19" t="s">
        <v>41</v>
      </c>
      <c r="C123" s="20">
        <v>45707</v>
      </c>
      <c r="D123" s="20" t="s">
        <v>239</v>
      </c>
      <c r="E123" s="21"/>
      <c r="F123" s="21">
        <v>31400</v>
      </c>
      <c r="G123" s="21">
        <v>87298.69</v>
      </c>
      <c r="H123" s="23" t="s">
        <v>19</v>
      </c>
      <c r="I123" s="22" t="s">
        <v>19</v>
      </c>
      <c r="J123" s="176" t="str">
        <f>IF(AND(B123="BT", F123 &gt; 0.03 * SUMIF(B:B, "BT", F:F)), "ITA-C", IF(AND(B123="BT", E123 &gt; 0.03 * SUMIF(B:B, "BT", E:E)), "ITA-D", ""))</f>
        <v/>
      </c>
    </row>
    <row r="124" spans="1:10" x14ac:dyDescent="0.3">
      <c r="A124" s="18">
        <v>123</v>
      </c>
      <c r="B124" s="19" t="s">
        <v>41</v>
      </c>
      <c r="C124" s="20">
        <v>45707</v>
      </c>
      <c r="D124" s="20" t="s">
        <v>193</v>
      </c>
      <c r="E124" s="21"/>
      <c r="F124" s="21">
        <v>500000</v>
      </c>
      <c r="G124" s="21">
        <v>587298.68999999994</v>
      </c>
      <c r="H124" s="23" t="s">
        <v>7</v>
      </c>
      <c r="I124" s="22" t="s">
        <v>7</v>
      </c>
      <c r="J124" s="176" t="str">
        <f>IF(AND(B124="BT", F124 &gt; 0.03 * SUMIF(B:B, "BT", F:F)), "ITA-C", IF(AND(B124="BT", E124 &gt; 0.03 * SUMIF(B:B, "BT", E:E)), "ITA-D", ""))</f>
        <v/>
      </c>
    </row>
    <row r="125" spans="1:10" x14ac:dyDescent="0.3">
      <c r="A125" s="18">
        <v>124</v>
      </c>
      <c r="B125" s="19" t="s">
        <v>41</v>
      </c>
      <c r="C125" s="20">
        <v>45707</v>
      </c>
      <c r="D125" s="20" t="s">
        <v>226</v>
      </c>
      <c r="E125" s="21">
        <v>504000</v>
      </c>
      <c r="F125" s="21"/>
      <c r="G125" s="21">
        <v>83298.69</v>
      </c>
      <c r="H125" s="23" t="s">
        <v>9</v>
      </c>
      <c r="I125" s="22" t="s">
        <v>9</v>
      </c>
      <c r="J125" s="176" t="str">
        <f>IF(AND(B125="BT", F125 &gt; 0.03 * SUMIF(B:B, "BT", F:F)), "ITA-C", IF(AND(B125="BT", E125 &gt; 0.03 * SUMIF(B:B, "BT", E:E)), "ITA-D", ""))</f>
        <v/>
      </c>
    </row>
    <row r="126" spans="1:10" x14ac:dyDescent="0.3">
      <c r="A126" s="18">
        <v>125</v>
      </c>
      <c r="B126" s="19" t="s">
        <v>41</v>
      </c>
      <c r="C126" s="20">
        <v>45707</v>
      </c>
      <c r="D126" s="20" t="s">
        <v>232</v>
      </c>
      <c r="E126" s="21"/>
      <c r="F126" s="21">
        <v>58407</v>
      </c>
      <c r="G126" s="21">
        <v>141705.69</v>
      </c>
      <c r="H126" s="23" t="s">
        <v>8</v>
      </c>
      <c r="I126" s="22" t="s">
        <v>8</v>
      </c>
      <c r="J126" s="176" t="str">
        <f>IF(AND(B126="BT", F126 &gt; 0.03 * SUMIF(B:B, "BT", F:F)), "ITA-C", IF(AND(B126="BT", E126 &gt; 0.03 * SUMIF(B:B, "BT", E:E)), "ITA-D", ""))</f>
        <v/>
      </c>
    </row>
    <row r="127" spans="1:10" x14ac:dyDescent="0.3">
      <c r="A127" s="18">
        <v>126</v>
      </c>
      <c r="B127" s="19" t="s">
        <v>41</v>
      </c>
      <c r="C127" s="20">
        <v>45707</v>
      </c>
      <c r="D127" s="20" t="s">
        <v>227</v>
      </c>
      <c r="E127" s="21">
        <v>50000</v>
      </c>
      <c r="F127" s="21"/>
      <c r="G127" s="21">
        <v>91705.69</v>
      </c>
      <c r="H127" s="23" t="s">
        <v>13</v>
      </c>
      <c r="I127" s="22" t="s">
        <v>13</v>
      </c>
      <c r="J127" s="176" t="str">
        <f>IF(AND(B127="BT", F127 &gt; 0.03 * SUMIF(B:B, "BT", F:F)), "ITA-C", IF(AND(B127="BT", E127 &gt; 0.03 * SUMIF(B:B, "BT", E:E)), "ITA-D", ""))</f>
        <v/>
      </c>
    </row>
    <row r="128" spans="1:10" x14ac:dyDescent="0.3">
      <c r="A128" s="153">
        <v>127</v>
      </c>
      <c r="B128" s="154" t="s">
        <v>48</v>
      </c>
      <c r="C128" s="36">
        <v>45708</v>
      </c>
      <c r="D128" s="36" t="s">
        <v>272</v>
      </c>
      <c r="E128" s="37">
        <v>10000</v>
      </c>
      <c r="F128" s="37"/>
      <c r="G128" s="37">
        <v>81705.69</v>
      </c>
      <c r="H128" s="39" t="s">
        <v>25</v>
      </c>
      <c r="I128" s="38" t="s">
        <v>25</v>
      </c>
      <c r="J128" s="17" t="str">
        <f>IF(AND(B128="BT", F128 &gt; 0.03 * SUMIF(B:B, "BT", F:F)), "ITA-C", IF(AND(B128="BT", E128 &gt; 0.03 * SUMIF(B:B, "BT", E:E)), "ITA-D", ""))</f>
        <v/>
      </c>
    </row>
    <row r="129" spans="1:10" x14ac:dyDescent="0.3">
      <c r="A129" s="18">
        <v>128</v>
      </c>
      <c r="B129" s="19" t="s">
        <v>41</v>
      </c>
      <c r="C129" s="20">
        <v>45709</v>
      </c>
      <c r="D129" s="20" t="s">
        <v>227</v>
      </c>
      <c r="E129" s="21">
        <v>50000</v>
      </c>
      <c r="F129" s="21"/>
      <c r="G129" s="21">
        <v>31705.69</v>
      </c>
      <c r="H129" s="23" t="s">
        <v>13</v>
      </c>
      <c r="I129" s="22" t="s">
        <v>13</v>
      </c>
      <c r="J129" s="17" t="str">
        <f>IF(AND(B129="BT", F129 &gt; 0.03 * SUMIF(B:B, "BT", F:F)), "ITA-C", IF(AND(B129="BT", E129 &gt; 0.03 * SUMIF(B:B, "BT", E:E)), "ITA-D", ""))</f>
        <v/>
      </c>
    </row>
    <row r="130" spans="1:10" x14ac:dyDescent="0.3">
      <c r="A130" s="18">
        <v>129</v>
      </c>
      <c r="B130" s="24" t="s">
        <v>39</v>
      </c>
      <c r="C130" s="25">
        <v>45709</v>
      </c>
      <c r="D130" s="6" t="s">
        <v>258</v>
      </c>
      <c r="E130" s="26">
        <v>17.7</v>
      </c>
      <c r="F130" s="26"/>
      <c r="G130" s="26">
        <v>31687.99</v>
      </c>
      <c r="H130" s="28" t="s">
        <v>24</v>
      </c>
      <c r="I130" s="27" t="s">
        <v>24</v>
      </c>
      <c r="J130" s="177" t="str">
        <f>IF(AND(B130="BT", F130 &gt; 0.03 * SUMIF(B:B, "BT", F:F)), "ITA-C", IF(AND(B130="BT", E130 &gt; 0.03 * SUMIF(B:B, "BT", E:E)), "ITA-D", ""))</f>
        <v/>
      </c>
    </row>
    <row r="131" spans="1:10" x14ac:dyDescent="0.3">
      <c r="A131" s="18">
        <v>130</v>
      </c>
      <c r="B131" s="24" t="s">
        <v>39</v>
      </c>
      <c r="C131" s="25">
        <v>45709</v>
      </c>
      <c r="D131" s="6" t="s">
        <v>258</v>
      </c>
      <c r="E131" s="26">
        <v>23.6</v>
      </c>
      <c r="F131" s="26"/>
      <c r="G131" s="26">
        <v>31664.39</v>
      </c>
      <c r="H131" s="28" t="s">
        <v>24</v>
      </c>
      <c r="I131" s="27" t="s">
        <v>24</v>
      </c>
      <c r="J131" s="177" t="str">
        <f>IF(AND(B131="BT", F131 &gt; 0.03 * SUMIF(B:B, "BT", F:F)), "ITA-C", IF(AND(B131="BT", E131 &gt; 0.03 * SUMIF(B:B, "BT", E:E)), "ITA-D", ""))</f>
        <v/>
      </c>
    </row>
    <row r="132" spans="1:10" x14ac:dyDescent="0.3">
      <c r="A132" s="18">
        <v>131</v>
      </c>
      <c r="B132" s="24" t="s">
        <v>39</v>
      </c>
      <c r="C132" s="25">
        <v>45709</v>
      </c>
      <c r="D132" s="6" t="s">
        <v>258</v>
      </c>
      <c r="E132" s="26">
        <v>35.4</v>
      </c>
      <c r="F132" s="26"/>
      <c r="G132" s="26">
        <v>31628.99</v>
      </c>
      <c r="H132" s="28" t="s">
        <v>24</v>
      </c>
      <c r="I132" s="27" t="s">
        <v>24</v>
      </c>
      <c r="J132" s="177" t="str">
        <f>IF(AND(B132="BT", F132 &gt; 0.03 * SUMIF(B:B, "BT", F:F)), "ITA-C", IF(AND(B132="BT", E132 &gt; 0.03 * SUMIF(B:B, "BT", E:E)), "ITA-D", ""))</f>
        <v/>
      </c>
    </row>
    <row r="133" spans="1:10" x14ac:dyDescent="0.3">
      <c r="A133" s="18">
        <v>132</v>
      </c>
      <c r="B133" s="24" t="s">
        <v>39</v>
      </c>
      <c r="C133" s="25">
        <v>45709</v>
      </c>
      <c r="D133" s="6" t="s">
        <v>258</v>
      </c>
      <c r="E133" s="26">
        <v>35.4</v>
      </c>
      <c r="F133" s="26"/>
      <c r="G133" s="26">
        <v>31593.59</v>
      </c>
      <c r="H133" s="28" t="s">
        <v>24</v>
      </c>
      <c r="I133" s="27" t="s">
        <v>24</v>
      </c>
      <c r="J133" s="177" t="str">
        <f>IF(AND(B133="BT", F133 &gt; 0.03 * SUMIF(B:B, "BT", F:F)), "ITA-C", IF(AND(B133="BT", E133 &gt; 0.03 * SUMIF(B:B, "BT", E:E)), "ITA-D", ""))</f>
        <v/>
      </c>
    </row>
    <row r="134" spans="1:10" x14ac:dyDescent="0.3">
      <c r="A134" s="18">
        <v>133</v>
      </c>
      <c r="B134" s="19" t="s">
        <v>41</v>
      </c>
      <c r="C134" s="20">
        <v>45709</v>
      </c>
      <c r="D134" s="20" t="s">
        <v>232</v>
      </c>
      <c r="E134" s="21"/>
      <c r="F134" s="21">
        <v>50000</v>
      </c>
      <c r="G134" s="21">
        <v>81593.59</v>
      </c>
      <c r="H134" s="23" t="s">
        <v>8</v>
      </c>
      <c r="I134" s="22" t="s">
        <v>8</v>
      </c>
      <c r="J134" s="17" t="str">
        <f>IF(AND(B134="BT", F134 &gt; 0.03 * SUMIF(B:B, "BT", F:F)), "ITA-C", IF(AND(B134="BT", E134 &gt; 0.03 * SUMIF(B:B, "BT", E:E)), "ITA-D", ""))</f>
        <v/>
      </c>
    </row>
    <row r="135" spans="1:10" x14ac:dyDescent="0.3">
      <c r="A135" s="153">
        <v>134</v>
      </c>
      <c r="B135" s="154" t="s">
        <v>48</v>
      </c>
      <c r="C135" s="36">
        <v>45710</v>
      </c>
      <c r="D135" s="36" t="s">
        <v>272</v>
      </c>
      <c r="E135" s="37">
        <v>40000</v>
      </c>
      <c r="F135" s="37"/>
      <c r="G135" s="37">
        <v>41593.589999999997</v>
      </c>
      <c r="H135" s="39" t="s">
        <v>25</v>
      </c>
      <c r="I135" s="38" t="s">
        <v>25</v>
      </c>
      <c r="J135" s="17" t="str">
        <f>IF(AND(B135="BT", F135 &gt; 0.03 * SUMIF(B:B, "BT", F:F)), "ITA-C", IF(AND(B135="BT", E135 &gt; 0.03 * SUMIF(B:B, "BT", E:E)), "ITA-D", ""))</f>
        <v/>
      </c>
    </row>
    <row r="136" spans="1:10" x14ac:dyDescent="0.3">
      <c r="A136" s="18">
        <v>135</v>
      </c>
      <c r="B136" s="19" t="s">
        <v>41</v>
      </c>
      <c r="C136" s="20">
        <v>45710</v>
      </c>
      <c r="D136" s="20" t="s">
        <v>52</v>
      </c>
      <c r="E136" s="21"/>
      <c r="F136" s="21">
        <v>2000</v>
      </c>
      <c r="G136" s="21">
        <v>43593.59</v>
      </c>
      <c r="H136" s="23" t="s">
        <v>8</v>
      </c>
      <c r="I136" s="22" t="s">
        <v>8</v>
      </c>
      <c r="J136" s="177" t="str">
        <f>IF(AND(B136="BT", F136 &gt; 0.03 * SUMIF(B:B, "BT", F:F)), "ITA-C", IF(AND(B136="BT", E136 &gt; 0.03 * SUMIF(B:B, "BT", E:E)), "ITA-D", ""))</f>
        <v/>
      </c>
    </row>
    <row r="137" spans="1:10" x14ac:dyDescent="0.3">
      <c r="A137" s="153">
        <v>136</v>
      </c>
      <c r="B137" s="154" t="s">
        <v>48</v>
      </c>
      <c r="C137" s="36">
        <v>45711</v>
      </c>
      <c r="D137" s="36" t="s">
        <v>272</v>
      </c>
      <c r="E137" s="37">
        <v>20000</v>
      </c>
      <c r="F137" s="37"/>
      <c r="G137" s="37">
        <v>23593.59</v>
      </c>
      <c r="H137" s="39" t="s">
        <v>25</v>
      </c>
      <c r="I137" s="38" t="s">
        <v>25</v>
      </c>
      <c r="J137" s="17" t="str">
        <f>IF(AND(B137="BT", F137 &gt; 0.03 * SUMIF(B:B, "BT", F:F)), "ITA-C", IF(AND(B137="BT", E137 &gt; 0.03 * SUMIF(B:B, "BT", E:E)), "ITA-D", ""))</f>
        <v/>
      </c>
    </row>
    <row r="138" spans="1:10" x14ac:dyDescent="0.3">
      <c r="A138" s="153">
        <v>137</v>
      </c>
      <c r="B138" s="154" t="s">
        <v>48</v>
      </c>
      <c r="C138" s="36">
        <v>45712</v>
      </c>
      <c r="D138" s="36" t="s">
        <v>272</v>
      </c>
      <c r="E138" s="37">
        <v>10000</v>
      </c>
      <c r="F138" s="37"/>
      <c r="G138" s="37">
        <v>13593.59</v>
      </c>
      <c r="H138" s="39" t="s">
        <v>25</v>
      </c>
      <c r="I138" s="38" t="s">
        <v>25</v>
      </c>
      <c r="J138" s="17" t="str">
        <f>IF(AND(B138="BT", F138 &gt; 0.03 * SUMIF(B:B, "BT", F:F)), "ITA-C", IF(AND(B138="BT", E138 &gt; 0.03 * SUMIF(B:B, "BT", E:E)), "ITA-D", ""))</f>
        <v/>
      </c>
    </row>
    <row r="139" spans="1:10" x14ac:dyDescent="0.3">
      <c r="A139" s="153">
        <v>138</v>
      </c>
      <c r="B139" s="35" t="s">
        <v>48</v>
      </c>
      <c r="C139" s="36">
        <v>45712</v>
      </c>
      <c r="D139" s="36" t="s">
        <v>270</v>
      </c>
      <c r="E139" s="37"/>
      <c r="F139" s="37">
        <v>870240</v>
      </c>
      <c r="G139" s="37">
        <v>883833.59</v>
      </c>
      <c r="H139" s="39" t="s">
        <v>7</v>
      </c>
      <c r="I139" s="38" t="s">
        <v>7</v>
      </c>
      <c r="J139" s="177" t="str">
        <f>IF(AND(B139="BT", F139 &gt; 0.03 * SUMIF(B:B, "BT", F:F)), "ITA-C", IF(AND(B139="BT", E139 &gt; 0.03 * SUMIF(B:B, "BT", E:E)), "ITA-D", ""))</f>
        <v/>
      </c>
    </row>
    <row r="140" spans="1:10" x14ac:dyDescent="0.3">
      <c r="A140" s="18">
        <v>139</v>
      </c>
      <c r="B140" s="19" t="s">
        <v>41</v>
      </c>
      <c r="C140" s="20">
        <v>45712</v>
      </c>
      <c r="D140" s="20" t="s">
        <v>223</v>
      </c>
      <c r="E140" s="21">
        <v>827904</v>
      </c>
      <c r="F140" s="21"/>
      <c r="G140" s="21">
        <v>55929.59</v>
      </c>
      <c r="H140" s="23" t="s">
        <v>6</v>
      </c>
      <c r="I140" s="22" t="s">
        <v>6</v>
      </c>
      <c r="J140" s="17" t="str">
        <f>IF(AND(B140="BT", F140 &gt; 0.03 * SUMIF(B:B, "BT", F:F)), "ITA-C", IF(AND(B140="BT", E140 &gt; 0.03 * SUMIF(B:B, "BT", E:E)), "ITA-D", ""))</f>
        <v/>
      </c>
    </row>
    <row r="141" spans="1:10" x14ac:dyDescent="0.3">
      <c r="A141" s="18">
        <v>140</v>
      </c>
      <c r="B141" s="19" t="s">
        <v>41</v>
      </c>
      <c r="C141" s="20">
        <v>45712</v>
      </c>
      <c r="D141" s="20" t="s">
        <v>193</v>
      </c>
      <c r="E141" s="21"/>
      <c r="F141" s="21">
        <v>500000</v>
      </c>
      <c r="G141" s="21">
        <v>555929.59</v>
      </c>
      <c r="H141" s="23" t="s">
        <v>7</v>
      </c>
      <c r="I141" s="22" t="s">
        <v>7</v>
      </c>
      <c r="J141" s="17" t="str">
        <f>IF(AND(B141="BT", F141 &gt; 0.03 * SUMIF(B:B, "BT", F:F)), "ITA-C", IF(AND(B141="BT", E141 &gt; 0.03 * SUMIF(B:B, "BT", E:E)), "ITA-D", ""))</f>
        <v/>
      </c>
    </row>
    <row r="142" spans="1:10" x14ac:dyDescent="0.3">
      <c r="A142" s="18">
        <v>141</v>
      </c>
      <c r="B142" s="19" t="s">
        <v>41</v>
      </c>
      <c r="C142" s="20">
        <v>45712</v>
      </c>
      <c r="D142" s="20" t="s">
        <v>231</v>
      </c>
      <c r="E142" s="21">
        <v>500000</v>
      </c>
      <c r="F142" s="21"/>
      <c r="G142" s="21">
        <v>55929.59</v>
      </c>
      <c r="H142" s="23" t="s">
        <v>9</v>
      </c>
      <c r="I142" s="22" t="s">
        <v>9</v>
      </c>
      <c r="J142" s="17" t="str">
        <f>IF(AND(B142="BT", F142 &gt; 0.03 * SUMIF(B:B, "BT", F:F)), "ITA-C", IF(AND(B142="BT", E142 &gt; 0.03 * SUMIF(B:B, "BT", E:E)), "ITA-D", ""))</f>
        <v/>
      </c>
    </row>
    <row r="143" spans="1:10" x14ac:dyDescent="0.3">
      <c r="A143" s="18">
        <v>142</v>
      </c>
      <c r="B143" s="19" t="s">
        <v>41</v>
      </c>
      <c r="C143" s="20">
        <v>45712</v>
      </c>
      <c r="D143" s="20" t="s">
        <v>225</v>
      </c>
      <c r="E143" s="21">
        <v>25000</v>
      </c>
      <c r="F143" s="21"/>
      <c r="G143" s="21">
        <v>30929.59</v>
      </c>
      <c r="H143" s="23" t="s">
        <v>13</v>
      </c>
      <c r="I143" s="22" t="s">
        <v>13</v>
      </c>
      <c r="J143" s="17" t="str">
        <f>IF(AND(B143="BT", F143 &gt; 0.03 * SUMIF(B:B, "BT", F:F)), "ITA-C", IF(AND(B143="BT", E143 &gt; 0.03 * SUMIF(B:B, "BT", E:E)), "ITA-D", ""))</f>
        <v/>
      </c>
    </row>
    <row r="144" spans="1:10" x14ac:dyDescent="0.3">
      <c r="A144" s="18">
        <v>143</v>
      </c>
      <c r="B144" s="19" t="s">
        <v>41</v>
      </c>
      <c r="C144" s="20">
        <v>45712</v>
      </c>
      <c r="D144" s="20" t="s">
        <v>232</v>
      </c>
      <c r="E144" s="21"/>
      <c r="F144" s="21">
        <v>50000</v>
      </c>
      <c r="G144" s="21">
        <v>80929.59</v>
      </c>
      <c r="H144" s="23" t="s">
        <v>8</v>
      </c>
      <c r="I144" s="22" t="s">
        <v>8</v>
      </c>
      <c r="J144" s="17" t="str">
        <f>IF(AND(B144="BT", F144 &gt; 0.03 * SUMIF(B:B, "BT", F:F)), "ITA-C", IF(AND(B144="BT", E144 &gt; 0.03 * SUMIF(B:B, "BT", E:E)), "ITA-D", ""))</f>
        <v/>
      </c>
    </row>
    <row r="145" spans="1:10" x14ac:dyDescent="0.3">
      <c r="A145" s="18">
        <v>144</v>
      </c>
      <c r="B145" s="19" t="s">
        <v>41</v>
      </c>
      <c r="C145" s="20">
        <v>45713</v>
      </c>
      <c r="D145" s="20" t="s">
        <v>224</v>
      </c>
      <c r="E145" s="21">
        <v>50000</v>
      </c>
      <c r="F145" s="21"/>
      <c r="G145" s="21">
        <v>30929.59</v>
      </c>
      <c r="H145" s="23" t="s">
        <v>13</v>
      </c>
      <c r="I145" s="22" t="s">
        <v>13</v>
      </c>
      <c r="J145" s="17" t="str">
        <f>IF(AND(B145="BT", F145 &gt; 0.03 * SUMIF(B:B, "BT", F:F)), "ITA-C", IF(AND(B145="BT", E145 &gt; 0.03 * SUMIF(B:B, "BT", E:E)), "ITA-D", ""))</f>
        <v/>
      </c>
    </row>
    <row r="146" spans="1:10" x14ac:dyDescent="0.3">
      <c r="A146" s="18">
        <v>145</v>
      </c>
      <c r="B146" s="19" t="s">
        <v>41</v>
      </c>
      <c r="C146" s="20">
        <v>45713</v>
      </c>
      <c r="D146" s="20" t="s">
        <v>193</v>
      </c>
      <c r="E146" s="21"/>
      <c r="F146" s="21">
        <v>500000</v>
      </c>
      <c r="G146" s="21">
        <v>530929.59</v>
      </c>
      <c r="H146" s="23" t="s">
        <v>7</v>
      </c>
      <c r="I146" s="22" t="s">
        <v>7</v>
      </c>
      <c r="J146" s="17" t="str">
        <f>IF(AND(B146="BT", F146 &gt; 0.03 * SUMIF(B:B, "BT", F:F)), "ITA-C", IF(AND(B146="BT", E146 &gt; 0.03 * SUMIF(B:B, "BT", E:E)), "ITA-D", ""))</f>
        <v/>
      </c>
    </row>
    <row r="147" spans="1:10" x14ac:dyDescent="0.3">
      <c r="A147" s="18">
        <v>146</v>
      </c>
      <c r="B147" s="19" t="s">
        <v>41</v>
      </c>
      <c r="C147" s="20">
        <v>45713</v>
      </c>
      <c r="D147" s="20" t="s">
        <v>198</v>
      </c>
      <c r="E147" s="21"/>
      <c r="F147" s="21">
        <v>89250</v>
      </c>
      <c r="G147" s="21">
        <v>620179.59</v>
      </c>
      <c r="H147" s="23" t="s">
        <v>5</v>
      </c>
      <c r="I147" s="22" t="s">
        <v>5</v>
      </c>
      <c r="J147" s="17" t="str">
        <f>IF(AND(B147="BT", F147 &gt; 0.03 * SUMIF(B:B, "BT", F:F)), "ITA-C", IF(AND(B147="BT", E147 &gt; 0.03 * SUMIF(B:B, "BT", E:E)), "ITA-D", ""))</f>
        <v/>
      </c>
    </row>
    <row r="148" spans="1:10" x14ac:dyDescent="0.3">
      <c r="A148" s="18">
        <v>147</v>
      </c>
      <c r="B148" s="120" t="s">
        <v>41</v>
      </c>
      <c r="C148" s="20">
        <v>45713</v>
      </c>
      <c r="D148" s="20" t="s">
        <v>187</v>
      </c>
      <c r="E148" s="21">
        <v>195200</v>
      </c>
      <c r="F148" s="21"/>
      <c r="G148" s="21">
        <v>424979.59</v>
      </c>
      <c r="H148" s="23" t="s">
        <v>13</v>
      </c>
      <c r="I148" s="22" t="s">
        <v>13</v>
      </c>
      <c r="J148" s="177" t="str">
        <f>IF(AND(B148="BT", F148 &gt; 0.03 * SUMIF(B:B, "BT", F:F)), "ITA-C", IF(AND(B148="BT", E148 &gt; 0.03 * SUMIF(B:B, "BT", E:E)), "ITA-D", ""))</f>
        <v/>
      </c>
    </row>
    <row r="149" spans="1:10" x14ac:dyDescent="0.3">
      <c r="A149" s="18">
        <v>148</v>
      </c>
      <c r="B149" s="19" t="s">
        <v>41</v>
      </c>
      <c r="C149" s="20">
        <v>45713</v>
      </c>
      <c r="D149" s="20" t="s">
        <v>191</v>
      </c>
      <c r="E149" s="21">
        <v>400000</v>
      </c>
      <c r="F149" s="21"/>
      <c r="G149" s="21">
        <v>24979.59</v>
      </c>
      <c r="H149" s="23" t="s">
        <v>9</v>
      </c>
      <c r="I149" s="22" t="s">
        <v>9</v>
      </c>
      <c r="J149" s="17" t="str">
        <f>IF(AND(B149="BT", F149 &gt; 0.03 * SUMIF(B:B, "BT", F:F)), "ITA-C", IF(AND(B149="BT", E149 &gt; 0.03 * SUMIF(B:B, "BT", E:E)), "ITA-D", ""))</f>
        <v/>
      </c>
    </row>
    <row r="150" spans="1:10" x14ac:dyDescent="0.3">
      <c r="A150" s="18">
        <v>149</v>
      </c>
      <c r="B150" s="19" t="s">
        <v>41</v>
      </c>
      <c r="C150" s="20">
        <v>45714</v>
      </c>
      <c r="D150" s="20" t="s">
        <v>193</v>
      </c>
      <c r="E150" s="21"/>
      <c r="F150" s="21">
        <v>500000</v>
      </c>
      <c r="G150" s="21">
        <v>524979.59</v>
      </c>
      <c r="H150" s="23" t="s">
        <v>7</v>
      </c>
      <c r="I150" s="22" t="s">
        <v>7</v>
      </c>
      <c r="J150" s="17" t="str">
        <f>IF(AND(B150="BT", F150 &gt; 0.03 * SUMIF(B:B, "BT", F:F)), "ITA-C", IF(AND(B150="BT", E150 &gt; 0.03 * SUMIF(B:B, "BT", E:E)), "ITA-D", ""))</f>
        <v/>
      </c>
    </row>
    <row r="151" spans="1:10" x14ac:dyDescent="0.3">
      <c r="A151" s="18">
        <v>150</v>
      </c>
      <c r="B151" s="19" t="s">
        <v>41</v>
      </c>
      <c r="C151" s="20">
        <v>45714</v>
      </c>
      <c r="D151" s="20" t="s">
        <v>205</v>
      </c>
      <c r="E151" s="21">
        <v>500000</v>
      </c>
      <c r="F151" s="21"/>
      <c r="G151" s="21">
        <v>24979.59</v>
      </c>
      <c r="H151" s="23" t="s">
        <v>9</v>
      </c>
      <c r="I151" s="22" t="s">
        <v>9</v>
      </c>
      <c r="J151" s="17" t="str">
        <f>IF(AND(B151="BT", F151 &gt; 0.03 * SUMIF(B:B, "BT", F:F)), "ITA-C", IF(AND(B151="BT", E151 &gt; 0.03 * SUMIF(B:B, "BT", E:E)), "ITA-D", ""))</f>
        <v/>
      </c>
    </row>
    <row r="152" spans="1:10" x14ac:dyDescent="0.3">
      <c r="A152" s="153">
        <v>151</v>
      </c>
      <c r="B152" s="154" t="s">
        <v>48</v>
      </c>
      <c r="C152" s="36">
        <v>45714</v>
      </c>
      <c r="D152" s="36" t="s">
        <v>272</v>
      </c>
      <c r="E152" s="37">
        <v>10000</v>
      </c>
      <c r="F152" s="37"/>
      <c r="G152" s="37">
        <v>14979.59</v>
      </c>
      <c r="H152" s="39" t="s">
        <v>25</v>
      </c>
      <c r="I152" s="38" t="s">
        <v>25</v>
      </c>
      <c r="J152" s="17" t="str">
        <f>IF(AND(B152="BT", F152 &gt; 0.03 * SUMIF(B:B, "BT", F:F)), "ITA-C", IF(AND(B152="BT", E152 &gt; 0.03 * SUMIF(B:B, "BT", E:E)), "ITA-D", ""))</f>
        <v/>
      </c>
    </row>
    <row r="153" spans="1:10" x14ac:dyDescent="0.3">
      <c r="A153" s="153">
        <v>152</v>
      </c>
      <c r="B153" s="35" t="s">
        <v>48</v>
      </c>
      <c r="C153" s="36">
        <v>45714</v>
      </c>
      <c r="D153" s="36" t="s">
        <v>270</v>
      </c>
      <c r="E153" s="37"/>
      <c r="F153" s="37">
        <v>870005</v>
      </c>
      <c r="G153" s="37">
        <v>884984.59</v>
      </c>
      <c r="H153" s="39" t="s">
        <v>7</v>
      </c>
      <c r="I153" s="38" t="s">
        <v>7</v>
      </c>
      <c r="J153" s="177" t="str">
        <f>IF(AND(B153="BT", F153 &gt; 0.03 * SUMIF(B:B, "BT", F:F)), "ITA-C", IF(AND(B153="BT", E153 &gt; 0.03 * SUMIF(B:B, "BT", E:E)), "ITA-D", ""))</f>
        <v/>
      </c>
    </row>
    <row r="154" spans="1:10" x14ac:dyDescent="0.3">
      <c r="A154" s="18">
        <v>153</v>
      </c>
      <c r="B154" s="19" t="s">
        <v>41</v>
      </c>
      <c r="C154" s="20">
        <v>45714</v>
      </c>
      <c r="D154" s="20" t="s">
        <v>191</v>
      </c>
      <c r="E154" s="21">
        <v>427980</v>
      </c>
      <c r="F154" s="21"/>
      <c r="G154" s="21">
        <v>457004.59</v>
      </c>
      <c r="H154" s="23" t="s">
        <v>9</v>
      </c>
      <c r="I154" s="22" t="s">
        <v>9</v>
      </c>
      <c r="J154" s="17" t="str">
        <f>IF(AND(B154="BT", F154 &gt; 0.03 * SUMIF(B:B, "BT", F:F)), "ITA-C", IF(AND(B154="BT", E154 &gt; 0.03 * SUMIF(B:B, "BT", E:E)), "ITA-D", ""))</f>
        <v/>
      </c>
    </row>
    <row r="155" spans="1:10" x14ac:dyDescent="0.3">
      <c r="A155" s="18">
        <v>154</v>
      </c>
      <c r="B155" s="19" t="s">
        <v>41</v>
      </c>
      <c r="C155" s="20">
        <v>45714</v>
      </c>
      <c r="D155" s="20" t="s">
        <v>200</v>
      </c>
      <c r="E155" s="21">
        <v>15000</v>
      </c>
      <c r="F155" s="21"/>
      <c r="G155" s="21">
        <v>442004.59</v>
      </c>
      <c r="H155" s="23" t="s">
        <v>6</v>
      </c>
      <c r="I155" s="22" t="s">
        <v>6</v>
      </c>
      <c r="J155" s="17" t="str">
        <f>IF(AND(B155="BT", F155 &gt; 0.03 * SUMIF(B:B, "BT", F:F)), "ITA-C", IF(AND(B155="BT", E155 &gt; 0.03 * SUMIF(B:B, "BT", E:E)), "ITA-D", ""))</f>
        <v/>
      </c>
    </row>
    <row r="156" spans="1:10" x14ac:dyDescent="0.3">
      <c r="A156" s="18">
        <v>155</v>
      </c>
      <c r="B156" s="19" t="s">
        <v>41</v>
      </c>
      <c r="C156" s="20">
        <v>45714</v>
      </c>
      <c r="D156" s="20" t="s">
        <v>221</v>
      </c>
      <c r="E156" s="21"/>
      <c r="F156" s="21">
        <v>100000</v>
      </c>
      <c r="G156" s="21">
        <v>542004.59</v>
      </c>
      <c r="H156" s="23" t="s">
        <v>5</v>
      </c>
      <c r="I156" s="22" t="s">
        <v>5</v>
      </c>
      <c r="J156" s="17" t="str">
        <f>IF(AND(B156="BT", F156 &gt; 0.03 * SUMIF(B:B, "BT", F:F)), "ITA-C", IF(AND(B156="BT", E156 &gt; 0.03 * SUMIF(B:B, "BT", E:E)), "ITA-D", ""))</f>
        <v/>
      </c>
    </row>
    <row r="157" spans="1:10" x14ac:dyDescent="0.3">
      <c r="A157" s="18">
        <v>156</v>
      </c>
      <c r="B157" s="19" t="s">
        <v>41</v>
      </c>
      <c r="C157" s="20">
        <v>45714</v>
      </c>
      <c r="D157" s="20" t="s">
        <v>232</v>
      </c>
      <c r="E157" s="21"/>
      <c r="F157" s="21">
        <v>42566</v>
      </c>
      <c r="G157" s="21">
        <v>584570.59</v>
      </c>
      <c r="H157" s="23" t="s">
        <v>8</v>
      </c>
      <c r="I157" s="22" t="s">
        <v>8</v>
      </c>
      <c r="J157" s="17" t="str">
        <f>IF(AND(B157="BT", F157 &gt; 0.03 * SUMIF(B:B, "BT", F:F)), "ITA-C", IF(AND(B157="BT", E157 &gt; 0.03 * SUMIF(B:B, "BT", E:E)), "ITA-D", ""))</f>
        <v/>
      </c>
    </row>
    <row r="158" spans="1:10" x14ac:dyDescent="0.3">
      <c r="A158" s="18">
        <v>157</v>
      </c>
      <c r="B158" s="19" t="s">
        <v>41</v>
      </c>
      <c r="C158" s="20">
        <v>45714</v>
      </c>
      <c r="D158" s="20" t="s">
        <v>199</v>
      </c>
      <c r="E158" s="21">
        <v>493920</v>
      </c>
      <c r="F158" s="21"/>
      <c r="G158" s="21">
        <v>90650.59</v>
      </c>
      <c r="H158" s="23" t="s">
        <v>9</v>
      </c>
      <c r="I158" s="22" t="s">
        <v>9</v>
      </c>
      <c r="J158" s="17" t="str">
        <f>IF(AND(B158="BT", F158 &gt; 0.03 * SUMIF(B:B, "BT", F:F)), "ITA-C", IF(AND(B158="BT", E158 &gt; 0.03 * SUMIF(B:B, "BT", E:E)), "ITA-D", ""))</f>
        <v/>
      </c>
    </row>
    <row r="159" spans="1:10" x14ac:dyDescent="0.3">
      <c r="A159" s="18">
        <v>158</v>
      </c>
      <c r="B159" s="19" t="s">
        <v>41</v>
      </c>
      <c r="C159" s="20">
        <v>45715</v>
      </c>
      <c r="D159" s="20" t="s">
        <v>200</v>
      </c>
      <c r="E159" s="21">
        <v>31000</v>
      </c>
      <c r="F159" s="21"/>
      <c r="G159" s="21">
        <v>59650.59</v>
      </c>
      <c r="H159" s="23" t="s">
        <v>6</v>
      </c>
      <c r="I159" s="22" t="s">
        <v>6</v>
      </c>
      <c r="J159" s="17" t="str">
        <f>IF(AND(B159="BT", F159 &gt; 0.03 * SUMIF(B:B, "BT", F:F)), "ITA-C", IF(AND(B159="BT", E159 &gt; 0.03 * SUMIF(B:B, "BT", E:E)), "ITA-D", ""))</f>
        <v/>
      </c>
    </row>
    <row r="160" spans="1:10" x14ac:dyDescent="0.3">
      <c r="A160" s="18">
        <v>159</v>
      </c>
      <c r="B160" s="19" t="s">
        <v>41</v>
      </c>
      <c r="C160" s="20">
        <v>45715</v>
      </c>
      <c r="D160" s="20" t="s">
        <v>192</v>
      </c>
      <c r="E160" s="21"/>
      <c r="F160" s="21">
        <v>95000</v>
      </c>
      <c r="G160" s="21">
        <v>154650.59</v>
      </c>
      <c r="H160" s="23" t="s">
        <v>8</v>
      </c>
      <c r="I160" s="22" t="s">
        <v>8</v>
      </c>
      <c r="J160" s="17" t="str">
        <f>IF(AND(B160="BT", F160 &gt; 0.03 * SUMIF(B:B, "BT", F:F)), "ITA-C", IF(AND(B160="BT", E160 &gt; 0.03 * SUMIF(B:B, "BT", E:E)), "ITA-D", ""))</f>
        <v/>
      </c>
    </row>
    <row r="161" spans="1:10" s="34" customFormat="1" x14ac:dyDescent="0.3">
      <c r="A161" s="153">
        <v>160</v>
      </c>
      <c r="B161" s="35" t="s">
        <v>48</v>
      </c>
      <c r="C161" s="36">
        <v>45715</v>
      </c>
      <c r="D161" s="36" t="s">
        <v>270</v>
      </c>
      <c r="E161" s="37"/>
      <c r="F161" s="37">
        <v>870000</v>
      </c>
      <c r="G161" s="37">
        <v>1024650.59</v>
      </c>
      <c r="H161" s="39" t="s">
        <v>7</v>
      </c>
      <c r="I161" s="38" t="s">
        <v>7</v>
      </c>
      <c r="J161" s="17" t="str">
        <f>IF(AND(B161="BT", F161 &gt; 0.03 * SUMIF(B:B, "BT", F:F)), "ITA-C", IF(AND(B161="BT", E161 &gt; 0.03 * SUMIF(B:B, "BT", E:E)), "ITA-D", ""))</f>
        <v/>
      </c>
    </row>
    <row r="162" spans="1:10" x14ac:dyDescent="0.3">
      <c r="A162" s="18">
        <v>161</v>
      </c>
      <c r="B162" s="19" t="s">
        <v>41</v>
      </c>
      <c r="C162" s="20">
        <v>45715</v>
      </c>
      <c r="D162" s="20" t="s">
        <v>238</v>
      </c>
      <c r="E162" s="21">
        <v>828000</v>
      </c>
      <c r="F162" s="21"/>
      <c r="G162" s="21">
        <v>196650.59</v>
      </c>
      <c r="H162" s="23" t="s">
        <v>9</v>
      </c>
      <c r="I162" s="22" t="s">
        <v>9</v>
      </c>
      <c r="J162" s="17" t="str">
        <f>IF(AND(B162="BT", F162 &gt; 0.03 * SUMIF(B:B, "BT", F:F)), "ITA-C", IF(AND(B162="BT", E162 &gt; 0.03 * SUMIF(B:B, "BT", E:E)), "ITA-D", ""))</f>
        <v/>
      </c>
    </row>
    <row r="163" spans="1:10" x14ac:dyDescent="0.3">
      <c r="A163" s="18">
        <v>162</v>
      </c>
      <c r="B163" s="19" t="s">
        <v>41</v>
      </c>
      <c r="C163" s="20">
        <v>45716</v>
      </c>
      <c r="D163" s="20" t="s">
        <v>227</v>
      </c>
      <c r="E163" s="21">
        <v>50000</v>
      </c>
      <c r="F163" s="21"/>
      <c r="G163" s="21">
        <v>146650.59</v>
      </c>
      <c r="H163" s="23" t="s">
        <v>13</v>
      </c>
      <c r="I163" s="22" t="s">
        <v>13</v>
      </c>
      <c r="J163" s="17" t="str">
        <f>IF(AND(B163="BT", F163 &gt; 0.03 * SUMIF(B:B, "BT", F:F)), "ITA-C", IF(AND(B163="BT", E163 &gt; 0.03 * SUMIF(B:B, "BT", E:E)), "ITA-D", ""))</f>
        <v/>
      </c>
    </row>
    <row r="164" spans="1:10" x14ac:dyDescent="0.3">
      <c r="A164" s="18">
        <v>163</v>
      </c>
      <c r="B164" s="24" t="s">
        <v>39</v>
      </c>
      <c r="C164" s="25">
        <v>45716</v>
      </c>
      <c r="D164" s="6" t="s">
        <v>258</v>
      </c>
      <c r="E164" s="26">
        <v>11.8</v>
      </c>
      <c r="F164" s="26"/>
      <c r="G164" s="26">
        <v>146638.79</v>
      </c>
      <c r="H164" s="28" t="s">
        <v>24</v>
      </c>
      <c r="I164" s="27" t="s">
        <v>24</v>
      </c>
      <c r="J164" s="177" t="str">
        <f>IF(AND(B164="BT", F164 &gt; 0.03 * SUMIF(B:B, "BT", F:F)), "ITA-C", IF(AND(B164="BT", E164 &gt; 0.03 * SUMIF(B:B, "BT", E:E)), "ITA-D", ""))</f>
        <v/>
      </c>
    </row>
    <row r="165" spans="1:10" x14ac:dyDescent="0.3">
      <c r="A165" s="18">
        <v>164</v>
      </c>
      <c r="B165" s="19" t="s">
        <v>41</v>
      </c>
      <c r="C165" s="20">
        <v>45716</v>
      </c>
      <c r="D165" s="20" t="s">
        <v>193</v>
      </c>
      <c r="E165" s="21"/>
      <c r="F165" s="21">
        <v>500000</v>
      </c>
      <c r="G165" s="21">
        <v>646638.79</v>
      </c>
      <c r="H165" s="23" t="s">
        <v>7</v>
      </c>
      <c r="I165" s="22" t="s">
        <v>7</v>
      </c>
      <c r="J165" s="17" t="str">
        <f>IF(AND(B165="BT", F165 &gt; 0.03 * SUMIF(B:B, "BT", F:F)), "ITA-C", IF(AND(B165="BT", E165 &gt; 0.03 * SUMIF(B:B, "BT", E:E)), "ITA-D", ""))</f>
        <v/>
      </c>
    </row>
    <row r="166" spans="1:10" x14ac:dyDescent="0.3">
      <c r="A166" s="18">
        <v>165</v>
      </c>
      <c r="B166" s="19" t="s">
        <v>41</v>
      </c>
      <c r="C166" s="20">
        <v>45716</v>
      </c>
      <c r="D166" s="20" t="s">
        <v>238</v>
      </c>
      <c r="E166" s="21">
        <v>500000</v>
      </c>
      <c r="F166" s="21"/>
      <c r="G166" s="21">
        <v>146638.79</v>
      </c>
      <c r="H166" s="23" t="s">
        <v>9</v>
      </c>
      <c r="I166" s="22" t="s">
        <v>9</v>
      </c>
      <c r="J166" s="17" t="str">
        <f>IF(AND(B166="BT", F166 &gt; 0.03 * SUMIF(B:B, "BT", F:F)), "ITA-C", IF(AND(B166="BT", E166 &gt; 0.03 * SUMIF(B:B, "BT", E:E)), "ITA-D", ""))</f>
        <v/>
      </c>
    </row>
    <row r="167" spans="1:10" x14ac:dyDescent="0.3">
      <c r="A167" s="18">
        <v>166</v>
      </c>
      <c r="B167" s="19" t="s">
        <v>41</v>
      </c>
      <c r="C167" s="20">
        <v>45716</v>
      </c>
      <c r="D167" s="20" t="s">
        <v>231</v>
      </c>
      <c r="E167" s="21">
        <v>33040</v>
      </c>
      <c r="F167" s="21"/>
      <c r="G167" s="21">
        <v>113598.79</v>
      </c>
      <c r="H167" s="23" t="s">
        <v>6</v>
      </c>
      <c r="I167" s="22" t="s">
        <v>6</v>
      </c>
      <c r="J167" s="17" t="str">
        <f>IF(AND(B167="BT", F167 &gt; 0.03 * SUMIF(B:B, "BT", F:F)), "ITA-C", IF(AND(B167="BT", E167 &gt; 0.03 * SUMIF(B:B, "BT", E:E)), "ITA-D", ""))</f>
        <v/>
      </c>
    </row>
    <row r="168" spans="1:10" x14ac:dyDescent="0.3">
      <c r="A168" s="18">
        <v>167</v>
      </c>
      <c r="B168" s="19" t="s">
        <v>41</v>
      </c>
      <c r="C168" s="20">
        <v>45716</v>
      </c>
      <c r="D168" s="20" t="s">
        <v>216</v>
      </c>
      <c r="E168" s="21">
        <v>100000</v>
      </c>
      <c r="F168" s="21"/>
      <c r="G168" s="21">
        <v>13598.79</v>
      </c>
      <c r="H168" s="23" t="s">
        <v>13</v>
      </c>
      <c r="I168" s="22" t="s">
        <v>13</v>
      </c>
      <c r="J168" s="17" t="str">
        <f>IF(AND(B168="BT", F168 &gt; 0.03 * SUMIF(B:B, "BT", F:F)), "ITA-C", IF(AND(B168="BT", E168 &gt; 0.03 * SUMIF(B:B, "BT", E:E)), "ITA-D", ""))</f>
        <v/>
      </c>
    </row>
    <row r="169" spans="1:10" x14ac:dyDescent="0.3">
      <c r="A169" s="18">
        <v>168</v>
      </c>
      <c r="B169" s="19" t="s">
        <v>41</v>
      </c>
      <c r="C169" s="20">
        <v>45716</v>
      </c>
      <c r="D169" s="20" t="s">
        <v>221</v>
      </c>
      <c r="E169" s="21"/>
      <c r="F169" s="21">
        <v>169166</v>
      </c>
      <c r="G169" s="21">
        <v>182764.79</v>
      </c>
      <c r="H169" s="23" t="s">
        <v>5</v>
      </c>
      <c r="I169" s="22" t="s">
        <v>5</v>
      </c>
      <c r="J169" s="17" t="str">
        <f>IF(AND(B169="BT", F169 &gt; 0.03 * SUMIF(B:B, "BT", F:F)), "ITA-C", IF(AND(B169="BT", E169 &gt; 0.03 * SUMIF(B:B, "BT", E:E)), "ITA-D", ""))</f>
        <v/>
      </c>
    </row>
    <row r="170" spans="1:10" x14ac:dyDescent="0.3">
      <c r="A170" s="153">
        <v>169</v>
      </c>
      <c r="B170" s="35" t="s">
        <v>48</v>
      </c>
      <c r="C170" s="36">
        <v>45717</v>
      </c>
      <c r="D170" s="36" t="s">
        <v>276</v>
      </c>
      <c r="E170" s="37"/>
      <c r="F170" s="37">
        <v>37000</v>
      </c>
      <c r="G170" s="37">
        <v>219764.79</v>
      </c>
      <c r="H170" s="39" t="s">
        <v>8</v>
      </c>
      <c r="I170" s="38" t="s">
        <v>8</v>
      </c>
      <c r="J170" s="17" t="str">
        <f>IF(AND(B170="BT", F170 &gt; 0.03 * SUMIF(B:B, "BT", F:F)), "ITA-C", IF(AND(B170="BT", E170 &gt; 0.03 * SUMIF(B:B, "BT", E:E)), "ITA-D", ""))</f>
        <v/>
      </c>
    </row>
    <row r="171" spans="1:10" x14ac:dyDescent="0.3">
      <c r="A171" s="18">
        <v>170</v>
      </c>
      <c r="B171" s="19" t="s">
        <v>41</v>
      </c>
      <c r="C171" s="20">
        <v>45717</v>
      </c>
      <c r="D171" s="20" t="s">
        <v>216</v>
      </c>
      <c r="E171" s="21">
        <v>219200</v>
      </c>
      <c r="F171" s="21"/>
      <c r="G171" s="21">
        <v>564.79</v>
      </c>
      <c r="H171" s="23" t="s">
        <v>9</v>
      </c>
      <c r="I171" s="22" t="s">
        <v>9</v>
      </c>
      <c r="J171" s="17" t="str">
        <f>IF(AND(B171="BT", F171 &gt; 0.03 * SUMIF(B:B, "BT", F:F)), "ITA-C", IF(AND(B171="BT", E171 &gt; 0.03 * SUMIF(B:B, "BT", E:E)), "ITA-D", ""))</f>
        <v/>
      </c>
    </row>
    <row r="172" spans="1:10" x14ac:dyDescent="0.3">
      <c r="A172" s="18">
        <v>171</v>
      </c>
      <c r="B172" s="19" t="s">
        <v>41</v>
      </c>
      <c r="C172" s="20">
        <v>45718</v>
      </c>
      <c r="D172" s="20" t="s">
        <v>40</v>
      </c>
      <c r="E172" s="21"/>
      <c r="F172" s="21">
        <v>10000</v>
      </c>
      <c r="G172" s="21">
        <v>10564.79</v>
      </c>
      <c r="H172" s="23" t="s">
        <v>30</v>
      </c>
      <c r="I172" s="22" t="s">
        <v>30</v>
      </c>
      <c r="J172" s="17" t="str">
        <f>IF(AND(B172="BT", F172 &gt; 0.03 * SUMIF(B:B, "BT", F:F)), "ITA-C", IF(AND(B172="BT", E172 &gt; 0.03 * SUMIF(B:B, "BT", E:E)), "ITA-D", ""))</f>
        <v/>
      </c>
    </row>
    <row r="173" spans="1:10" x14ac:dyDescent="0.3">
      <c r="A173" s="153">
        <v>172</v>
      </c>
      <c r="B173" s="154" t="s">
        <v>48</v>
      </c>
      <c r="C173" s="36">
        <v>45719</v>
      </c>
      <c r="D173" s="36" t="s">
        <v>275</v>
      </c>
      <c r="E173" s="37"/>
      <c r="F173" s="37">
        <v>108268</v>
      </c>
      <c r="G173" s="37">
        <v>118832.79</v>
      </c>
      <c r="H173" s="39" t="s">
        <v>10</v>
      </c>
      <c r="I173" s="38" t="s">
        <v>10</v>
      </c>
      <c r="J173" s="17" t="str">
        <f>IF(AND(B173="BT", F173 &gt; 0.03 * SUMIF(B:B, "BT", F:F)), "ITA-C", IF(AND(B173="BT", E173 &gt; 0.03 * SUMIF(B:B, "BT", E:E)), "ITA-D", ""))</f>
        <v/>
      </c>
    </row>
    <row r="174" spans="1:10" x14ac:dyDescent="0.3">
      <c r="A174" s="18">
        <v>173</v>
      </c>
      <c r="B174" s="19" t="s">
        <v>41</v>
      </c>
      <c r="C174" s="20">
        <v>45719</v>
      </c>
      <c r="D174" s="20" t="s">
        <v>204</v>
      </c>
      <c r="E174" s="21"/>
      <c r="F174" s="21">
        <v>47000</v>
      </c>
      <c r="G174" s="21">
        <v>165832.79</v>
      </c>
      <c r="H174" s="23" t="s">
        <v>28</v>
      </c>
      <c r="I174" s="22" t="s">
        <v>28</v>
      </c>
      <c r="J174" s="17" t="str">
        <f>IF(AND(B174="BT", F174 &gt; 0.03 * SUMIF(B:B, "BT", F:F)), "ITA-C", IF(AND(B174="BT", E174 &gt; 0.03 * SUMIF(B:B, "BT", E:E)), "ITA-D", ""))</f>
        <v/>
      </c>
    </row>
    <row r="175" spans="1:10" x14ac:dyDescent="0.3">
      <c r="A175" s="18">
        <v>174</v>
      </c>
      <c r="B175" s="19" t="s">
        <v>41</v>
      </c>
      <c r="C175" s="20">
        <v>45719</v>
      </c>
      <c r="D175" s="20" t="s">
        <v>228</v>
      </c>
      <c r="E175" s="21"/>
      <c r="F175" s="21">
        <v>96600</v>
      </c>
      <c r="G175" s="21">
        <v>262432.78999999998</v>
      </c>
      <c r="H175" s="23" t="s">
        <v>5</v>
      </c>
      <c r="I175" s="22" t="s">
        <v>5</v>
      </c>
      <c r="J175" s="17" t="str">
        <f>IF(AND(B175="BT", F175 &gt; 0.03 * SUMIF(B:B, "BT", F:F)), "ITA-C", IF(AND(B175="BT", E175 &gt; 0.03 * SUMIF(B:B, "BT", E:E)), "ITA-D", ""))</f>
        <v/>
      </c>
    </row>
    <row r="176" spans="1:10" x14ac:dyDescent="0.3">
      <c r="A176" s="18">
        <v>175</v>
      </c>
      <c r="B176" s="19" t="s">
        <v>41</v>
      </c>
      <c r="C176" s="20">
        <v>45719</v>
      </c>
      <c r="D176" s="20" t="s">
        <v>193</v>
      </c>
      <c r="E176" s="21"/>
      <c r="F176" s="21">
        <v>500000</v>
      </c>
      <c r="G176" s="21">
        <v>762432.79</v>
      </c>
      <c r="H176" s="23" t="s">
        <v>7</v>
      </c>
      <c r="I176" s="22" t="s">
        <v>7</v>
      </c>
      <c r="J176" s="17" t="str">
        <f>IF(AND(B176="BT", F176 &gt; 0.03 * SUMIF(B:B, "BT", F:F)), "ITA-C", IF(AND(B176="BT", E176 &gt; 0.03 * SUMIF(B:B, "BT", E:E)), "ITA-D", ""))</f>
        <v/>
      </c>
    </row>
    <row r="177" spans="1:10" x14ac:dyDescent="0.3">
      <c r="A177" s="18">
        <v>176</v>
      </c>
      <c r="B177" s="19" t="s">
        <v>41</v>
      </c>
      <c r="C177" s="20">
        <v>45719</v>
      </c>
      <c r="D177" s="20" t="s">
        <v>232</v>
      </c>
      <c r="E177" s="21"/>
      <c r="F177" s="21">
        <v>70000</v>
      </c>
      <c r="G177" s="21">
        <v>832432.79</v>
      </c>
      <c r="H177" s="23" t="s">
        <v>8</v>
      </c>
      <c r="I177" s="22" t="s">
        <v>8</v>
      </c>
      <c r="J177" s="17" t="str">
        <f>IF(AND(B177="BT", F177 &gt; 0.03 * SUMIF(B:B, "BT", F:F)), "ITA-C", IF(AND(B177="BT", E177 &gt; 0.03 * SUMIF(B:B, "BT", E:E)), "ITA-D", ""))</f>
        <v/>
      </c>
    </row>
    <row r="178" spans="1:10" x14ac:dyDescent="0.3">
      <c r="A178" s="18">
        <v>177</v>
      </c>
      <c r="B178" s="19" t="s">
        <v>41</v>
      </c>
      <c r="C178" s="20">
        <v>45720</v>
      </c>
      <c r="D178" s="20" t="s">
        <v>231</v>
      </c>
      <c r="E178" s="21">
        <v>232960</v>
      </c>
      <c r="F178" s="21"/>
      <c r="G178" s="21">
        <v>599472.79</v>
      </c>
      <c r="H178" s="23" t="s">
        <v>9</v>
      </c>
      <c r="I178" s="22" t="s">
        <v>9</v>
      </c>
      <c r="J178" s="17" t="str">
        <f>IF(AND(B178="BT", F178 &gt; 0.03 * SUMIF(B:B, "BT", F:F)), "ITA-C", IF(AND(B178="BT", E178 &gt; 0.03 * SUMIF(B:B, "BT", E:E)), "ITA-D", ""))</f>
        <v/>
      </c>
    </row>
    <row r="179" spans="1:10" x14ac:dyDescent="0.3">
      <c r="A179" s="18">
        <v>178</v>
      </c>
      <c r="B179" s="19" t="s">
        <v>41</v>
      </c>
      <c r="C179" s="20">
        <v>45720</v>
      </c>
      <c r="D179" s="20" t="s">
        <v>226</v>
      </c>
      <c r="E179" s="21">
        <v>498960</v>
      </c>
      <c r="F179" s="21"/>
      <c r="G179" s="21">
        <v>100512.79</v>
      </c>
      <c r="H179" s="23" t="s">
        <v>9</v>
      </c>
      <c r="I179" s="22" t="s">
        <v>9</v>
      </c>
      <c r="J179" s="17" t="str">
        <f>IF(AND(B179="BT", F179 &gt; 0.03 * SUMIF(B:B, "BT", F:F)), "ITA-C", IF(AND(B179="BT", E179 &gt; 0.03 * SUMIF(B:B, "BT", E:E)), "ITA-D", ""))</f>
        <v/>
      </c>
    </row>
    <row r="180" spans="1:10" x14ac:dyDescent="0.3">
      <c r="A180" s="18">
        <v>179</v>
      </c>
      <c r="B180" s="19" t="s">
        <v>41</v>
      </c>
      <c r="C180" s="20">
        <v>45720</v>
      </c>
      <c r="D180" s="20" t="s">
        <v>204</v>
      </c>
      <c r="E180" s="21"/>
      <c r="F180" s="21">
        <v>47500</v>
      </c>
      <c r="G180" s="21">
        <v>148012.79</v>
      </c>
      <c r="H180" s="23" t="s">
        <v>28</v>
      </c>
      <c r="I180" s="22" t="s">
        <v>28</v>
      </c>
      <c r="J180" s="17" t="str">
        <f>IF(AND(B180="BT", F180 &gt; 0.03 * SUMIF(B:B, "BT", F:F)), "ITA-C", IF(AND(B180="BT", E180 &gt; 0.03 * SUMIF(B:B, "BT", E:E)), "ITA-D", ""))</f>
        <v/>
      </c>
    </row>
    <row r="181" spans="1:10" s="34" customFormat="1" x14ac:dyDescent="0.3">
      <c r="A181" s="153">
        <v>180</v>
      </c>
      <c r="B181" s="35" t="s">
        <v>48</v>
      </c>
      <c r="C181" s="36">
        <v>45720</v>
      </c>
      <c r="D181" s="36" t="s">
        <v>271</v>
      </c>
      <c r="E181" s="37"/>
      <c r="F181" s="37">
        <v>130000</v>
      </c>
      <c r="G181" s="37">
        <v>278012.78999999998</v>
      </c>
      <c r="H181" s="39" t="s">
        <v>21</v>
      </c>
      <c r="I181" s="38" t="s">
        <v>5</v>
      </c>
      <c r="J181" s="17" t="str">
        <f>IF(AND(B181="BT", F181 &gt; 0.03 * SUMIF(B:B, "BT", F:F)), "ITA-C", IF(AND(B181="BT", E181 &gt; 0.03 * SUMIF(B:B, "BT", E:E)), "ITA-D", ""))</f>
        <v/>
      </c>
    </row>
    <row r="182" spans="1:10" x14ac:dyDescent="0.3">
      <c r="A182" s="18">
        <v>181</v>
      </c>
      <c r="B182" s="19" t="s">
        <v>41</v>
      </c>
      <c r="C182" s="20">
        <v>45720</v>
      </c>
      <c r="D182" s="20" t="s">
        <v>237</v>
      </c>
      <c r="E182" s="21">
        <v>250000</v>
      </c>
      <c r="F182" s="21"/>
      <c r="G182" s="21">
        <v>28012.79</v>
      </c>
      <c r="H182" s="23" t="s">
        <v>6</v>
      </c>
      <c r="I182" s="22" t="s">
        <v>6</v>
      </c>
      <c r="J182" s="17" t="str">
        <f>IF(AND(B182="BT", F182 &gt; 0.03 * SUMIF(B:B, "BT", F:F)), "ITA-C", IF(AND(B182="BT", E182 &gt; 0.03 * SUMIF(B:B, "BT", E:E)), "ITA-D", ""))</f>
        <v/>
      </c>
    </row>
    <row r="183" spans="1:10" x14ac:dyDescent="0.3">
      <c r="A183" s="18">
        <v>182</v>
      </c>
      <c r="B183" s="19" t="s">
        <v>41</v>
      </c>
      <c r="C183" s="20">
        <v>45720</v>
      </c>
      <c r="D183" s="20" t="s">
        <v>232</v>
      </c>
      <c r="E183" s="21"/>
      <c r="F183" s="21">
        <v>50000</v>
      </c>
      <c r="G183" s="21">
        <v>78012.789999999994</v>
      </c>
      <c r="H183" s="23" t="s">
        <v>8</v>
      </c>
      <c r="I183" s="22" t="s">
        <v>8</v>
      </c>
      <c r="J183" s="17" t="str">
        <f>IF(AND(B183="BT", F183 &gt; 0.03 * SUMIF(B:B, "BT", F:F)), "ITA-C", IF(AND(B183="BT", E183 &gt; 0.03 * SUMIF(B:B, "BT", E:E)), "ITA-D", ""))</f>
        <v/>
      </c>
    </row>
    <row r="184" spans="1:10" x14ac:dyDescent="0.3">
      <c r="A184" s="18">
        <v>183</v>
      </c>
      <c r="B184" s="19" t="s">
        <v>41</v>
      </c>
      <c r="C184" s="20">
        <v>45720</v>
      </c>
      <c r="D184" s="20" t="s">
        <v>52</v>
      </c>
      <c r="E184" s="21">
        <v>10000</v>
      </c>
      <c r="F184" s="21"/>
      <c r="G184" s="21">
        <v>68012.789999999994</v>
      </c>
      <c r="H184" s="23" t="s">
        <v>13</v>
      </c>
      <c r="I184" s="22" t="s">
        <v>13</v>
      </c>
      <c r="J184" s="177" t="str">
        <f>IF(AND(B184="BT", F184 &gt; 0.03 * SUMIF(B:B, "BT", F:F)), "ITA-C", IF(AND(B184="BT", E184 &gt; 0.03 * SUMIF(B:B, "BT", E:E)), "ITA-D", ""))</f>
        <v/>
      </c>
    </row>
    <row r="185" spans="1:10" x14ac:dyDescent="0.3">
      <c r="A185" s="133">
        <v>184</v>
      </c>
      <c r="B185" s="40" t="s">
        <v>47</v>
      </c>
      <c r="C185" s="41">
        <v>45721</v>
      </c>
      <c r="D185" s="41" t="s">
        <v>243</v>
      </c>
      <c r="E185" s="42">
        <v>37200</v>
      </c>
      <c r="F185" s="42"/>
      <c r="G185" s="42">
        <v>30812.79</v>
      </c>
      <c r="H185" s="44" t="s">
        <v>18</v>
      </c>
      <c r="I185" s="43" t="s">
        <v>18</v>
      </c>
      <c r="J185" s="17" t="str">
        <f>IF(AND(B185="BT", F185 &gt; 0.03 * SUMIF(B:B, "BT", F:F)), "ITA-C", IF(AND(B185="BT", E185 &gt; 0.03 * SUMIF(B:B, "BT", E:E)), "ITA-D", ""))</f>
        <v/>
      </c>
    </row>
    <row r="186" spans="1:10" x14ac:dyDescent="0.3">
      <c r="A186" s="153">
        <v>185</v>
      </c>
      <c r="B186" s="35" t="s">
        <v>48</v>
      </c>
      <c r="C186" s="36">
        <v>45721</v>
      </c>
      <c r="D186" s="36" t="s">
        <v>270</v>
      </c>
      <c r="E186" s="37"/>
      <c r="F186" s="37">
        <v>290000</v>
      </c>
      <c r="G186" s="37">
        <v>320812.78999999998</v>
      </c>
      <c r="H186" s="39" t="s">
        <v>5</v>
      </c>
      <c r="I186" s="38" t="s">
        <v>5</v>
      </c>
      <c r="J186" s="17" t="str">
        <f>IF(AND(B186="BT", F186 &gt; 0.03 * SUMIF(B:B, "BT", F:F)), "ITA-C", IF(AND(B186="BT", E186 &gt; 0.03 * SUMIF(B:B, "BT", E:E)), "ITA-D", ""))</f>
        <v/>
      </c>
    </row>
    <row r="187" spans="1:10" x14ac:dyDescent="0.3">
      <c r="A187" s="18">
        <v>186</v>
      </c>
      <c r="B187" s="19" t="s">
        <v>41</v>
      </c>
      <c r="C187" s="20">
        <v>45721</v>
      </c>
      <c r="D187" s="20" t="s">
        <v>237</v>
      </c>
      <c r="E187" s="21">
        <v>243960</v>
      </c>
      <c r="F187" s="21"/>
      <c r="G187" s="21">
        <v>76852.789999999994</v>
      </c>
      <c r="H187" s="23" t="s">
        <v>6</v>
      </c>
      <c r="I187" s="22" t="s">
        <v>6</v>
      </c>
      <c r="J187" s="17" t="str">
        <f>IF(AND(B187="BT", F187 &gt; 0.03 * SUMIF(B:B, "BT", F:F)), "ITA-C", IF(AND(B187="BT", E187 &gt; 0.03 * SUMIF(B:B, "BT", E:E)), "ITA-D", ""))</f>
        <v/>
      </c>
    </row>
    <row r="188" spans="1:10" x14ac:dyDescent="0.3">
      <c r="A188" s="153">
        <v>187</v>
      </c>
      <c r="B188" s="35" t="s">
        <v>48</v>
      </c>
      <c r="C188" s="36">
        <v>45722</v>
      </c>
      <c r="D188" s="36" t="s">
        <v>276</v>
      </c>
      <c r="E188" s="37">
        <v>50000</v>
      </c>
      <c r="F188" s="37"/>
      <c r="G188" s="37">
        <v>26852.79</v>
      </c>
      <c r="H188" s="39" t="s">
        <v>6</v>
      </c>
      <c r="I188" s="38" t="s">
        <v>6</v>
      </c>
      <c r="J188" s="17" t="str">
        <f>IF(AND(B188="BT", F188 &gt; 0.03 * SUMIF(B:B, "BT", F:F)), "ITA-C", IF(AND(B188="BT", E188 &gt; 0.03 * SUMIF(B:B, "BT", E:E)), "ITA-D", ""))</f>
        <v/>
      </c>
    </row>
    <row r="189" spans="1:10" x14ac:dyDescent="0.3">
      <c r="A189" s="153">
        <v>188</v>
      </c>
      <c r="B189" s="35" t="s">
        <v>48</v>
      </c>
      <c r="C189" s="36">
        <v>45722</v>
      </c>
      <c r="D189" s="36" t="s">
        <v>276</v>
      </c>
      <c r="E189" s="37">
        <v>25000</v>
      </c>
      <c r="F189" s="37"/>
      <c r="G189" s="37">
        <v>1852.79</v>
      </c>
      <c r="H189" s="39" t="s">
        <v>6</v>
      </c>
      <c r="I189" s="38" t="s">
        <v>6</v>
      </c>
      <c r="J189" s="17" t="str">
        <f>IF(AND(B189="BT", F189 &gt; 0.03 * SUMIF(B:B, "BT", F:F)), "ITA-C", IF(AND(B189="BT", E189 &gt; 0.03 * SUMIF(B:B, "BT", E:E)), "ITA-D", ""))</f>
        <v/>
      </c>
    </row>
    <row r="190" spans="1:10" x14ac:dyDescent="0.3">
      <c r="A190" s="153">
        <v>189</v>
      </c>
      <c r="B190" s="35" t="s">
        <v>48</v>
      </c>
      <c r="C190" s="36">
        <v>45722</v>
      </c>
      <c r="D190" s="36" t="s">
        <v>273</v>
      </c>
      <c r="E190" s="37"/>
      <c r="F190" s="37">
        <v>348604</v>
      </c>
      <c r="G190" s="37">
        <v>350456.79</v>
      </c>
      <c r="H190" s="39" t="s">
        <v>7</v>
      </c>
      <c r="I190" s="38" t="s">
        <v>7</v>
      </c>
      <c r="J190" s="17" t="str">
        <f>IF(AND(B190="BT", F190 &gt; 0.03 * SUMIF(B:B, "BT", F:F)), "ITA-C", IF(AND(B190="BT", E190 &gt; 0.03 * SUMIF(B:B, "BT", E:E)), "ITA-D", ""))</f>
        <v/>
      </c>
    </row>
    <row r="191" spans="1:10" x14ac:dyDescent="0.3">
      <c r="A191" s="18">
        <v>190</v>
      </c>
      <c r="B191" s="19" t="s">
        <v>41</v>
      </c>
      <c r="C191" s="20">
        <v>45722</v>
      </c>
      <c r="D191" s="20" t="s">
        <v>235</v>
      </c>
      <c r="E191" s="21">
        <v>21000</v>
      </c>
      <c r="F191" s="21"/>
      <c r="G191" s="21">
        <v>329456.78999999998</v>
      </c>
      <c r="H191" s="23" t="s">
        <v>13</v>
      </c>
      <c r="I191" s="22" t="s">
        <v>13</v>
      </c>
      <c r="J191" s="17" t="str">
        <f>IF(AND(B191="BT", F191 &gt; 0.03 * SUMIF(B:B, "BT", F:F)), "ITA-C", IF(AND(B191="BT", E191 &gt; 0.03 * SUMIF(B:B, "BT", E:E)), "ITA-D", ""))</f>
        <v/>
      </c>
    </row>
    <row r="192" spans="1:10" x14ac:dyDescent="0.3">
      <c r="A192" s="153">
        <v>191</v>
      </c>
      <c r="B192" s="35" t="s">
        <v>48</v>
      </c>
      <c r="C192" s="36">
        <v>45722</v>
      </c>
      <c r="D192" s="36" t="s">
        <v>276</v>
      </c>
      <c r="E192" s="37">
        <v>25000</v>
      </c>
      <c r="F192" s="37"/>
      <c r="G192" s="37">
        <v>304456.78999999998</v>
      </c>
      <c r="H192" s="39" t="s">
        <v>6</v>
      </c>
      <c r="I192" s="38" t="s">
        <v>6</v>
      </c>
      <c r="J192" s="17" t="str">
        <f>IF(AND(B192="BT", F192 &gt; 0.03 * SUMIF(B:B, "BT", F:F)), "ITA-C", IF(AND(B192="BT", E192 &gt; 0.03 * SUMIF(B:B, "BT", E:E)), "ITA-D", ""))</f>
        <v/>
      </c>
    </row>
    <row r="193" spans="1:10" x14ac:dyDescent="0.3">
      <c r="A193" s="18">
        <v>192</v>
      </c>
      <c r="B193" s="19" t="s">
        <v>41</v>
      </c>
      <c r="C193" s="20">
        <v>45722</v>
      </c>
      <c r="D193" s="20" t="s">
        <v>40</v>
      </c>
      <c r="E193" s="21"/>
      <c r="F193" s="21">
        <v>31000</v>
      </c>
      <c r="G193" s="21">
        <v>335456.78999999998</v>
      </c>
      <c r="H193" s="23" t="s">
        <v>30</v>
      </c>
      <c r="I193" s="22" t="s">
        <v>30</v>
      </c>
      <c r="J193" s="17" t="str">
        <f>IF(AND(B193="BT", F193 &gt; 0.03 * SUMIF(B:B, "BT", F:F)), "ITA-C", IF(AND(B193="BT", E193 &gt; 0.03 * SUMIF(B:B, "BT", E:E)), "ITA-D", ""))</f>
        <v/>
      </c>
    </row>
    <row r="194" spans="1:10" x14ac:dyDescent="0.3">
      <c r="A194" s="18">
        <v>193</v>
      </c>
      <c r="B194" s="19" t="s">
        <v>41</v>
      </c>
      <c r="C194" s="20">
        <v>45722</v>
      </c>
      <c r="D194" s="20" t="s">
        <v>40</v>
      </c>
      <c r="E194" s="21"/>
      <c r="F194" s="21">
        <v>18500</v>
      </c>
      <c r="G194" s="21">
        <v>353956.79</v>
      </c>
      <c r="H194" s="23" t="s">
        <v>30</v>
      </c>
      <c r="I194" s="22" t="s">
        <v>30</v>
      </c>
      <c r="J194" s="17" t="str">
        <f>IF(AND(B194="BT", F194 &gt; 0.03 * SUMIF(B:B, "BT", F:F)), "ITA-C", IF(AND(B194="BT", E194 &gt; 0.03 * SUMIF(B:B, "BT", E:E)), "ITA-D", ""))</f>
        <v/>
      </c>
    </row>
    <row r="195" spans="1:10" x14ac:dyDescent="0.3">
      <c r="A195" s="18">
        <v>194</v>
      </c>
      <c r="B195" s="19" t="s">
        <v>41</v>
      </c>
      <c r="C195" s="20">
        <v>45722</v>
      </c>
      <c r="D195" s="20" t="s">
        <v>40</v>
      </c>
      <c r="E195" s="21"/>
      <c r="F195" s="21">
        <v>46000</v>
      </c>
      <c r="G195" s="21">
        <v>399956.79</v>
      </c>
      <c r="H195" s="23" t="s">
        <v>30</v>
      </c>
      <c r="I195" s="22" t="s">
        <v>30</v>
      </c>
      <c r="J195" s="17" t="str">
        <f>IF(AND(B195="BT", F195 &gt; 0.03 * SUMIF(B:B, "BT", F:F)), "ITA-C", IF(AND(B195="BT", E195 &gt; 0.03 * SUMIF(B:B, "BT", E:E)), "ITA-D", ""))</f>
        <v/>
      </c>
    </row>
    <row r="196" spans="1:10" x14ac:dyDescent="0.3">
      <c r="A196" s="18">
        <v>195</v>
      </c>
      <c r="B196" s="19" t="s">
        <v>41</v>
      </c>
      <c r="C196" s="20">
        <v>45722</v>
      </c>
      <c r="D196" s="20" t="s">
        <v>40</v>
      </c>
      <c r="E196" s="21"/>
      <c r="F196" s="21">
        <v>49000</v>
      </c>
      <c r="G196" s="21">
        <v>448956.79</v>
      </c>
      <c r="H196" s="23" t="s">
        <v>30</v>
      </c>
      <c r="I196" s="22" t="s">
        <v>30</v>
      </c>
      <c r="J196" s="17" t="str">
        <f>IF(AND(B196="BT", F196 &gt; 0.03 * SUMIF(B:B, "BT", F:F)), "ITA-C", IF(AND(B196="BT", E196 &gt; 0.03 * SUMIF(B:B, "BT", E:E)), "ITA-D", ""))</f>
        <v/>
      </c>
    </row>
    <row r="197" spans="1:10" x14ac:dyDescent="0.3">
      <c r="A197" s="18">
        <v>196</v>
      </c>
      <c r="B197" s="19" t="s">
        <v>41</v>
      </c>
      <c r="C197" s="20">
        <v>45722</v>
      </c>
      <c r="D197" s="20" t="s">
        <v>40</v>
      </c>
      <c r="E197" s="21"/>
      <c r="F197" s="21">
        <v>50000</v>
      </c>
      <c r="G197" s="21">
        <v>498956.79</v>
      </c>
      <c r="H197" s="23" t="s">
        <v>30</v>
      </c>
      <c r="I197" s="22" t="s">
        <v>30</v>
      </c>
      <c r="J197" s="17" t="str">
        <f>IF(AND(B197="BT", F197 &gt; 0.03 * SUMIF(B:B, "BT", F:F)), "ITA-C", IF(AND(B197="BT", E197 &gt; 0.03 * SUMIF(B:B, "BT", E:E)), "ITA-D", ""))</f>
        <v/>
      </c>
    </row>
    <row r="198" spans="1:10" x14ac:dyDescent="0.3">
      <c r="A198" s="18">
        <v>197</v>
      </c>
      <c r="B198" s="19" t="s">
        <v>41</v>
      </c>
      <c r="C198" s="20">
        <v>45722</v>
      </c>
      <c r="D198" s="20" t="s">
        <v>40</v>
      </c>
      <c r="E198" s="21"/>
      <c r="F198" s="21">
        <v>95000</v>
      </c>
      <c r="G198" s="21">
        <v>593956.79</v>
      </c>
      <c r="H198" s="23" t="s">
        <v>30</v>
      </c>
      <c r="I198" s="22" t="s">
        <v>30</v>
      </c>
      <c r="J198" s="17" t="str">
        <f>IF(AND(B198="BT", F198 &gt; 0.03 * SUMIF(B:B, "BT", F:F)), "ITA-C", IF(AND(B198="BT", E198 &gt; 0.03 * SUMIF(B:B, "BT", E:E)), "ITA-D", ""))</f>
        <v/>
      </c>
    </row>
    <row r="199" spans="1:10" x14ac:dyDescent="0.3">
      <c r="A199" s="18">
        <v>198</v>
      </c>
      <c r="B199" s="120" t="s">
        <v>41</v>
      </c>
      <c r="C199" s="20">
        <v>45722</v>
      </c>
      <c r="D199" s="20" t="s">
        <v>187</v>
      </c>
      <c r="E199" s="21"/>
      <c r="F199" s="21">
        <v>149460</v>
      </c>
      <c r="G199" s="21">
        <v>743416.79</v>
      </c>
      <c r="H199" s="23" t="s">
        <v>10</v>
      </c>
      <c r="I199" s="22" t="s">
        <v>10</v>
      </c>
      <c r="J199" s="177" t="str">
        <f>IF(AND(B199="BT", F199 &gt; 0.03 * SUMIF(B:B, "BT", F:F)), "ITA-C", IF(AND(B199="BT", E199 &gt; 0.03 * SUMIF(B:B, "BT", E:E)), "ITA-D", ""))</f>
        <v/>
      </c>
    </row>
    <row r="200" spans="1:10" x14ac:dyDescent="0.3">
      <c r="A200" s="18">
        <v>199</v>
      </c>
      <c r="B200" s="19" t="s">
        <v>41</v>
      </c>
      <c r="C200" s="20">
        <v>45722</v>
      </c>
      <c r="D200" s="20" t="s">
        <v>191</v>
      </c>
      <c r="E200" s="21">
        <v>655424</v>
      </c>
      <c r="F200" s="21"/>
      <c r="G200" s="21">
        <v>87992.79</v>
      </c>
      <c r="H200" s="23" t="s">
        <v>9</v>
      </c>
      <c r="I200" s="22" t="s">
        <v>9</v>
      </c>
      <c r="J200" s="17" t="str">
        <f>IF(AND(B200="BT", F200 &gt; 0.03 * SUMIF(B:B, "BT", F:F)), "ITA-C", IF(AND(B200="BT", E200 &gt; 0.03 * SUMIF(B:B, "BT", E:E)), "ITA-D", ""))</f>
        <v/>
      </c>
    </row>
    <row r="201" spans="1:10" x14ac:dyDescent="0.3">
      <c r="A201" s="18">
        <v>200</v>
      </c>
      <c r="B201" s="19" t="s">
        <v>41</v>
      </c>
      <c r="C201" s="20">
        <v>45722</v>
      </c>
      <c r="D201" s="20" t="s">
        <v>232</v>
      </c>
      <c r="E201" s="21"/>
      <c r="F201" s="21">
        <v>50000</v>
      </c>
      <c r="G201" s="21">
        <v>137992.79</v>
      </c>
      <c r="H201" s="23" t="s">
        <v>8</v>
      </c>
      <c r="I201" s="22" t="s">
        <v>8</v>
      </c>
      <c r="J201" s="17" t="str">
        <f>IF(AND(B201="BT", F201 &gt; 0.03 * SUMIF(B:B, "BT", F:F)), "ITA-C", IF(AND(B201="BT", E201 &gt; 0.03 * SUMIF(B:B, "BT", E:E)), "ITA-D", ""))</f>
        <v/>
      </c>
    </row>
    <row r="202" spans="1:10" x14ac:dyDescent="0.3">
      <c r="A202" s="18">
        <v>201</v>
      </c>
      <c r="B202" s="19" t="s">
        <v>41</v>
      </c>
      <c r="C202" s="20">
        <v>45722</v>
      </c>
      <c r="D202" s="20" t="s">
        <v>203</v>
      </c>
      <c r="E202" s="21">
        <v>100000</v>
      </c>
      <c r="F202" s="21"/>
      <c r="G202" s="21">
        <v>37992.79</v>
      </c>
      <c r="H202" s="23" t="s">
        <v>13</v>
      </c>
      <c r="I202" s="22" t="s">
        <v>13</v>
      </c>
      <c r="J202" s="17" t="str">
        <f>IF(AND(B202="BT", F202 &gt; 0.03 * SUMIF(B:B, "BT", F:F)), "ITA-C", IF(AND(B202="BT", E202 &gt; 0.03 * SUMIF(B:B, "BT", E:E)), "ITA-D", ""))</f>
        <v/>
      </c>
    </row>
    <row r="203" spans="1:10" x14ac:dyDescent="0.3">
      <c r="A203" s="153">
        <v>202</v>
      </c>
      <c r="B203" s="154" t="s">
        <v>48</v>
      </c>
      <c r="C203" s="36">
        <v>45723</v>
      </c>
      <c r="D203" s="36" t="s">
        <v>272</v>
      </c>
      <c r="E203" s="37">
        <v>7000</v>
      </c>
      <c r="F203" s="37"/>
      <c r="G203" s="37">
        <v>30992.79</v>
      </c>
      <c r="H203" s="39" t="s">
        <v>25</v>
      </c>
      <c r="I203" s="38" t="s">
        <v>25</v>
      </c>
      <c r="J203" s="17" t="str">
        <f>IF(AND(B203="BT", F203 &gt; 0.03 * SUMIF(B:B, "BT", F:F)), "ITA-C", IF(AND(B203="BT", E203 &gt; 0.03 * SUMIF(B:B, "BT", E:E)), "ITA-D", ""))</f>
        <v/>
      </c>
    </row>
    <row r="204" spans="1:10" x14ac:dyDescent="0.3">
      <c r="A204" s="18">
        <v>203</v>
      </c>
      <c r="B204" s="19" t="s">
        <v>41</v>
      </c>
      <c r="C204" s="20">
        <v>45723</v>
      </c>
      <c r="D204" s="20" t="s">
        <v>40</v>
      </c>
      <c r="E204" s="21"/>
      <c r="F204" s="21">
        <v>10500</v>
      </c>
      <c r="G204" s="21">
        <v>41492.79</v>
      </c>
      <c r="H204" s="23" t="s">
        <v>30</v>
      </c>
      <c r="I204" s="22" t="s">
        <v>30</v>
      </c>
      <c r="J204" s="17" t="str">
        <f>IF(AND(B204="BT", F204 &gt; 0.03 * SUMIF(B:B, "BT", F:F)), "ITA-C", IF(AND(B204="BT", E204 &gt; 0.03 * SUMIF(B:B, "BT", E:E)), "ITA-D", ""))</f>
        <v/>
      </c>
    </row>
    <row r="205" spans="1:10" x14ac:dyDescent="0.3">
      <c r="A205" s="18">
        <v>204</v>
      </c>
      <c r="B205" s="19" t="s">
        <v>41</v>
      </c>
      <c r="C205" s="20">
        <v>45725</v>
      </c>
      <c r="D205" s="20" t="s">
        <v>193</v>
      </c>
      <c r="E205" s="21"/>
      <c r="F205" s="21">
        <v>447261</v>
      </c>
      <c r="G205" s="21">
        <v>488753.79</v>
      </c>
      <c r="H205" s="23" t="s">
        <v>7</v>
      </c>
      <c r="I205" s="22" t="s">
        <v>7</v>
      </c>
      <c r="J205" s="17" t="str">
        <f>IF(AND(B205="BT", F205 &gt; 0.03 * SUMIF(B:B, "BT", F:F)), "ITA-C", IF(AND(B205="BT", E205 &gt; 0.03 * SUMIF(B:B, "BT", E:E)), "ITA-D", ""))</f>
        <v/>
      </c>
    </row>
    <row r="206" spans="1:10" x14ac:dyDescent="0.3">
      <c r="A206" s="153">
        <v>205</v>
      </c>
      <c r="B206" s="35" t="s">
        <v>48</v>
      </c>
      <c r="C206" s="36">
        <v>45725</v>
      </c>
      <c r="D206" s="36" t="s">
        <v>270</v>
      </c>
      <c r="E206" s="37">
        <v>151200</v>
      </c>
      <c r="F206" s="37"/>
      <c r="G206" s="37">
        <v>337553.79</v>
      </c>
      <c r="H206" s="39" t="s">
        <v>13</v>
      </c>
      <c r="I206" s="38" t="s">
        <v>13</v>
      </c>
      <c r="J206" s="17" t="str">
        <f>IF(AND(B206="BT", F206 &gt; 0.03 * SUMIF(B:B, "BT", F:F)), "ITA-C", IF(AND(B206="BT", E206 &gt; 0.03 * SUMIF(B:B, "BT", E:E)), "ITA-D", ""))</f>
        <v/>
      </c>
    </row>
    <row r="207" spans="1:10" x14ac:dyDescent="0.3">
      <c r="A207" s="18">
        <v>206</v>
      </c>
      <c r="B207" s="19" t="s">
        <v>41</v>
      </c>
      <c r="C207" s="20">
        <v>45725</v>
      </c>
      <c r="D207" s="20" t="s">
        <v>216</v>
      </c>
      <c r="E207" s="21">
        <v>300000</v>
      </c>
      <c r="F207" s="21"/>
      <c r="G207" s="21">
        <v>37553.79</v>
      </c>
      <c r="H207" s="23" t="s">
        <v>9</v>
      </c>
      <c r="I207" s="22" t="s">
        <v>9</v>
      </c>
      <c r="J207" s="17" t="str">
        <f>IF(AND(B207="BT", F207 &gt; 0.03 * SUMIF(B:B, "BT", F:F)), "ITA-C", IF(AND(B207="BT", E207 &gt; 0.03 * SUMIF(B:B, "BT", E:E)), "ITA-D", ""))</f>
        <v/>
      </c>
    </row>
    <row r="208" spans="1:10" x14ac:dyDescent="0.3">
      <c r="A208" s="18">
        <v>207</v>
      </c>
      <c r="B208" s="24" t="s">
        <v>39</v>
      </c>
      <c r="C208" s="25">
        <v>45726</v>
      </c>
      <c r="D208" s="6" t="s">
        <v>258</v>
      </c>
      <c r="E208" s="26">
        <v>5.9</v>
      </c>
      <c r="F208" s="26"/>
      <c r="G208" s="26">
        <v>37547.89</v>
      </c>
      <c r="H208" s="28" t="s">
        <v>24</v>
      </c>
      <c r="I208" s="27" t="s">
        <v>24</v>
      </c>
      <c r="J208" s="177" t="str">
        <f>IF(AND(B208="BT", F208 &gt; 0.03 * SUMIF(B:B, "BT", F:F)), "ITA-C", IF(AND(B208="BT", E208 &gt; 0.03 * SUMIF(B:B, "BT", E:E)), "ITA-D", ""))</f>
        <v/>
      </c>
    </row>
    <row r="209" spans="1:10" x14ac:dyDescent="0.3">
      <c r="A209" s="18">
        <v>208</v>
      </c>
      <c r="B209" s="24" t="s">
        <v>39</v>
      </c>
      <c r="C209" s="25">
        <v>45726</v>
      </c>
      <c r="D209" s="6" t="s">
        <v>258</v>
      </c>
      <c r="E209" s="26">
        <v>5.9</v>
      </c>
      <c r="F209" s="26"/>
      <c r="G209" s="26">
        <v>37541.99</v>
      </c>
      <c r="H209" s="28" t="s">
        <v>24</v>
      </c>
      <c r="I209" s="27" t="s">
        <v>24</v>
      </c>
      <c r="J209" s="177" t="str">
        <f>IF(AND(B209="BT", F209 &gt; 0.03 * SUMIF(B:B, "BT", F:F)), "ITA-C", IF(AND(B209="BT", E209 &gt; 0.03 * SUMIF(B:B, "BT", E:E)), "ITA-D", ""))</f>
        <v/>
      </c>
    </row>
    <row r="210" spans="1:10" x14ac:dyDescent="0.3">
      <c r="A210" s="18">
        <v>209</v>
      </c>
      <c r="B210" s="24" t="s">
        <v>39</v>
      </c>
      <c r="C210" s="25">
        <v>45726</v>
      </c>
      <c r="D210" s="6" t="s">
        <v>258</v>
      </c>
      <c r="E210" s="26">
        <v>5.9</v>
      </c>
      <c r="F210" s="26"/>
      <c r="G210" s="26">
        <v>37536.089999999997</v>
      </c>
      <c r="H210" s="28" t="s">
        <v>24</v>
      </c>
      <c r="I210" s="27" t="s">
        <v>24</v>
      </c>
      <c r="J210" s="177" t="str">
        <f>IF(AND(B210="BT", F210 &gt; 0.03 * SUMIF(B:B, "BT", F:F)), "ITA-C", IF(AND(B210="BT", E210 &gt; 0.03 * SUMIF(B:B, "BT", E:E)), "ITA-D", ""))</f>
        <v/>
      </c>
    </row>
    <row r="211" spans="1:10" x14ac:dyDescent="0.3">
      <c r="A211" s="18">
        <v>210</v>
      </c>
      <c r="B211" s="24" t="s">
        <v>39</v>
      </c>
      <c r="C211" s="25">
        <v>45726</v>
      </c>
      <c r="D211" s="6" t="s">
        <v>258</v>
      </c>
      <c r="E211" s="26">
        <v>5.9</v>
      </c>
      <c r="F211" s="26"/>
      <c r="G211" s="26">
        <v>37530.19</v>
      </c>
      <c r="H211" s="28" t="s">
        <v>24</v>
      </c>
      <c r="I211" s="27" t="s">
        <v>24</v>
      </c>
      <c r="J211" s="177" t="str">
        <f>IF(AND(B211="BT", F211 &gt; 0.03 * SUMIF(B:B, "BT", F:F)), "ITA-C", IF(AND(B211="BT", E211 &gt; 0.03 * SUMIF(B:B, "BT", E:E)), "ITA-D", ""))</f>
        <v/>
      </c>
    </row>
    <row r="212" spans="1:10" x14ac:dyDescent="0.3">
      <c r="A212" s="18">
        <v>211</v>
      </c>
      <c r="B212" s="24" t="s">
        <v>39</v>
      </c>
      <c r="C212" s="25">
        <v>45726</v>
      </c>
      <c r="D212" s="6" t="s">
        <v>258</v>
      </c>
      <c r="E212" s="26">
        <v>5.9</v>
      </c>
      <c r="F212" s="26"/>
      <c r="G212" s="26">
        <v>37524.29</v>
      </c>
      <c r="H212" s="28" t="s">
        <v>24</v>
      </c>
      <c r="I212" s="27" t="s">
        <v>24</v>
      </c>
      <c r="J212" s="17" t="str">
        <f>IF(AND(B212="BT", F212 &gt; 0.03 * SUMIF(B:B, "BT", F:F)), "ITA-C", IF(AND(B212="BT", E212 &gt; 0.03 * SUMIF(B:B, "BT", E:E)), "ITA-D", ""))</f>
        <v/>
      </c>
    </row>
    <row r="213" spans="1:10" x14ac:dyDescent="0.3">
      <c r="A213" s="18">
        <v>212</v>
      </c>
      <c r="B213" s="19" t="s">
        <v>41</v>
      </c>
      <c r="C213" s="20">
        <v>45726</v>
      </c>
      <c r="D213" s="20" t="s">
        <v>227</v>
      </c>
      <c r="E213" s="21"/>
      <c r="F213" s="21">
        <v>75000</v>
      </c>
      <c r="G213" s="21">
        <v>112524.29</v>
      </c>
      <c r="H213" s="23" t="s">
        <v>5</v>
      </c>
      <c r="I213" s="22" t="s">
        <v>5</v>
      </c>
      <c r="J213" s="17" t="str">
        <f>IF(AND(B213="BT", F213 &gt; 0.03 * SUMIF(B:B, "BT", F:F)), "ITA-C", IF(AND(B213="BT", E213 &gt; 0.03 * SUMIF(B:B, "BT", E:E)), "ITA-D", ""))</f>
        <v/>
      </c>
    </row>
    <row r="214" spans="1:10" x14ac:dyDescent="0.3">
      <c r="A214" s="18">
        <v>213</v>
      </c>
      <c r="B214" s="19" t="s">
        <v>41</v>
      </c>
      <c r="C214" s="20">
        <v>45726</v>
      </c>
      <c r="D214" s="20" t="s">
        <v>232</v>
      </c>
      <c r="E214" s="21"/>
      <c r="F214" s="21">
        <v>55000</v>
      </c>
      <c r="G214" s="21">
        <v>167524.29</v>
      </c>
      <c r="H214" s="23" t="s">
        <v>8</v>
      </c>
      <c r="I214" s="22" t="s">
        <v>8</v>
      </c>
      <c r="J214" s="17" t="str">
        <f>IF(AND(B214="BT", F214 &gt; 0.03 * SUMIF(B:B, "BT", F:F)), "ITA-C", IF(AND(B214="BT", E214 &gt; 0.03 * SUMIF(B:B, "BT", E:E)), "ITA-D", ""))</f>
        <v/>
      </c>
    </row>
    <row r="215" spans="1:10" x14ac:dyDescent="0.3">
      <c r="A215" s="153">
        <v>214</v>
      </c>
      <c r="B215" s="154" t="s">
        <v>48</v>
      </c>
      <c r="C215" s="36">
        <v>45727</v>
      </c>
      <c r="D215" s="36" t="s">
        <v>275</v>
      </c>
      <c r="E215" s="37"/>
      <c r="F215" s="37">
        <v>331800</v>
      </c>
      <c r="G215" s="37">
        <v>499324.29</v>
      </c>
      <c r="H215" s="39" t="s">
        <v>7</v>
      </c>
      <c r="I215" s="38" t="s">
        <v>7</v>
      </c>
      <c r="J215" s="17" t="str">
        <f>IF(AND(B215="BT", F215 &gt; 0.03 * SUMIF(B:B, "BT", F:F)), "ITA-C", IF(AND(B215="BT", E215 &gt; 0.03 * SUMIF(B:B, "BT", E:E)), "ITA-D", ""))</f>
        <v/>
      </c>
    </row>
    <row r="216" spans="1:10" x14ac:dyDescent="0.3">
      <c r="A216" s="18">
        <v>215</v>
      </c>
      <c r="B216" s="19" t="s">
        <v>41</v>
      </c>
      <c r="C216" s="20">
        <v>45727</v>
      </c>
      <c r="D216" s="20" t="s">
        <v>225</v>
      </c>
      <c r="E216" s="21">
        <v>30000</v>
      </c>
      <c r="F216" s="21"/>
      <c r="G216" s="21">
        <v>469324.29</v>
      </c>
      <c r="H216" s="23" t="s">
        <v>13</v>
      </c>
      <c r="I216" s="22" t="s">
        <v>13</v>
      </c>
      <c r="J216" s="17" t="str">
        <f>IF(AND(B216="BT", F216 &gt; 0.03 * SUMIF(B:B, "BT", F:F)), "ITA-C", IF(AND(B216="BT", E216 &gt; 0.03 * SUMIF(B:B, "BT", E:E)), "ITA-D", ""))</f>
        <v/>
      </c>
    </row>
    <row r="217" spans="1:10" x14ac:dyDescent="0.3">
      <c r="A217" s="153">
        <v>216</v>
      </c>
      <c r="B217" s="35" t="s">
        <v>48</v>
      </c>
      <c r="C217" s="36">
        <v>45727</v>
      </c>
      <c r="D217" s="36" t="s">
        <v>271</v>
      </c>
      <c r="E217" s="37"/>
      <c r="F217" s="37">
        <v>285000</v>
      </c>
      <c r="G217" s="37">
        <v>754324.29</v>
      </c>
      <c r="H217" s="39" t="s">
        <v>21</v>
      </c>
      <c r="I217" s="38" t="s">
        <v>7</v>
      </c>
      <c r="J217" s="17" t="str">
        <f>IF(AND(B217="BT", F217 &gt; 0.03 * SUMIF(B:B, "BT", F:F)), "ITA-C", IF(AND(B217="BT", E217 &gt; 0.03 * SUMIF(B:B, "BT", E:E)), "ITA-D", ""))</f>
        <v/>
      </c>
    </row>
    <row r="218" spans="1:10" x14ac:dyDescent="0.3">
      <c r="A218" s="18">
        <v>217</v>
      </c>
      <c r="B218" s="19" t="s">
        <v>41</v>
      </c>
      <c r="C218" s="20">
        <v>45727</v>
      </c>
      <c r="D218" s="20" t="s">
        <v>223</v>
      </c>
      <c r="E218" s="21">
        <v>300000</v>
      </c>
      <c r="F218" s="21"/>
      <c r="G218" s="21">
        <v>454324.29</v>
      </c>
      <c r="H218" s="23" t="s">
        <v>6</v>
      </c>
      <c r="I218" s="22" t="s">
        <v>6</v>
      </c>
      <c r="J218" s="17" t="str">
        <f>IF(AND(B218="BT", F218 &gt; 0.03 * SUMIF(B:B, "BT", F:F)), "ITA-C", IF(AND(B218="BT", E218 &gt; 0.03 * SUMIF(B:B, "BT", E:E)), "ITA-D", ""))</f>
        <v/>
      </c>
    </row>
    <row r="219" spans="1:10" x14ac:dyDescent="0.3">
      <c r="A219" s="18">
        <v>218</v>
      </c>
      <c r="B219" s="19" t="s">
        <v>41</v>
      </c>
      <c r="C219" s="20">
        <v>45727</v>
      </c>
      <c r="D219" s="20" t="s">
        <v>238</v>
      </c>
      <c r="E219" s="21">
        <v>361840</v>
      </c>
      <c r="F219" s="21"/>
      <c r="G219" s="21">
        <v>92484.29</v>
      </c>
      <c r="H219" s="23" t="s">
        <v>9</v>
      </c>
      <c r="I219" s="22" t="s">
        <v>9</v>
      </c>
      <c r="J219" s="17" t="str">
        <f>IF(AND(B219="BT", F219 &gt; 0.03 * SUMIF(B:B, "BT", F:F)), "ITA-C", IF(AND(B219="BT", E219 &gt; 0.03 * SUMIF(B:B, "BT", E:E)), "ITA-D", ""))</f>
        <v/>
      </c>
    </row>
    <row r="220" spans="1:10" x14ac:dyDescent="0.3">
      <c r="A220" s="18">
        <v>219</v>
      </c>
      <c r="B220" s="19" t="s">
        <v>41</v>
      </c>
      <c r="C220" s="20">
        <v>45728</v>
      </c>
      <c r="D220" s="20" t="s">
        <v>52</v>
      </c>
      <c r="E220" s="21">
        <v>6780</v>
      </c>
      <c r="F220" s="21"/>
      <c r="G220" s="21">
        <v>85704.29</v>
      </c>
      <c r="H220" s="23" t="s">
        <v>13</v>
      </c>
      <c r="I220" s="22" t="s">
        <v>13</v>
      </c>
      <c r="J220" s="177" t="str">
        <f>IF(AND(B220="BT", F220 &gt; 0.03 * SUMIF(B:B, "BT", F:F)), "ITA-C", IF(AND(B220="BT", E220 &gt; 0.03 * SUMIF(B:B, "BT", E:E)), "ITA-D", ""))</f>
        <v/>
      </c>
    </row>
    <row r="221" spans="1:10" x14ac:dyDescent="0.3">
      <c r="A221" s="18">
        <v>220</v>
      </c>
      <c r="B221" s="19" t="s">
        <v>41</v>
      </c>
      <c r="C221" s="20">
        <v>45728</v>
      </c>
      <c r="D221" s="20" t="s">
        <v>232</v>
      </c>
      <c r="E221" s="21"/>
      <c r="F221" s="21">
        <v>60000</v>
      </c>
      <c r="G221" s="21">
        <v>145704.29</v>
      </c>
      <c r="H221" s="23" t="s">
        <v>8</v>
      </c>
      <c r="I221" s="22" t="s">
        <v>8</v>
      </c>
      <c r="J221" s="17" t="str">
        <f>IF(AND(B221="BT", F221 &gt; 0.03 * SUMIF(B:B, "BT", F:F)), "ITA-C", IF(AND(B221="BT", E221 &gt; 0.03 * SUMIF(B:B, "BT", E:E)), "ITA-D", ""))</f>
        <v/>
      </c>
    </row>
    <row r="222" spans="1:10" x14ac:dyDescent="0.3">
      <c r="A222" s="18">
        <v>221</v>
      </c>
      <c r="B222" s="19" t="s">
        <v>41</v>
      </c>
      <c r="C222" s="20">
        <v>45729</v>
      </c>
      <c r="D222" s="20" t="s">
        <v>217</v>
      </c>
      <c r="E222" s="21">
        <v>2600</v>
      </c>
      <c r="F222" s="21"/>
      <c r="G222" s="21">
        <v>143104.29</v>
      </c>
      <c r="H222" s="23" t="s">
        <v>13</v>
      </c>
      <c r="I222" s="22" t="s">
        <v>13</v>
      </c>
      <c r="J222" s="17" t="str">
        <f>IF(AND(B222="BT", F222 &gt; 0.03 * SUMIF(B:B, "BT", F:F)), "ITA-C", IF(AND(B222="BT", E222 &gt; 0.03 * SUMIF(B:B, "BT", E:E)), "ITA-D", ""))</f>
        <v/>
      </c>
    </row>
    <row r="223" spans="1:10" x14ac:dyDescent="0.3">
      <c r="A223" s="153">
        <v>222</v>
      </c>
      <c r="B223" s="154" t="s">
        <v>48</v>
      </c>
      <c r="C223" s="36">
        <v>45729</v>
      </c>
      <c r="D223" s="36" t="s">
        <v>272</v>
      </c>
      <c r="E223" s="37">
        <v>10000</v>
      </c>
      <c r="F223" s="37"/>
      <c r="G223" s="37">
        <v>133104.29</v>
      </c>
      <c r="H223" s="39" t="s">
        <v>25</v>
      </c>
      <c r="I223" s="38" t="s">
        <v>25</v>
      </c>
      <c r="J223" s="17" t="str">
        <f>IF(AND(B223="BT", F223 &gt; 0.03 * SUMIF(B:B, "BT", F:F)), "ITA-C", IF(AND(B223="BT", E223 &gt; 0.03 * SUMIF(B:B, "BT", E:E)), "ITA-D", ""))</f>
        <v/>
      </c>
    </row>
    <row r="224" spans="1:10" x14ac:dyDescent="0.3">
      <c r="A224" s="153">
        <v>223</v>
      </c>
      <c r="B224" s="154" t="s">
        <v>48</v>
      </c>
      <c r="C224" s="36">
        <v>45729</v>
      </c>
      <c r="D224" s="36" t="s">
        <v>272</v>
      </c>
      <c r="E224" s="37">
        <v>25000</v>
      </c>
      <c r="F224" s="37"/>
      <c r="G224" s="37">
        <v>108104.29</v>
      </c>
      <c r="H224" s="39" t="s">
        <v>25</v>
      </c>
      <c r="I224" s="38" t="s">
        <v>25</v>
      </c>
      <c r="J224" s="17" t="str">
        <f>IF(AND(B224="BT", F224 &gt; 0.03 * SUMIF(B:B, "BT", F:F)), "ITA-C", IF(AND(B224="BT", E224 &gt; 0.03 * SUMIF(B:B, "BT", E:E)), "ITA-D", ""))</f>
        <v/>
      </c>
    </row>
    <row r="225" spans="1:10" x14ac:dyDescent="0.3">
      <c r="A225" s="153">
        <v>224</v>
      </c>
      <c r="B225" s="35" t="s">
        <v>48</v>
      </c>
      <c r="C225" s="36">
        <v>45729</v>
      </c>
      <c r="D225" s="36" t="s">
        <v>270</v>
      </c>
      <c r="E225" s="37"/>
      <c r="F225" s="37">
        <v>302500</v>
      </c>
      <c r="G225" s="37">
        <v>410604.29</v>
      </c>
      <c r="H225" s="39" t="s">
        <v>10</v>
      </c>
      <c r="I225" s="38" t="s">
        <v>10</v>
      </c>
      <c r="J225" s="17" t="str">
        <f>IF(AND(B225="BT", F225 &gt; 0.03 * SUMIF(B:B, "BT", F:F)), "ITA-C", IF(AND(B225="BT", E225 &gt; 0.03 * SUMIF(B:B, "BT", E:E)), "ITA-D", ""))</f>
        <v/>
      </c>
    </row>
    <row r="226" spans="1:10" x14ac:dyDescent="0.3">
      <c r="A226" s="153">
        <v>225</v>
      </c>
      <c r="B226" s="35" t="s">
        <v>48</v>
      </c>
      <c r="C226" s="36">
        <v>45729</v>
      </c>
      <c r="D226" s="36" t="s">
        <v>271</v>
      </c>
      <c r="E226" s="37"/>
      <c r="F226" s="37">
        <v>85000</v>
      </c>
      <c r="G226" s="37">
        <v>495604.29</v>
      </c>
      <c r="H226" s="39" t="s">
        <v>21</v>
      </c>
      <c r="I226" s="38" t="s">
        <v>5</v>
      </c>
      <c r="J226" s="17" t="str">
        <f>IF(AND(B226="BT", F226 &gt; 0.03 * SUMIF(B:B, "BT", F:F)), "ITA-C", IF(AND(B226="BT", E226 &gt; 0.03 * SUMIF(B:B, "BT", E:E)), "ITA-D", ""))</f>
        <v/>
      </c>
    </row>
    <row r="227" spans="1:10" x14ac:dyDescent="0.3">
      <c r="A227" s="18">
        <v>226</v>
      </c>
      <c r="B227" s="19" t="s">
        <v>41</v>
      </c>
      <c r="C227" s="20">
        <v>45729</v>
      </c>
      <c r="D227" s="20" t="s">
        <v>221</v>
      </c>
      <c r="E227" s="21"/>
      <c r="F227" s="21">
        <v>100000</v>
      </c>
      <c r="G227" s="21">
        <v>595604.29</v>
      </c>
      <c r="H227" s="23" t="s">
        <v>5</v>
      </c>
      <c r="I227" s="22" t="s">
        <v>5</v>
      </c>
      <c r="J227" s="17" t="str">
        <f>IF(AND(B227="BT", F227 &gt; 0.03 * SUMIF(B:B, "BT", F:F)), "ITA-C", IF(AND(B227="BT", E227 &gt; 0.03 * SUMIF(B:B, "BT", E:E)), "ITA-D", ""))</f>
        <v/>
      </c>
    </row>
    <row r="228" spans="1:10" x14ac:dyDescent="0.3">
      <c r="A228" s="18">
        <v>227</v>
      </c>
      <c r="B228" s="19" t="s">
        <v>41</v>
      </c>
      <c r="C228" s="20">
        <v>45729</v>
      </c>
      <c r="D228" s="20" t="s">
        <v>191</v>
      </c>
      <c r="E228" s="21">
        <v>580000</v>
      </c>
      <c r="F228" s="21"/>
      <c r="G228" s="21">
        <v>15604.29</v>
      </c>
      <c r="H228" s="23" t="s">
        <v>13</v>
      </c>
      <c r="I228" s="22" t="s">
        <v>13</v>
      </c>
      <c r="J228" s="17" t="str">
        <f>IF(AND(B228="BT", F228 &gt; 0.03 * SUMIF(B:B, "BT", F:F)), "ITA-C", IF(AND(B228="BT", E228 &gt; 0.03 * SUMIF(B:B, "BT", E:E)), "ITA-D", ""))</f>
        <v/>
      </c>
    </row>
    <row r="229" spans="1:10" x14ac:dyDescent="0.3">
      <c r="A229" s="133">
        <v>228</v>
      </c>
      <c r="B229" s="45" t="s">
        <v>47</v>
      </c>
      <c r="C229" s="46">
        <v>45731</v>
      </c>
      <c r="D229" s="41" t="s">
        <v>245</v>
      </c>
      <c r="E229" s="47">
        <v>25420</v>
      </c>
      <c r="F229" s="47"/>
      <c r="G229" s="47">
        <v>-9815.7099999999991</v>
      </c>
      <c r="H229" s="49" t="s">
        <v>34</v>
      </c>
      <c r="I229" s="48" t="s">
        <v>22</v>
      </c>
      <c r="J229" s="17" t="str">
        <f>IF(AND(B229="BT", F229 &gt; 0.03 * SUMIF(B:B, "BT", F:F)), "ITA-C", IF(AND(B229="BT", E229 &gt; 0.03 * SUMIF(B:B, "BT", E:E)), "ITA-D", ""))</f>
        <v/>
      </c>
    </row>
    <row r="230" spans="1:10" x14ac:dyDescent="0.3">
      <c r="A230" s="133">
        <v>229</v>
      </c>
      <c r="B230" s="45" t="s">
        <v>47</v>
      </c>
      <c r="C230" s="46">
        <v>45731</v>
      </c>
      <c r="D230" s="41" t="s">
        <v>245</v>
      </c>
      <c r="E230" s="47"/>
      <c r="F230" s="47">
        <v>25420</v>
      </c>
      <c r="G230" s="47">
        <v>15604.29</v>
      </c>
      <c r="H230" s="49" t="s">
        <v>34</v>
      </c>
      <c r="I230" s="48" t="s">
        <v>22</v>
      </c>
      <c r="J230" s="17" t="str">
        <f>IF(AND(B230="BT", F230 &gt; 0.03 * SUMIF(B:B, "BT", F:F)), "ITA-C", IF(AND(B230="BT", E230 &gt; 0.03 * SUMIF(B:B, "BT", E:E)), "ITA-D", ""))</f>
        <v/>
      </c>
    </row>
    <row r="231" spans="1:10" x14ac:dyDescent="0.3">
      <c r="A231" s="18">
        <v>230</v>
      </c>
      <c r="B231" s="19" t="s">
        <v>41</v>
      </c>
      <c r="C231" s="20">
        <v>45731</v>
      </c>
      <c r="D231" s="20" t="s">
        <v>193</v>
      </c>
      <c r="E231" s="21"/>
      <c r="F231" s="21">
        <v>500000</v>
      </c>
      <c r="G231" s="21">
        <v>515604.29</v>
      </c>
      <c r="H231" s="23" t="s">
        <v>7</v>
      </c>
      <c r="I231" s="22" t="s">
        <v>7</v>
      </c>
      <c r="J231" s="17" t="str">
        <f>IF(AND(B231="BT", F231 &gt; 0.03 * SUMIF(B:B, "BT", F:F)), "ITA-C", IF(AND(B231="BT", E231 &gt; 0.03 * SUMIF(B:B, "BT", E:E)), "ITA-D", ""))</f>
        <v/>
      </c>
    </row>
    <row r="232" spans="1:10" x14ac:dyDescent="0.3">
      <c r="A232" s="18">
        <v>231</v>
      </c>
      <c r="B232" s="19" t="s">
        <v>41</v>
      </c>
      <c r="C232" s="20">
        <v>45731</v>
      </c>
      <c r="D232" s="20" t="s">
        <v>191</v>
      </c>
      <c r="E232" s="21">
        <v>75424</v>
      </c>
      <c r="F232" s="21"/>
      <c r="G232" s="21">
        <v>440180.29</v>
      </c>
      <c r="H232" s="23" t="s">
        <v>13</v>
      </c>
      <c r="I232" s="22" t="s">
        <v>13</v>
      </c>
      <c r="J232" s="17" t="str">
        <f>IF(AND(B232="BT", F232 &gt; 0.03 * SUMIF(B:B, "BT", F:F)), "ITA-C", IF(AND(B232="BT", E232 &gt; 0.03 * SUMIF(B:B, "BT", E:E)), "ITA-D", ""))</f>
        <v/>
      </c>
    </row>
    <row r="233" spans="1:10" x14ac:dyDescent="0.3">
      <c r="A233" s="18">
        <v>232</v>
      </c>
      <c r="B233" s="19" t="s">
        <v>41</v>
      </c>
      <c r="C233" s="20">
        <v>45731</v>
      </c>
      <c r="D233" s="20" t="s">
        <v>226</v>
      </c>
      <c r="E233" s="21">
        <v>269300</v>
      </c>
      <c r="F233" s="21"/>
      <c r="G233" s="21">
        <v>170880.29</v>
      </c>
      <c r="H233" s="23" t="s">
        <v>13</v>
      </c>
      <c r="I233" s="22" t="s">
        <v>13</v>
      </c>
      <c r="J233" s="17" t="str">
        <f>IF(AND(B233="BT", F233 &gt; 0.03 * SUMIF(B:B, "BT", F:F)), "ITA-C", IF(AND(B233="BT", E233 &gt; 0.03 * SUMIF(B:B, "BT", E:E)), "ITA-D", ""))</f>
        <v/>
      </c>
    </row>
    <row r="234" spans="1:10" x14ac:dyDescent="0.3">
      <c r="A234" s="133">
        <v>233</v>
      </c>
      <c r="B234" s="40" t="s">
        <v>47</v>
      </c>
      <c r="C234" s="41">
        <v>45731</v>
      </c>
      <c r="D234" s="41" t="s">
        <v>49</v>
      </c>
      <c r="E234" s="42">
        <v>26000</v>
      </c>
      <c r="F234" s="42"/>
      <c r="G234" s="42">
        <v>144880.29</v>
      </c>
      <c r="H234" s="44" t="s">
        <v>32</v>
      </c>
      <c r="I234" s="43" t="s">
        <v>32</v>
      </c>
      <c r="J234" s="17" t="str">
        <f>IF(AND(B234="BT", F234 &gt; 0.03 * SUMIF(B:B, "BT", F:F)), "ITA-C", IF(AND(B234="BT", E234 &gt; 0.03 * SUMIF(B:B, "BT", E:E)), "ITA-D", ""))</f>
        <v/>
      </c>
    </row>
    <row r="235" spans="1:10" x14ac:dyDescent="0.3">
      <c r="A235" s="133">
        <v>234</v>
      </c>
      <c r="B235" s="40" t="s">
        <v>47</v>
      </c>
      <c r="C235" s="41">
        <v>45731</v>
      </c>
      <c r="D235" s="41" t="s">
        <v>49</v>
      </c>
      <c r="E235" s="42">
        <v>25000</v>
      </c>
      <c r="F235" s="42"/>
      <c r="G235" s="42">
        <v>119880.29</v>
      </c>
      <c r="H235" s="44" t="s">
        <v>32</v>
      </c>
      <c r="I235" s="43" t="s">
        <v>32</v>
      </c>
      <c r="J235" s="17" t="str">
        <f>IF(AND(B235="BT", F235 &gt; 0.03 * SUMIF(B:B, "BT", F:F)), "ITA-C", IF(AND(B235="BT", E235 &gt; 0.03 * SUMIF(B:B, "BT", E:E)), "ITA-D", ""))</f>
        <v/>
      </c>
    </row>
    <row r="236" spans="1:10" x14ac:dyDescent="0.3">
      <c r="A236" s="153">
        <v>235</v>
      </c>
      <c r="B236" s="35" t="s">
        <v>48</v>
      </c>
      <c r="C236" s="36">
        <v>45731</v>
      </c>
      <c r="D236" s="36" t="s">
        <v>271</v>
      </c>
      <c r="E236" s="37"/>
      <c r="F236" s="37">
        <v>25000</v>
      </c>
      <c r="G236" s="37">
        <v>144880.29</v>
      </c>
      <c r="H236" s="39" t="s">
        <v>21</v>
      </c>
      <c r="I236" s="38" t="s">
        <v>5</v>
      </c>
      <c r="J236" s="17" t="str">
        <f>IF(AND(B236="BT", F236 &gt; 0.03 * SUMIF(B:B, "BT", F:F)), "ITA-C", IF(AND(B236="BT", E236 &gt; 0.03 * SUMIF(B:B, "BT", E:E)), "ITA-D", ""))</f>
        <v/>
      </c>
    </row>
    <row r="237" spans="1:10" x14ac:dyDescent="0.3">
      <c r="A237" s="18">
        <v>236</v>
      </c>
      <c r="B237" s="19" t="s">
        <v>41</v>
      </c>
      <c r="C237" s="20">
        <v>45731</v>
      </c>
      <c r="D237" s="20" t="s">
        <v>227</v>
      </c>
      <c r="E237" s="21"/>
      <c r="F237" s="21">
        <v>163501</v>
      </c>
      <c r="G237" s="21">
        <v>308381.28999999998</v>
      </c>
      <c r="H237" s="23" t="s">
        <v>5</v>
      </c>
      <c r="I237" s="22" t="s">
        <v>5</v>
      </c>
      <c r="J237" s="17" t="str">
        <f>IF(AND(B237="BT", F237 &gt; 0.03 * SUMIF(B:B, "BT", F:F)), "ITA-C", IF(AND(B237="BT", E237 &gt; 0.03 * SUMIF(B:B, "BT", E:E)), "ITA-D", ""))</f>
        <v/>
      </c>
    </row>
    <row r="238" spans="1:10" x14ac:dyDescent="0.3">
      <c r="A238" s="153">
        <v>237</v>
      </c>
      <c r="B238" s="35" t="s">
        <v>48</v>
      </c>
      <c r="C238" s="36">
        <v>45731</v>
      </c>
      <c r="D238" s="36" t="s">
        <v>271</v>
      </c>
      <c r="E238" s="37"/>
      <c r="F238" s="37">
        <v>26000</v>
      </c>
      <c r="G238" s="37">
        <v>334381.28999999998</v>
      </c>
      <c r="H238" s="39" t="s">
        <v>10</v>
      </c>
      <c r="I238" s="38" t="s">
        <v>10</v>
      </c>
      <c r="J238" s="17" t="str">
        <f>IF(AND(B238="BT", F238 &gt; 0.03 * SUMIF(B:B, "BT", F:F)), "ITA-C", IF(AND(B238="BT", E238 &gt; 0.03 * SUMIF(B:B, "BT", E:E)), "ITA-D", ""))</f>
        <v/>
      </c>
    </row>
    <row r="239" spans="1:10" x14ac:dyDescent="0.3">
      <c r="A239" s="133">
        <v>238</v>
      </c>
      <c r="B239" s="40" t="s">
        <v>47</v>
      </c>
      <c r="C239" s="41">
        <v>45731</v>
      </c>
      <c r="D239" s="41" t="s">
        <v>49</v>
      </c>
      <c r="E239" s="42">
        <v>26000</v>
      </c>
      <c r="F239" s="42"/>
      <c r="G239" s="42">
        <v>308381.28999999998</v>
      </c>
      <c r="H239" s="44" t="s">
        <v>32</v>
      </c>
      <c r="I239" s="43" t="s">
        <v>32</v>
      </c>
      <c r="J239" s="17" t="str">
        <f>IF(AND(B239="BT", F239 &gt; 0.03 * SUMIF(B:B, "BT", F:F)), "ITA-C", IF(AND(B239="BT", E239 &gt; 0.03 * SUMIF(B:B, "BT", E:E)), "ITA-D", ""))</f>
        <v/>
      </c>
    </row>
    <row r="240" spans="1:10" x14ac:dyDescent="0.3">
      <c r="A240" s="18">
        <v>239</v>
      </c>
      <c r="B240" s="19" t="s">
        <v>41</v>
      </c>
      <c r="C240" s="20">
        <v>45731</v>
      </c>
      <c r="D240" s="20" t="s">
        <v>225</v>
      </c>
      <c r="E240" s="21"/>
      <c r="F240" s="21">
        <v>88007</v>
      </c>
      <c r="G240" s="21">
        <v>396388.29</v>
      </c>
      <c r="H240" s="23" t="s">
        <v>10</v>
      </c>
      <c r="I240" s="22" t="s">
        <v>10</v>
      </c>
      <c r="J240" s="17" t="str">
        <f>IF(AND(B240="BT", F240 &gt; 0.03 * SUMIF(B:B, "BT", F:F)), "ITA-C", IF(AND(B240="BT", E240 &gt; 0.03 * SUMIF(B:B, "BT", E:E)), "ITA-D", ""))</f>
        <v/>
      </c>
    </row>
    <row r="241" spans="1:10" x14ac:dyDescent="0.3">
      <c r="A241" s="146">
        <v>240</v>
      </c>
      <c r="B241" s="29" t="s">
        <v>42</v>
      </c>
      <c r="C241" s="30">
        <v>45731</v>
      </c>
      <c r="D241" s="30" t="s">
        <v>54</v>
      </c>
      <c r="E241" s="31">
        <v>15000</v>
      </c>
      <c r="F241" s="31"/>
      <c r="G241" s="31">
        <v>381388.29</v>
      </c>
      <c r="H241" s="33" t="s">
        <v>33</v>
      </c>
      <c r="I241" s="32" t="s">
        <v>33</v>
      </c>
      <c r="J241" s="177" t="str">
        <f>IF(AND(B241="BT", F241 &gt; 0.03 * SUMIF(B:B, "BT", F:F)), "ITA-C", IF(AND(B241="BT", E241 &gt; 0.03 * SUMIF(B:B, "BT", E:E)), "ITA-D", ""))</f>
        <v/>
      </c>
    </row>
    <row r="242" spans="1:10" x14ac:dyDescent="0.3">
      <c r="A242" s="18">
        <v>241</v>
      </c>
      <c r="B242" s="19" t="s">
        <v>41</v>
      </c>
      <c r="C242" s="20">
        <v>45731</v>
      </c>
      <c r="D242" s="20" t="s">
        <v>235</v>
      </c>
      <c r="E242" s="21">
        <v>50000</v>
      </c>
      <c r="F242" s="21"/>
      <c r="G242" s="21">
        <v>331388.28999999998</v>
      </c>
      <c r="H242" s="23" t="s">
        <v>13</v>
      </c>
      <c r="I242" s="22" t="s">
        <v>13</v>
      </c>
      <c r="J242" s="17" t="str">
        <f>IF(AND(B242="BT", F242 &gt; 0.03 * SUMIF(B:B, "BT", F:F)), "ITA-C", IF(AND(B242="BT", E242 &gt; 0.03 * SUMIF(B:B, "BT", E:E)), "ITA-D", ""))</f>
        <v/>
      </c>
    </row>
    <row r="243" spans="1:10" x14ac:dyDescent="0.3">
      <c r="A243" s="18">
        <v>242</v>
      </c>
      <c r="B243" s="19" t="s">
        <v>41</v>
      </c>
      <c r="C243" s="20">
        <v>45731</v>
      </c>
      <c r="D243" s="20" t="s">
        <v>232</v>
      </c>
      <c r="E243" s="21"/>
      <c r="F243" s="21">
        <v>50000</v>
      </c>
      <c r="G243" s="21">
        <v>381388.29</v>
      </c>
      <c r="H243" s="23" t="s">
        <v>8</v>
      </c>
      <c r="I243" s="22" t="s">
        <v>8</v>
      </c>
      <c r="J243" s="17" t="str">
        <f>IF(AND(B243="BT", F243 &gt; 0.03 * SUMIF(B:B, "BT", F:F)), "ITA-C", IF(AND(B243="BT", E243 &gt; 0.03 * SUMIF(B:B, "BT", E:E)), "ITA-D", ""))</f>
        <v/>
      </c>
    </row>
    <row r="244" spans="1:10" x14ac:dyDescent="0.3">
      <c r="A244" s="18">
        <v>243</v>
      </c>
      <c r="B244" s="19" t="s">
        <v>41</v>
      </c>
      <c r="C244" s="20">
        <v>45731</v>
      </c>
      <c r="D244" s="20" t="s">
        <v>216</v>
      </c>
      <c r="E244" s="50">
        <v>338400</v>
      </c>
      <c r="F244" s="21"/>
      <c r="G244" s="21">
        <v>42988.29</v>
      </c>
      <c r="H244" s="23" t="s">
        <v>9</v>
      </c>
      <c r="I244" s="22" t="s">
        <v>9</v>
      </c>
      <c r="J244" s="17" t="str">
        <f>IF(AND(B244="BT", F244 &gt; 0.03 * SUMIF(B:B, "BT", F:F)), "ITA-C", IF(AND(B244="BT", E244 &gt; 0.03 * SUMIF(B:B, "BT", E:E)), "ITA-D", ""))</f>
        <v/>
      </c>
    </row>
    <row r="245" spans="1:10" x14ac:dyDescent="0.3">
      <c r="A245" s="153">
        <v>244</v>
      </c>
      <c r="B245" s="35" t="s">
        <v>48</v>
      </c>
      <c r="C245" s="36">
        <v>45732</v>
      </c>
      <c r="D245" s="36" t="s">
        <v>276</v>
      </c>
      <c r="E245" s="37">
        <v>15000</v>
      </c>
      <c r="F245" s="37"/>
      <c r="G245" s="37">
        <v>27988.29</v>
      </c>
      <c r="H245" s="39" t="s">
        <v>6</v>
      </c>
      <c r="I245" s="38" t="s">
        <v>6</v>
      </c>
      <c r="J245" s="17" t="str">
        <f>IF(AND(B245="BT", F245 &gt; 0.03 * SUMIF(B:B, "BT", F:F)), "ITA-C", IF(AND(B245="BT", E245 &gt; 0.03 * SUMIF(B:B, "BT", E:E)), "ITA-D", ""))</f>
        <v/>
      </c>
    </row>
    <row r="246" spans="1:10" x14ac:dyDescent="0.3">
      <c r="A246" s="153">
        <v>245</v>
      </c>
      <c r="B246" s="35" t="s">
        <v>48</v>
      </c>
      <c r="C246" s="36">
        <v>45733</v>
      </c>
      <c r="D246" s="36" t="s">
        <v>271</v>
      </c>
      <c r="E246" s="37"/>
      <c r="F246" s="37">
        <v>240000</v>
      </c>
      <c r="G246" s="37">
        <v>267988.28999999998</v>
      </c>
      <c r="H246" s="39" t="s">
        <v>21</v>
      </c>
      <c r="I246" s="38" t="s">
        <v>7</v>
      </c>
      <c r="J246" s="17" t="str">
        <f>IF(AND(B246="BT", F246 &gt; 0.03 * SUMIF(B:B, "BT", F:F)), "ITA-C", IF(AND(B246="BT", E246 &gt; 0.03 * SUMIF(B:B, "BT", E:E)), "ITA-D", ""))</f>
        <v/>
      </c>
    </row>
    <row r="247" spans="1:10" x14ac:dyDescent="0.3">
      <c r="A247" s="153">
        <v>246</v>
      </c>
      <c r="B247" s="154" t="s">
        <v>48</v>
      </c>
      <c r="C247" s="36">
        <v>45733</v>
      </c>
      <c r="D247" s="36" t="s">
        <v>272</v>
      </c>
      <c r="E247" s="37">
        <v>5000</v>
      </c>
      <c r="F247" s="37"/>
      <c r="G247" s="37">
        <v>262988.28999999998</v>
      </c>
      <c r="H247" s="39" t="s">
        <v>25</v>
      </c>
      <c r="I247" s="38" t="s">
        <v>25</v>
      </c>
      <c r="J247" s="17" t="str">
        <f>IF(AND(B247="BT", F247 &gt; 0.03 * SUMIF(B:B, "BT", F:F)), "ITA-C", IF(AND(B247="BT", E247 &gt; 0.03 * SUMIF(B:B, "BT", E:E)), "ITA-D", ""))</f>
        <v/>
      </c>
    </row>
    <row r="248" spans="1:10" x14ac:dyDescent="0.3">
      <c r="A248" s="153">
        <v>247</v>
      </c>
      <c r="B248" s="35" t="s">
        <v>48</v>
      </c>
      <c r="C248" s="36">
        <v>45734</v>
      </c>
      <c r="D248" s="36" t="s">
        <v>270</v>
      </c>
      <c r="E248" s="37"/>
      <c r="F248" s="37">
        <v>250000</v>
      </c>
      <c r="G248" s="37">
        <v>512988.29</v>
      </c>
      <c r="H248" s="39" t="s">
        <v>10</v>
      </c>
      <c r="I248" s="38" t="s">
        <v>10</v>
      </c>
      <c r="J248" s="17" t="str">
        <f>IF(AND(B248="BT", F248 &gt; 0.03 * SUMIF(B:B, "BT", F:F)), "ITA-C", IF(AND(B248="BT", E248 &gt; 0.03 * SUMIF(B:B, "BT", E:E)), "ITA-D", ""))</f>
        <v/>
      </c>
    </row>
    <row r="249" spans="1:10" x14ac:dyDescent="0.3">
      <c r="A249" s="18">
        <v>248</v>
      </c>
      <c r="B249" s="19" t="s">
        <v>41</v>
      </c>
      <c r="C249" s="20">
        <v>45734</v>
      </c>
      <c r="D249" s="20" t="s">
        <v>199</v>
      </c>
      <c r="E249" s="21">
        <v>509355</v>
      </c>
      <c r="F249" s="21"/>
      <c r="G249" s="21">
        <v>3633.29</v>
      </c>
      <c r="H249" s="23" t="s">
        <v>9</v>
      </c>
      <c r="I249" s="22" t="s">
        <v>9</v>
      </c>
      <c r="J249" s="17" t="str">
        <f>IF(AND(B249="BT", F249 &gt; 0.03 * SUMIF(B:B, "BT", F:F)), "ITA-C", IF(AND(B249="BT", E249 &gt; 0.03 * SUMIF(B:B, "BT", E:E)), "ITA-D", ""))</f>
        <v/>
      </c>
    </row>
    <row r="250" spans="1:10" x14ac:dyDescent="0.3">
      <c r="A250" s="153">
        <v>249</v>
      </c>
      <c r="B250" s="35" t="s">
        <v>48</v>
      </c>
      <c r="C250" s="36">
        <v>45734</v>
      </c>
      <c r="D250" s="36" t="s">
        <v>270</v>
      </c>
      <c r="E250" s="37"/>
      <c r="F250" s="37">
        <v>330000</v>
      </c>
      <c r="G250" s="37">
        <v>333633.28999999998</v>
      </c>
      <c r="H250" s="39" t="s">
        <v>5</v>
      </c>
      <c r="I250" s="38" t="s">
        <v>5</v>
      </c>
      <c r="J250" s="17" t="str">
        <f>IF(AND(B250="BT", F250 &gt; 0.03 * SUMIF(B:B, "BT", F:F)), "ITA-C", IF(AND(B250="BT", E250 &gt; 0.03 * SUMIF(B:B, "BT", E:E)), "ITA-D", ""))</f>
        <v/>
      </c>
    </row>
    <row r="251" spans="1:10" x14ac:dyDescent="0.3">
      <c r="A251" s="18">
        <v>250</v>
      </c>
      <c r="B251" s="19" t="s">
        <v>41</v>
      </c>
      <c r="C251" s="20">
        <v>45734</v>
      </c>
      <c r="D251" s="20" t="s">
        <v>239</v>
      </c>
      <c r="E251" s="21">
        <v>300000</v>
      </c>
      <c r="F251" s="21"/>
      <c r="G251" s="21">
        <v>33633.29</v>
      </c>
      <c r="H251" s="23" t="s">
        <v>9</v>
      </c>
      <c r="I251" s="22" t="s">
        <v>9</v>
      </c>
      <c r="J251" s="17" t="str">
        <f>IF(AND(B251="BT", F251 &gt; 0.03 * SUMIF(B:B, "BT", F:F)), "ITA-C", IF(AND(B251="BT", E251 &gt; 0.03 * SUMIF(B:B, "BT", E:E)), "ITA-D", ""))</f>
        <v/>
      </c>
    </row>
    <row r="252" spans="1:10" x14ac:dyDescent="0.3">
      <c r="A252" s="18">
        <v>251</v>
      </c>
      <c r="B252" s="19" t="s">
        <v>41</v>
      </c>
      <c r="C252" s="20">
        <v>45734</v>
      </c>
      <c r="D252" s="20" t="s">
        <v>232</v>
      </c>
      <c r="E252" s="21"/>
      <c r="F252" s="21">
        <v>50000</v>
      </c>
      <c r="G252" s="21">
        <v>83633.289999999994</v>
      </c>
      <c r="H252" s="23" t="s">
        <v>8</v>
      </c>
      <c r="I252" s="22" t="s">
        <v>8</v>
      </c>
      <c r="J252" s="17" t="str">
        <f>IF(AND(B252="BT", F252 &gt; 0.03 * SUMIF(B:B, "BT", F:F)), "ITA-C", IF(AND(B252="BT", E252 &gt; 0.03 * SUMIF(B:B, "BT", E:E)), "ITA-D", ""))</f>
        <v/>
      </c>
    </row>
    <row r="253" spans="1:10" x14ac:dyDescent="0.3">
      <c r="A253" s="18">
        <v>252</v>
      </c>
      <c r="B253" s="19" t="s">
        <v>41</v>
      </c>
      <c r="C253" s="20">
        <v>45735</v>
      </c>
      <c r="D253" s="20" t="s">
        <v>188</v>
      </c>
      <c r="E253" s="21">
        <v>50000</v>
      </c>
      <c r="F253" s="21"/>
      <c r="G253" s="21">
        <v>33633.29</v>
      </c>
      <c r="H253" s="23" t="s">
        <v>13</v>
      </c>
      <c r="I253" s="22" t="s">
        <v>13</v>
      </c>
      <c r="J253" s="177" t="str">
        <f>IF(AND(B253="BT", F253 &gt; 0.03 * SUMIF(B:B, "BT", F:F)), "ITA-C", IF(AND(B253="BT", E253 &gt; 0.03 * SUMIF(B:B, "BT", E:E)), "ITA-D", ""))</f>
        <v/>
      </c>
    </row>
    <row r="254" spans="1:10" x14ac:dyDescent="0.3">
      <c r="A254" s="18">
        <v>253</v>
      </c>
      <c r="B254" s="19" t="s">
        <v>41</v>
      </c>
      <c r="C254" s="20">
        <v>45735</v>
      </c>
      <c r="D254" s="20" t="s">
        <v>52</v>
      </c>
      <c r="E254" s="21">
        <v>3495.14</v>
      </c>
      <c r="F254" s="21"/>
      <c r="G254" s="21">
        <v>30138.15</v>
      </c>
      <c r="H254" s="23" t="s">
        <v>6</v>
      </c>
      <c r="I254" s="22" t="s">
        <v>6</v>
      </c>
      <c r="J254" s="177" t="str">
        <f>IF(AND(B254="BT", F254 &gt; 0.03 * SUMIF(B:B, "BT", F:F)), "ITA-C", IF(AND(B254="BT", E254 &gt; 0.03 * SUMIF(B:B, "BT", E:E)), "ITA-D", ""))</f>
        <v/>
      </c>
    </row>
    <row r="255" spans="1:10" x14ac:dyDescent="0.3">
      <c r="A255" s="153">
        <v>254</v>
      </c>
      <c r="B255" s="154" t="s">
        <v>48</v>
      </c>
      <c r="C255" s="36">
        <v>45735</v>
      </c>
      <c r="D255" s="36" t="s">
        <v>272</v>
      </c>
      <c r="E255" s="37">
        <v>5000</v>
      </c>
      <c r="F255" s="37"/>
      <c r="G255" s="37">
        <v>25138.15</v>
      </c>
      <c r="H255" s="39" t="s">
        <v>25</v>
      </c>
      <c r="I255" s="38" t="s">
        <v>25</v>
      </c>
      <c r="J255" s="17" t="str">
        <f>IF(AND(B255="BT", F255 &gt; 0.03 * SUMIF(B:B, "BT", F:F)), "ITA-C", IF(AND(B255="BT", E255 &gt; 0.03 * SUMIF(B:B, "BT", E:E)), "ITA-D", ""))</f>
        <v/>
      </c>
    </row>
    <row r="256" spans="1:10" x14ac:dyDescent="0.3">
      <c r="A256" s="18">
        <v>255</v>
      </c>
      <c r="B256" s="19" t="s">
        <v>41</v>
      </c>
      <c r="C256" s="20">
        <v>45735</v>
      </c>
      <c r="D256" s="20" t="s">
        <v>221</v>
      </c>
      <c r="E256" s="21"/>
      <c r="F256" s="21">
        <v>84001</v>
      </c>
      <c r="G256" s="21">
        <v>109139.15</v>
      </c>
      <c r="H256" s="23" t="s">
        <v>5</v>
      </c>
      <c r="I256" s="22" t="s">
        <v>5</v>
      </c>
      <c r="J256" s="17" t="str">
        <f>IF(AND(B256="BT", F256 &gt; 0.03 * SUMIF(B:B, "BT", F:F)), "ITA-C", IF(AND(B256="BT", E256 &gt; 0.03 * SUMIF(B:B, "BT", E:E)), "ITA-D", ""))</f>
        <v/>
      </c>
    </row>
    <row r="257" spans="1:10" x14ac:dyDescent="0.3">
      <c r="A257" s="153">
        <v>256</v>
      </c>
      <c r="B257" s="154" t="s">
        <v>48</v>
      </c>
      <c r="C257" s="36">
        <v>45735</v>
      </c>
      <c r="D257" s="36" t="s">
        <v>272</v>
      </c>
      <c r="E257" s="37">
        <v>5000</v>
      </c>
      <c r="F257" s="37"/>
      <c r="G257" s="37">
        <v>104139.15</v>
      </c>
      <c r="H257" s="39" t="s">
        <v>25</v>
      </c>
      <c r="I257" s="38" t="s">
        <v>25</v>
      </c>
      <c r="J257" s="17" t="str">
        <f>IF(AND(B257="BT", F257 &gt; 0.03 * SUMIF(B:B, "BT", F:F)), "ITA-C", IF(AND(B257="BT", E257 &gt; 0.03 * SUMIF(B:B, "BT", E:E)), "ITA-D", ""))</f>
        <v/>
      </c>
    </row>
    <row r="258" spans="1:10" x14ac:dyDescent="0.3">
      <c r="A258" s="153">
        <v>257</v>
      </c>
      <c r="B258" s="154" t="s">
        <v>48</v>
      </c>
      <c r="C258" s="36">
        <v>45736</v>
      </c>
      <c r="D258" s="36" t="s">
        <v>272</v>
      </c>
      <c r="E258" s="37">
        <v>4000</v>
      </c>
      <c r="F258" s="37"/>
      <c r="G258" s="37">
        <v>100139.15</v>
      </c>
      <c r="H258" s="39" t="s">
        <v>25</v>
      </c>
      <c r="I258" s="38" t="s">
        <v>25</v>
      </c>
      <c r="J258" s="17" t="str">
        <f>IF(AND(B258="BT", F258 &gt; 0.03 * SUMIF(B:B, "BT", F:F)), "ITA-C", IF(AND(B258="BT", E258 &gt; 0.03 * SUMIF(B:B, "BT", E:E)), "ITA-D", ""))</f>
        <v/>
      </c>
    </row>
    <row r="259" spans="1:10" x14ac:dyDescent="0.3">
      <c r="A259" s="18">
        <v>258</v>
      </c>
      <c r="B259" s="19" t="s">
        <v>41</v>
      </c>
      <c r="C259" s="20">
        <v>45736</v>
      </c>
      <c r="D259" s="20" t="s">
        <v>192</v>
      </c>
      <c r="E259" s="21"/>
      <c r="F259" s="21">
        <v>89250</v>
      </c>
      <c r="G259" s="21">
        <v>189389.15</v>
      </c>
      <c r="H259" s="23" t="s">
        <v>8</v>
      </c>
      <c r="I259" s="22" t="s">
        <v>8</v>
      </c>
      <c r="J259" s="17" t="str">
        <f>IF(AND(B259="BT", F259 &gt; 0.03 * SUMIF(B:B, "BT", F:F)), "ITA-C", IF(AND(B259="BT", E259 &gt; 0.03 * SUMIF(B:B, "BT", E:E)), "ITA-D", ""))</f>
        <v/>
      </c>
    </row>
    <row r="260" spans="1:10" x14ac:dyDescent="0.3">
      <c r="A260" s="18">
        <v>259</v>
      </c>
      <c r="B260" s="19" t="s">
        <v>41</v>
      </c>
      <c r="C260" s="20">
        <v>45736</v>
      </c>
      <c r="D260" s="20" t="s">
        <v>227</v>
      </c>
      <c r="E260" s="21"/>
      <c r="F260" s="21">
        <v>88616</v>
      </c>
      <c r="G260" s="21">
        <v>278005.15000000002</v>
      </c>
      <c r="H260" s="23" t="s">
        <v>5</v>
      </c>
      <c r="I260" s="22" t="s">
        <v>5</v>
      </c>
      <c r="J260" s="17" t="str">
        <f>IF(AND(B260="BT", F260 &gt; 0.03 * SUMIF(B:B, "BT", F:F)), "ITA-C", IF(AND(B260="BT", E260 &gt; 0.03 * SUMIF(B:B, "BT", E:E)), "ITA-D", ""))</f>
        <v/>
      </c>
    </row>
    <row r="261" spans="1:10" x14ac:dyDescent="0.3">
      <c r="A261" s="18">
        <v>260</v>
      </c>
      <c r="B261" s="19" t="s">
        <v>41</v>
      </c>
      <c r="C261" s="20">
        <v>45736</v>
      </c>
      <c r="D261" s="20" t="s">
        <v>196</v>
      </c>
      <c r="E261" s="21">
        <v>20607</v>
      </c>
      <c r="F261" s="21"/>
      <c r="G261" s="21">
        <v>257398.15</v>
      </c>
      <c r="H261" s="23" t="s">
        <v>13</v>
      </c>
      <c r="I261" s="22" t="s">
        <v>13</v>
      </c>
      <c r="J261" s="17" t="str">
        <f>IF(AND(B261="BT", F261 &gt; 0.03 * SUMIF(B:B, "BT", F:F)), "ITA-C", IF(AND(B261="BT", E261 &gt; 0.03 * SUMIF(B:B, "BT", E:E)), "ITA-D", ""))</f>
        <v/>
      </c>
    </row>
    <row r="262" spans="1:10" x14ac:dyDescent="0.3">
      <c r="A262" s="18">
        <v>261</v>
      </c>
      <c r="B262" s="24" t="s">
        <v>39</v>
      </c>
      <c r="C262" s="25">
        <v>45736</v>
      </c>
      <c r="D262" s="25" t="s">
        <v>260</v>
      </c>
      <c r="E262" s="26">
        <v>7000</v>
      </c>
      <c r="F262" s="26"/>
      <c r="G262" s="26">
        <v>250398.15</v>
      </c>
      <c r="H262" s="28" t="s">
        <v>12</v>
      </c>
      <c r="I262" s="27" t="s">
        <v>12</v>
      </c>
      <c r="J262" s="17" t="str">
        <f>IF(AND(B262="BT", F262 &gt; 0.03 * SUMIF(B:B, "BT", F:F)), "ITA-C", IF(AND(B262="BT", E262 &gt; 0.03 * SUMIF(B:B, "BT", E:E)), "ITA-D", ""))</f>
        <v/>
      </c>
    </row>
    <row r="263" spans="1:10" x14ac:dyDescent="0.3">
      <c r="A263" s="18">
        <v>262</v>
      </c>
      <c r="B263" s="19" t="s">
        <v>41</v>
      </c>
      <c r="C263" s="20">
        <v>45736</v>
      </c>
      <c r="D263" s="20" t="s">
        <v>223</v>
      </c>
      <c r="E263" s="21">
        <v>227904</v>
      </c>
      <c r="F263" s="21"/>
      <c r="G263" s="21">
        <v>22494.15</v>
      </c>
      <c r="H263" s="23" t="s">
        <v>6</v>
      </c>
      <c r="I263" s="22" t="s">
        <v>6</v>
      </c>
      <c r="J263" s="17" t="str">
        <f>IF(AND(B263="BT", F263 &gt; 0.03 * SUMIF(B:B, "BT", F:F)), "ITA-C", IF(AND(B263="BT", E263 &gt; 0.03 * SUMIF(B:B, "BT", E:E)), "ITA-D", ""))</f>
        <v/>
      </c>
    </row>
    <row r="264" spans="1:10" x14ac:dyDescent="0.3">
      <c r="A264" s="18">
        <v>263</v>
      </c>
      <c r="B264" s="19" t="s">
        <v>41</v>
      </c>
      <c r="C264" s="20">
        <v>45736</v>
      </c>
      <c r="D264" s="121" t="s">
        <v>214</v>
      </c>
      <c r="E264" s="21">
        <v>8904</v>
      </c>
      <c r="F264" s="21"/>
      <c r="G264" s="21">
        <v>13590.15</v>
      </c>
      <c r="H264" s="23" t="s">
        <v>13</v>
      </c>
      <c r="I264" s="22" t="s">
        <v>13</v>
      </c>
      <c r="J264" s="17" t="str">
        <f>IF(AND(B264="BT", F264 &gt; 0.03 * SUMIF(B:B, "BT", F:F)), "ITA-C", IF(AND(B264="BT", E264 &gt; 0.03 * SUMIF(B:B, "BT", E:E)), "ITA-D", ""))</f>
        <v/>
      </c>
    </row>
    <row r="265" spans="1:10" x14ac:dyDescent="0.3">
      <c r="A265" s="18">
        <v>264</v>
      </c>
      <c r="B265" s="19" t="s">
        <v>41</v>
      </c>
      <c r="C265" s="20">
        <v>45736</v>
      </c>
      <c r="D265" s="20" t="s">
        <v>232</v>
      </c>
      <c r="E265" s="21"/>
      <c r="F265" s="21">
        <v>52000</v>
      </c>
      <c r="G265" s="21">
        <v>65590.149999999994</v>
      </c>
      <c r="H265" s="23" t="s">
        <v>8</v>
      </c>
      <c r="I265" s="22" t="s">
        <v>8</v>
      </c>
      <c r="J265" s="17" t="str">
        <f>IF(AND(B265="BT", F265 &gt; 0.03 * SUMIF(B:B, "BT", F:F)), "ITA-C", IF(AND(B265="BT", E265 &gt; 0.03 * SUMIF(B:B, "BT", E:E)), "ITA-D", ""))</f>
        <v/>
      </c>
    </row>
    <row r="266" spans="1:10" x14ac:dyDescent="0.3">
      <c r="A266" s="153">
        <v>265</v>
      </c>
      <c r="B266" s="35" t="s">
        <v>48</v>
      </c>
      <c r="C266" s="36">
        <v>45737</v>
      </c>
      <c r="D266" s="36" t="s">
        <v>276</v>
      </c>
      <c r="E266" s="37"/>
      <c r="F266" s="37">
        <v>200000</v>
      </c>
      <c r="G266" s="37">
        <v>265590.15000000002</v>
      </c>
      <c r="H266" s="39" t="s">
        <v>8</v>
      </c>
      <c r="I266" s="38" t="s">
        <v>8</v>
      </c>
      <c r="J266" s="17" t="str">
        <f>IF(AND(B266="BT", F266 &gt; 0.03 * SUMIF(B:B, "BT", F:F)), "ITA-C", IF(AND(B266="BT", E266 &gt; 0.03 * SUMIF(B:B, "BT", E:E)), "ITA-D", ""))</f>
        <v/>
      </c>
    </row>
    <row r="267" spans="1:10" x14ac:dyDescent="0.3">
      <c r="A267" s="18">
        <v>266</v>
      </c>
      <c r="B267" s="19" t="s">
        <v>41</v>
      </c>
      <c r="C267" s="20">
        <v>45737</v>
      </c>
      <c r="D267" s="20" t="s">
        <v>191</v>
      </c>
      <c r="E267" s="21">
        <v>250000</v>
      </c>
      <c r="F267" s="21"/>
      <c r="G267" s="21">
        <v>15590.15</v>
      </c>
      <c r="H267" s="23" t="s">
        <v>13</v>
      </c>
      <c r="I267" s="22" t="s">
        <v>13</v>
      </c>
      <c r="J267" s="17" t="str">
        <f>IF(AND(B267="BT", F267 &gt; 0.03 * SUMIF(B:B, "BT", F:F)), "ITA-C", IF(AND(B267="BT", E267 &gt; 0.03 * SUMIF(B:B, "BT", E:E)), "ITA-D", ""))</f>
        <v/>
      </c>
    </row>
    <row r="268" spans="1:10" x14ac:dyDescent="0.3">
      <c r="A268" s="18">
        <v>267</v>
      </c>
      <c r="B268" s="24" t="s">
        <v>39</v>
      </c>
      <c r="C268" s="25">
        <v>45739</v>
      </c>
      <c r="D268" s="25" t="s">
        <v>265</v>
      </c>
      <c r="E268" s="26">
        <v>1195</v>
      </c>
      <c r="F268" s="26"/>
      <c r="G268" s="26">
        <v>14395.15</v>
      </c>
      <c r="H268" s="28" t="s">
        <v>6</v>
      </c>
      <c r="I268" s="27" t="s">
        <v>6</v>
      </c>
      <c r="J268" s="17" t="str">
        <f>IF(AND(B268="BT", F268 &gt; 0.03 * SUMIF(B:B, "BT", F:F)), "ITA-C", IF(AND(B268="BT", E268 &gt; 0.03 * SUMIF(B:B, "BT", E:E)), "ITA-D", ""))</f>
        <v/>
      </c>
    </row>
    <row r="269" spans="1:10" x14ac:dyDescent="0.3">
      <c r="A269" s="18">
        <v>268</v>
      </c>
      <c r="B269" s="19" t="s">
        <v>41</v>
      </c>
      <c r="C269" s="20">
        <v>45739</v>
      </c>
      <c r="D269" s="20" t="s">
        <v>193</v>
      </c>
      <c r="E269" s="21"/>
      <c r="F269" s="21">
        <v>150000</v>
      </c>
      <c r="G269" s="21">
        <v>164395.15</v>
      </c>
      <c r="H269" s="23" t="s">
        <v>5</v>
      </c>
      <c r="I269" s="22" t="s">
        <v>5</v>
      </c>
      <c r="J269" s="17" t="str">
        <f>IF(AND(B269="BT", F269 &gt; 0.03 * SUMIF(B:B, "BT", F:F)), "ITA-C", IF(AND(B269="BT", E269 &gt; 0.03 * SUMIF(B:B, "BT", E:E)), "ITA-D", ""))</f>
        <v/>
      </c>
    </row>
    <row r="270" spans="1:10" x14ac:dyDescent="0.3">
      <c r="A270" s="153">
        <v>269</v>
      </c>
      <c r="B270" s="35" t="s">
        <v>48</v>
      </c>
      <c r="C270" s="36">
        <v>45739</v>
      </c>
      <c r="D270" s="36" t="s">
        <v>276</v>
      </c>
      <c r="E270" s="37">
        <v>14000</v>
      </c>
      <c r="F270" s="37"/>
      <c r="G270" s="37">
        <v>150395.15</v>
      </c>
      <c r="H270" s="39" t="s">
        <v>6</v>
      </c>
      <c r="I270" s="38" t="s">
        <v>6</v>
      </c>
      <c r="J270" s="17" t="str">
        <f>IF(AND(B270="BT", F270 &gt; 0.03 * SUMIF(B:B, "BT", F:F)), "ITA-C", IF(AND(B270="BT", E270 &gt; 0.03 * SUMIF(B:B, "BT", E:E)), "ITA-D", ""))</f>
        <v/>
      </c>
    </row>
    <row r="271" spans="1:10" x14ac:dyDescent="0.3">
      <c r="A271" s="18">
        <v>270</v>
      </c>
      <c r="B271" s="19" t="s">
        <v>41</v>
      </c>
      <c r="C271" s="20">
        <v>45739</v>
      </c>
      <c r="D271" s="20" t="s">
        <v>195</v>
      </c>
      <c r="E271" s="21">
        <v>50000</v>
      </c>
      <c r="F271" s="21"/>
      <c r="G271" s="21">
        <v>100395.15</v>
      </c>
      <c r="H271" s="23" t="s">
        <v>13</v>
      </c>
      <c r="I271" s="22" t="s">
        <v>13</v>
      </c>
      <c r="J271" s="17" t="str">
        <f>IF(AND(B271="BT", F271 &gt; 0.03 * SUMIF(B:B, "BT", F:F)), "ITA-C", IF(AND(B271="BT", E271 &gt; 0.03 * SUMIF(B:B, "BT", E:E)), "ITA-D", ""))</f>
        <v/>
      </c>
    </row>
    <row r="272" spans="1:10" x14ac:dyDescent="0.3">
      <c r="A272" s="18">
        <v>271</v>
      </c>
      <c r="B272" s="19" t="s">
        <v>41</v>
      </c>
      <c r="C272" s="20">
        <v>45740</v>
      </c>
      <c r="D272" s="20" t="s">
        <v>193</v>
      </c>
      <c r="E272" s="21"/>
      <c r="F272" s="21">
        <v>500000</v>
      </c>
      <c r="G272" s="21">
        <v>600395.15</v>
      </c>
      <c r="H272" s="23" t="s">
        <v>7</v>
      </c>
      <c r="I272" s="22" t="s">
        <v>7</v>
      </c>
      <c r="J272" s="17" t="str">
        <f>IF(AND(B272="BT", F272 &gt; 0.03 * SUMIF(B:B, "BT", F:F)), "ITA-C", IF(AND(B272="BT", E272 &gt; 0.03 * SUMIF(B:B, "BT", E:E)), "ITA-D", ""))</f>
        <v/>
      </c>
    </row>
    <row r="273" spans="1:10" x14ac:dyDescent="0.3">
      <c r="A273" s="18">
        <v>272</v>
      </c>
      <c r="B273" s="19" t="s">
        <v>41</v>
      </c>
      <c r="C273" s="20">
        <v>45740</v>
      </c>
      <c r="D273" s="20" t="s">
        <v>191</v>
      </c>
      <c r="E273" s="21">
        <v>405000</v>
      </c>
      <c r="F273" s="21"/>
      <c r="G273" s="21">
        <v>195395.15</v>
      </c>
      <c r="H273" s="23" t="s">
        <v>9</v>
      </c>
      <c r="I273" s="22" t="s">
        <v>9</v>
      </c>
      <c r="J273" s="17" t="str">
        <f>IF(AND(B273="BT", F273 &gt; 0.03 * SUMIF(B:B, "BT", F:F)), "ITA-C", IF(AND(B273="BT", E273 &gt; 0.03 * SUMIF(B:B, "BT", E:E)), "ITA-D", ""))</f>
        <v/>
      </c>
    </row>
    <row r="274" spans="1:10" x14ac:dyDescent="0.3">
      <c r="A274" s="153">
        <v>273</v>
      </c>
      <c r="B274" s="35" t="s">
        <v>48</v>
      </c>
      <c r="C274" s="36">
        <v>45740</v>
      </c>
      <c r="D274" s="36" t="s">
        <v>271</v>
      </c>
      <c r="E274" s="37"/>
      <c r="F274" s="37">
        <v>300000</v>
      </c>
      <c r="G274" s="37">
        <v>495395.15</v>
      </c>
      <c r="H274" s="39" t="s">
        <v>21</v>
      </c>
      <c r="I274" s="38" t="s">
        <v>7</v>
      </c>
      <c r="J274" s="17" t="str">
        <f>IF(AND(B274="BT", F274 &gt; 0.03 * SUMIF(B:B, "BT", F:F)), "ITA-C", IF(AND(B274="BT", E274 &gt; 0.03 * SUMIF(B:B, "BT", E:E)), "ITA-D", ""))</f>
        <v/>
      </c>
    </row>
    <row r="275" spans="1:10" x14ac:dyDescent="0.3">
      <c r="A275" s="18">
        <v>274</v>
      </c>
      <c r="B275" s="24" t="s">
        <v>39</v>
      </c>
      <c r="C275" s="25">
        <v>45740</v>
      </c>
      <c r="D275" s="25" t="s">
        <v>260</v>
      </c>
      <c r="E275" s="26">
        <v>15000</v>
      </c>
      <c r="F275" s="26"/>
      <c r="G275" s="26">
        <v>480395.15</v>
      </c>
      <c r="H275" s="28" t="s">
        <v>12</v>
      </c>
      <c r="I275" s="27" t="s">
        <v>12</v>
      </c>
      <c r="J275" s="17" t="str">
        <f>IF(AND(B275="BT", F275 &gt; 0.03 * SUMIF(B:B, "BT", F:F)), "ITA-C", IF(AND(B275="BT", E275 &gt; 0.03 * SUMIF(B:B, "BT", E:E)), "ITA-D", ""))</f>
        <v/>
      </c>
    </row>
    <row r="276" spans="1:10" x14ac:dyDescent="0.3">
      <c r="A276" s="18">
        <v>275</v>
      </c>
      <c r="B276" s="19" t="s">
        <v>41</v>
      </c>
      <c r="C276" s="20">
        <v>45740</v>
      </c>
      <c r="D276" s="20" t="s">
        <v>203</v>
      </c>
      <c r="E276" s="21">
        <v>400000</v>
      </c>
      <c r="F276" s="21"/>
      <c r="G276" s="21">
        <v>80395.149999999994</v>
      </c>
      <c r="H276" s="23" t="s">
        <v>9</v>
      </c>
      <c r="I276" s="22" t="s">
        <v>9</v>
      </c>
      <c r="J276" s="17" t="str">
        <f>IF(AND(B276="BT", F276 &gt; 0.03 * SUMIF(B:B, "BT", F:F)), "ITA-C", IF(AND(B276="BT", E276 &gt; 0.03 * SUMIF(B:B, "BT", E:E)), "ITA-D", ""))</f>
        <v/>
      </c>
    </row>
    <row r="277" spans="1:10" x14ac:dyDescent="0.3">
      <c r="A277" s="153">
        <v>276</v>
      </c>
      <c r="B277" s="35" t="s">
        <v>48</v>
      </c>
      <c r="C277" s="36">
        <v>45740</v>
      </c>
      <c r="D277" s="36" t="s">
        <v>273</v>
      </c>
      <c r="E277" s="37"/>
      <c r="F277" s="37">
        <v>300000</v>
      </c>
      <c r="G277" s="37">
        <v>380395.15</v>
      </c>
      <c r="H277" s="39" t="s">
        <v>7</v>
      </c>
      <c r="I277" s="38" t="s">
        <v>7</v>
      </c>
      <c r="J277" s="17" t="str">
        <f>IF(AND(B277="BT", F277 &gt; 0.03 * SUMIF(B:B, "BT", F:F)), "ITA-C", IF(AND(B277="BT", E277 &gt; 0.03 * SUMIF(B:B, "BT", E:E)), "ITA-D", ""))</f>
        <v/>
      </c>
    </row>
    <row r="278" spans="1:10" x14ac:dyDescent="0.3">
      <c r="A278" s="18">
        <v>277</v>
      </c>
      <c r="B278" s="19" t="s">
        <v>41</v>
      </c>
      <c r="C278" s="20">
        <v>45741</v>
      </c>
      <c r="D278" s="20" t="s">
        <v>195</v>
      </c>
      <c r="E278" s="21">
        <v>350000</v>
      </c>
      <c r="F278" s="21"/>
      <c r="G278" s="21">
        <v>30395.15</v>
      </c>
      <c r="H278" s="23" t="s">
        <v>13</v>
      </c>
      <c r="I278" s="22" t="s">
        <v>13</v>
      </c>
      <c r="J278" s="17" t="str">
        <f>IF(AND(B278="BT", F278 &gt; 0.03 * SUMIF(B:B, "BT", F:F)), "ITA-C", IF(AND(B278="BT", E278 &gt; 0.03 * SUMIF(B:B, "BT", E:E)), "ITA-D", ""))</f>
        <v/>
      </c>
    </row>
    <row r="279" spans="1:10" x14ac:dyDescent="0.3">
      <c r="A279" s="18">
        <v>278</v>
      </c>
      <c r="B279" s="19" t="s">
        <v>41</v>
      </c>
      <c r="C279" s="20">
        <v>45741</v>
      </c>
      <c r="D279" s="20" t="s">
        <v>232</v>
      </c>
      <c r="E279" s="21"/>
      <c r="F279" s="21">
        <v>60000</v>
      </c>
      <c r="G279" s="21">
        <v>90395.15</v>
      </c>
      <c r="H279" s="23" t="s">
        <v>8</v>
      </c>
      <c r="I279" s="22" t="s">
        <v>8</v>
      </c>
      <c r="J279" s="17" t="str">
        <f>IF(AND(B279="BT", F279 &gt; 0.03 * SUMIF(B:B, "BT", F:F)), "ITA-C", IF(AND(B279="BT", E279 &gt; 0.03 * SUMIF(B:B, "BT", E:E)), "ITA-D", ""))</f>
        <v/>
      </c>
    </row>
    <row r="280" spans="1:10" x14ac:dyDescent="0.3">
      <c r="A280" s="18">
        <v>279</v>
      </c>
      <c r="B280" s="19" t="s">
        <v>41</v>
      </c>
      <c r="C280" s="20">
        <v>45741</v>
      </c>
      <c r="D280" s="20" t="s">
        <v>216</v>
      </c>
      <c r="E280" s="21">
        <v>66000</v>
      </c>
      <c r="F280" s="21"/>
      <c r="G280" s="21">
        <v>24395.15</v>
      </c>
      <c r="H280" s="23" t="s">
        <v>13</v>
      </c>
      <c r="I280" s="22" t="s">
        <v>13</v>
      </c>
      <c r="J280" s="17" t="str">
        <f>IF(AND(B280="BT", F280 &gt; 0.03 * SUMIF(B:B, "BT", F:F)), "ITA-C", IF(AND(B280="BT", E280 &gt; 0.03 * SUMIF(B:B, "BT", E:E)), "ITA-D", ""))</f>
        <v/>
      </c>
    </row>
    <row r="281" spans="1:10" x14ac:dyDescent="0.3">
      <c r="A281" s="153">
        <v>280</v>
      </c>
      <c r="B281" s="35" t="s">
        <v>48</v>
      </c>
      <c r="C281" s="36">
        <v>45742</v>
      </c>
      <c r="D281" s="36" t="s">
        <v>270</v>
      </c>
      <c r="E281" s="37"/>
      <c r="F281" s="37">
        <v>59000</v>
      </c>
      <c r="G281" s="37">
        <v>83395.149999999994</v>
      </c>
      <c r="H281" s="39" t="s">
        <v>5</v>
      </c>
      <c r="I281" s="38" t="s">
        <v>5</v>
      </c>
      <c r="J281" s="17" t="str">
        <f>IF(AND(B281="BT", F281 &gt; 0.03 * SUMIF(B:B, "BT", F:F)), "ITA-C", IF(AND(B281="BT", E281 &gt; 0.03 * SUMIF(B:B, "BT", E:E)), "ITA-D", ""))</f>
        <v/>
      </c>
    </row>
    <row r="282" spans="1:10" x14ac:dyDescent="0.3">
      <c r="A282" s="133">
        <v>281</v>
      </c>
      <c r="B282" s="40" t="s">
        <v>47</v>
      </c>
      <c r="C282" s="41">
        <v>45742</v>
      </c>
      <c r="D282" s="41" t="s">
        <v>53</v>
      </c>
      <c r="E282" s="42">
        <v>10000</v>
      </c>
      <c r="F282" s="42"/>
      <c r="G282" s="42">
        <v>73395.149999999994</v>
      </c>
      <c r="H282" s="44" t="s">
        <v>18</v>
      </c>
      <c r="I282" s="43" t="s">
        <v>18</v>
      </c>
      <c r="J282" s="17" t="str">
        <f>IF(AND(B282="BT", F282 &gt; 0.03 * SUMIF(B:B, "BT", F:F)), "ITA-C", IF(AND(B282="BT", E282 &gt; 0.03 * SUMIF(B:B, "BT", E:E)), "ITA-D", ""))</f>
        <v/>
      </c>
    </row>
    <row r="283" spans="1:10" x14ac:dyDescent="0.3">
      <c r="A283" s="153">
        <v>282</v>
      </c>
      <c r="B283" s="35" t="s">
        <v>48</v>
      </c>
      <c r="C283" s="36">
        <v>45742</v>
      </c>
      <c r="D283" s="36" t="s">
        <v>273</v>
      </c>
      <c r="E283" s="37"/>
      <c r="F283" s="37">
        <v>279810</v>
      </c>
      <c r="G283" s="37">
        <v>353205.15</v>
      </c>
      <c r="H283" s="39" t="s">
        <v>7</v>
      </c>
      <c r="I283" s="38" t="s">
        <v>7</v>
      </c>
      <c r="J283" s="17" t="str">
        <f>IF(AND(B283="BT", F283 &gt; 0.03 * SUMIF(B:B, "BT", F:F)), "ITA-C", IF(AND(B283="BT", E283 &gt; 0.03 * SUMIF(B:B, "BT", E:E)), "ITA-D", ""))</f>
        <v/>
      </c>
    </row>
    <row r="284" spans="1:10" x14ac:dyDescent="0.3">
      <c r="A284" s="153">
        <v>283</v>
      </c>
      <c r="B284" s="154" t="s">
        <v>48</v>
      </c>
      <c r="C284" s="36">
        <v>45742</v>
      </c>
      <c r="D284" s="36" t="s">
        <v>275</v>
      </c>
      <c r="E284" s="37"/>
      <c r="F284" s="37">
        <v>125063</v>
      </c>
      <c r="G284" s="37">
        <v>478268.15</v>
      </c>
      <c r="H284" s="39" t="s">
        <v>10</v>
      </c>
      <c r="I284" s="38" t="s">
        <v>10</v>
      </c>
      <c r="J284" s="17" t="str">
        <f>IF(AND(B284="BT", F284 &gt; 0.03 * SUMIF(B:B, "BT", F:F)), "ITA-C", IF(AND(B284="BT", E284 &gt; 0.03 * SUMIF(B:B, "BT", E:E)), "ITA-D", ""))</f>
        <v/>
      </c>
    </row>
    <row r="285" spans="1:10" x14ac:dyDescent="0.3">
      <c r="A285" s="18">
        <v>284</v>
      </c>
      <c r="B285" s="19" t="s">
        <v>41</v>
      </c>
      <c r="C285" s="20">
        <v>45742</v>
      </c>
      <c r="D285" s="20" t="s">
        <v>234</v>
      </c>
      <c r="E285" s="21">
        <v>300000</v>
      </c>
      <c r="F285" s="21"/>
      <c r="G285" s="21">
        <v>178268.15</v>
      </c>
      <c r="H285" s="23" t="s">
        <v>6</v>
      </c>
      <c r="I285" s="22" t="s">
        <v>6</v>
      </c>
      <c r="J285" s="17" t="str">
        <f>IF(AND(B285="BT", F285 &gt; 0.03 * SUMIF(B:B, "BT", F:F)), "ITA-C", IF(AND(B285="BT", E285 &gt; 0.03 * SUMIF(B:B, "BT", E:E)), "ITA-D", ""))</f>
        <v/>
      </c>
    </row>
    <row r="286" spans="1:10" x14ac:dyDescent="0.3">
      <c r="A286" s="18">
        <v>285</v>
      </c>
      <c r="B286" s="19" t="s">
        <v>41</v>
      </c>
      <c r="C286" s="20">
        <v>45742</v>
      </c>
      <c r="D286" s="20" t="s">
        <v>235</v>
      </c>
      <c r="E286" s="21">
        <v>150000</v>
      </c>
      <c r="F286" s="21"/>
      <c r="G286" s="21">
        <v>28268.15</v>
      </c>
      <c r="H286" s="23" t="s">
        <v>13</v>
      </c>
      <c r="I286" s="22" t="s">
        <v>13</v>
      </c>
      <c r="J286" s="17" t="str">
        <f>IF(AND(B286="BT", F286 &gt; 0.03 * SUMIF(B:B, "BT", F:F)), "ITA-C", IF(AND(B286="BT", E286 &gt; 0.03 * SUMIF(B:B, "BT", E:E)), "ITA-D", ""))</f>
        <v/>
      </c>
    </row>
    <row r="287" spans="1:10" x14ac:dyDescent="0.3">
      <c r="A287" s="153">
        <v>286</v>
      </c>
      <c r="B287" s="35" t="s">
        <v>48</v>
      </c>
      <c r="C287" s="36">
        <v>45743</v>
      </c>
      <c r="D287" s="36" t="s">
        <v>270</v>
      </c>
      <c r="E287" s="37"/>
      <c r="F287" s="37">
        <v>50000</v>
      </c>
      <c r="G287" s="37">
        <v>78268.149999999994</v>
      </c>
      <c r="H287" s="39" t="s">
        <v>10</v>
      </c>
      <c r="I287" s="38" t="s">
        <v>10</v>
      </c>
      <c r="J287" s="17" t="str">
        <f>IF(AND(B287="BT", F287 &gt; 0.03 * SUMIF(B:B, "BT", F:F)), "ITA-C", IF(AND(B287="BT", E287 &gt; 0.03 * SUMIF(B:B, "BT", E:E)), "ITA-D", ""))</f>
        <v/>
      </c>
    </row>
    <row r="288" spans="1:10" x14ac:dyDescent="0.3">
      <c r="A288" s="153">
        <v>287</v>
      </c>
      <c r="B288" s="154" t="s">
        <v>48</v>
      </c>
      <c r="C288" s="36">
        <v>45743</v>
      </c>
      <c r="D288" s="36" t="s">
        <v>272</v>
      </c>
      <c r="E288" s="37">
        <v>50000</v>
      </c>
      <c r="F288" s="37"/>
      <c r="G288" s="37">
        <v>28268.15</v>
      </c>
      <c r="H288" s="39" t="s">
        <v>25</v>
      </c>
      <c r="I288" s="38" t="s">
        <v>25</v>
      </c>
      <c r="J288" s="17" t="str">
        <f>IF(AND(B288="BT", F288 &gt; 0.03 * SUMIF(B:B, "BT", F:F)), "ITA-C", IF(AND(B288="BT", E288 &gt; 0.03 * SUMIF(B:B, "BT", E:E)), "ITA-D", ""))</f>
        <v/>
      </c>
    </row>
    <row r="289" spans="1:10" x14ac:dyDescent="0.3">
      <c r="A289" s="18">
        <v>288</v>
      </c>
      <c r="B289" s="24" t="s">
        <v>39</v>
      </c>
      <c r="C289" s="25">
        <v>45743</v>
      </c>
      <c r="D289" s="25" t="s">
        <v>260</v>
      </c>
      <c r="E289" s="26">
        <v>10000</v>
      </c>
      <c r="F289" s="26"/>
      <c r="G289" s="26">
        <v>18268.150000000001</v>
      </c>
      <c r="H289" s="28" t="s">
        <v>12</v>
      </c>
      <c r="I289" s="27" t="s">
        <v>12</v>
      </c>
      <c r="J289" s="17" t="str">
        <f>IF(AND(B289="BT", F289 &gt; 0.03 * SUMIF(B:B, "BT", F:F)), "ITA-C", IF(AND(B289="BT", E289 &gt; 0.03 * SUMIF(B:B, "BT", E:E)), "ITA-D", ""))</f>
        <v/>
      </c>
    </row>
    <row r="290" spans="1:10" x14ac:dyDescent="0.3">
      <c r="A290" s="18">
        <v>289</v>
      </c>
      <c r="B290" s="19" t="s">
        <v>41</v>
      </c>
      <c r="C290" s="20">
        <v>45743</v>
      </c>
      <c r="D290" s="20" t="s">
        <v>221</v>
      </c>
      <c r="E290" s="21"/>
      <c r="F290" s="21">
        <v>30700</v>
      </c>
      <c r="G290" s="21">
        <v>48968.15</v>
      </c>
      <c r="H290" s="23" t="s">
        <v>5</v>
      </c>
      <c r="I290" s="22" t="s">
        <v>5</v>
      </c>
      <c r="J290" s="17" t="str">
        <f>IF(AND(B290="BT", F290 &gt; 0.03 * SUMIF(B:B, "BT", F:F)), "ITA-C", IF(AND(B290="BT", E290 &gt; 0.03 * SUMIF(B:B, "BT", E:E)), "ITA-D", ""))</f>
        <v/>
      </c>
    </row>
    <row r="291" spans="1:10" x14ac:dyDescent="0.3">
      <c r="A291" s="153">
        <v>290</v>
      </c>
      <c r="B291" s="35" t="s">
        <v>48</v>
      </c>
      <c r="C291" s="36">
        <v>45743</v>
      </c>
      <c r="D291" s="36" t="s">
        <v>273</v>
      </c>
      <c r="E291" s="37"/>
      <c r="F291" s="37">
        <v>30450</v>
      </c>
      <c r="G291" s="37">
        <v>79418.149999999994</v>
      </c>
      <c r="H291" s="39" t="s">
        <v>5</v>
      </c>
      <c r="I291" s="38" t="s">
        <v>5</v>
      </c>
      <c r="J291" s="17" t="str">
        <f>IF(AND(B291="BT", F291 &gt; 0.03 * SUMIF(B:B, "BT", F:F)), "ITA-C", IF(AND(B291="BT", E291 &gt; 0.03 * SUMIF(B:B, "BT", E:E)), "ITA-D", ""))</f>
        <v/>
      </c>
    </row>
    <row r="292" spans="1:10" x14ac:dyDescent="0.3">
      <c r="A292" s="18">
        <v>291</v>
      </c>
      <c r="B292" s="19" t="s">
        <v>41</v>
      </c>
      <c r="C292" s="20">
        <v>45743</v>
      </c>
      <c r="D292" s="20" t="s">
        <v>232</v>
      </c>
      <c r="E292" s="21"/>
      <c r="F292" s="21">
        <v>50000</v>
      </c>
      <c r="G292" s="21">
        <v>129418.15</v>
      </c>
      <c r="H292" s="23" t="s">
        <v>8</v>
      </c>
      <c r="I292" s="22" t="s">
        <v>8</v>
      </c>
      <c r="J292" s="17" t="str">
        <f>IF(AND(B292="BT", F292 &gt; 0.03 * SUMIF(B:B, "BT", F:F)), "ITA-C", IF(AND(B292="BT", E292 &gt; 0.03 * SUMIF(B:B, "BT", E:E)), "ITA-D", ""))</f>
        <v/>
      </c>
    </row>
    <row r="293" spans="1:10" x14ac:dyDescent="0.3">
      <c r="A293" s="153">
        <v>292</v>
      </c>
      <c r="B293" s="154" t="s">
        <v>48</v>
      </c>
      <c r="C293" s="36">
        <v>45744</v>
      </c>
      <c r="D293" s="36" t="s">
        <v>272</v>
      </c>
      <c r="E293" s="37">
        <v>9000</v>
      </c>
      <c r="F293" s="37"/>
      <c r="G293" s="37">
        <v>120418.15</v>
      </c>
      <c r="H293" s="39" t="s">
        <v>25</v>
      </c>
      <c r="I293" s="38" t="s">
        <v>25</v>
      </c>
      <c r="J293" s="17" t="str">
        <f>IF(AND(B293="BT", F293 &gt; 0.03 * SUMIF(B:B, "BT", F:F)), "ITA-C", IF(AND(B293="BT", E293 &gt; 0.03 * SUMIF(B:B, "BT", E:E)), "ITA-D", ""))</f>
        <v/>
      </c>
    </row>
    <row r="294" spans="1:10" x14ac:dyDescent="0.3">
      <c r="A294" s="153">
        <v>293</v>
      </c>
      <c r="B294" s="35" t="s">
        <v>48</v>
      </c>
      <c r="C294" s="36">
        <v>45744</v>
      </c>
      <c r="D294" s="36" t="s">
        <v>271</v>
      </c>
      <c r="E294" s="37"/>
      <c r="F294" s="37">
        <v>34000</v>
      </c>
      <c r="G294" s="37">
        <v>154418.15</v>
      </c>
      <c r="H294" s="39" t="s">
        <v>10</v>
      </c>
      <c r="I294" s="38" t="s">
        <v>10</v>
      </c>
      <c r="J294" s="17" t="str">
        <f>IF(AND(B294="BT", F294 &gt; 0.03 * SUMIF(B:B, "BT", F:F)), "ITA-C", IF(AND(B294="BT", E294 &gt; 0.03 * SUMIF(B:B, "BT", E:E)), "ITA-D", ""))</f>
        <v/>
      </c>
    </row>
    <row r="295" spans="1:10" x14ac:dyDescent="0.3">
      <c r="A295" s="18">
        <v>294</v>
      </c>
      <c r="B295" s="19" t="s">
        <v>41</v>
      </c>
      <c r="C295" s="20">
        <v>45744</v>
      </c>
      <c r="D295" s="20" t="s">
        <v>233</v>
      </c>
      <c r="E295" s="21">
        <v>152196</v>
      </c>
      <c r="F295" s="21"/>
      <c r="G295" s="21">
        <v>2222.15</v>
      </c>
      <c r="H295" s="23" t="s">
        <v>26</v>
      </c>
      <c r="I295" s="22" t="s">
        <v>26</v>
      </c>
      <c r="J295" s="17" t="str">
        <f>IF(AND(B295="BT", F295 &gt; 0.03 * SUMIF(B:B, "BT", F:F)), "ITA-C", IF(AND(B295="BT", E295 &gt; 0.03 * SUMIF(B:B, "BT", E:E)), "ITA-D", ""))</f>
        <v/>
      </c>
    </row>
    <row r="296" spans="1:10" x14ac:dyDescent="0.3">
      <c r="A296" s="18">
        <v>295</v>
      </c>
      <c r="B296" s="24" t="s">
        <v>39</v>
      </c>
      <c r="C296" s="25">
        <v>45744</v>
      </c>
      <c r="D296" s="6" t="s">
        <v>258</v>
      </c>
      <c r="E296" s="26">
        <v>5.9</v>
      </c>
      <c r="F296" s="26"/>
      <c r="G296" s="26">
        <v>2216.25</v>
      </c>
      <c r="H296" s="28" t="s">
        <v>24</v>
      </c>
      <c r="I296" s="27" t="s">
        <v>24</v>
      </c>
      <c r="J296" s="17" t="str">
        <f>IF(AND(B296="BT", F296 &gt; 0.03 * SUMIF(B:B, "BT", F:F)), "ITA-C", IF(AND(B296="BT", E296 &gt; 0.03 * SUMIF(B:B, "BT", E:E)), "ITA-D", ""))</f>
        <v/>
      </c>
    </row>
    <row r="297" spans="1:10" x14ac:dyDescent="0.3">
      <c r="A297" s="18">
        <v>296</v>
      </c>
      <c r="B297" s="24" t="s">
        <v>39</v>
      </c>
      <c r="C297" s="25">
        <v>45746</v>
      </c>
      <c r="D297" s="6" t="s">
        <v>258</v>
      </c>
      <c r="E297" s="26">
        <v>5.9</v>
      </c>
      <c r="F297" s="26"/>
      <c r="G297" s="26">
        <v>2210.35</v>
      </c>
      <c r="H297" s="28" t="s">
        <v>24</v>
      </c>
      <c r="I297" s="27" t="s">
        <v>24</v>
      </c>
      <c r="J297" s="17" t="str">
        <f>IF(AND(B297="BT", F297 &gt; 0.03 * SUMIF(B:B, "BT", F:F)), "ITA-C", IF(AND(B297="BT", E297 &gt; 0.03 * SUMIF(B:B, "BT", E:E)), "ITA-D", ""))</f>
        <v/>
      </c>
    </row>
    <row r="298" spans="1:10" x14ac:dyDescent="0.3">
      <c r="A298" s="18">
        <v>297</v>
      </c>
      <c r="B298" s="24" t="s">
        <v>39</v>
      </c>
      <c r="C298" s="25">
        <v>45746</v>
      </c>
      <c r="D298" s="6" t="s">
        <v>258</v>
      </c>
      <c r="E298" s="26">
        <v>5.9</v>
      </c>
      <c r="F298" s="26"/>
      <c r="G298" s="26">
        <v>2204.4499999999998</v>
      </c>
      <c r="H298" s="28" t="s">
        <v>24</v>
      </c>
      <c r="I298" s="27" t="s">
        <v>24</v>
      </c>
      <c r="J298" s="17" t="str">
        <f>IF(AND(B298="BT", F298 &gt; 0.03 * SUMIF(B:B, "BT", F:F)), "ITA-C", IF(AND(B298="BT", E298 &gt; 0.03 * SUMIF(B:B, "BT", E:E)), "ITA-D", ""))</f>
        <v/>
      </c>
    </row>
    <row r="299" spans="1:10" x14ac:dyDescent="0.3">
      <c r="A299" s="18">
        <v>298</v>
      </c>
      <c r="B299" s="19" t="s">
        <v>41</v>
      </c>
      <c r="C299" s="20">
        <v>45747</v>
      </c>
      <c r="D299" s="20" t="s">
        <v>232</v>
      </c>
      <c r="E299" s="21"/>
      <c r="F299" s="21">
        <v>60000</v>
      </c>
      <c r="G299" s="21">
        <v>62204.45</v>
      </c>
      <c r="H299" s="23" t="s">
        <v>8</v>
      </c>
      <c r="I299" s="22" t="s">
        <v>8</v>
      </c>
      <c r="J299" s="17" t="str">
        <f>IF(AND(B299="BT", F299 &gt; 0.03 * SUMIF(B:B, "BT", F:F)), "ITA-C", IF(AND(B299="BT", E299 &gt; 0.03 * SUMIF(B:B, "BT", E:E)), "ITA-D", ""))</f>
        <v/>
      </c>
    </row>
    <row r="300" spans="1:10" x14ac:dyDescent="0.3">
      <c r="A300" s="18">
        <v>299</v>
      </c>
      <c r="B300" s="19" t="s">
        <v>41</v>
      </c>
      <c r="C300" s="20">
        <v>45747</v>
      </c>
      <c r="D300" s="20" t="s">
        <v>193</v>
      </c>
      <c r="E300" s="21"/>
      <c r="F300" s="21">
        <v>51802</v>
      </c>
      <c r="G300" s="21">
        <v>114006.45</v>
      </c>
      <c r="H300" s="23" t="s">
        <v>5</v>
      </c>
      <c r="I300" s="22" t="s">
        <v>5</v>
      </c>
      <c r="J300" s="17" t="str">
        <f>IF(AND(B300="BT", F300 &gt; 0.03 * SUMIF(B:B, "BT", F:F)), "ITA-C", IF(AND(B300="BT", E300 &gt; 0.03 * SUMIF(B:B, "BT", E:E)), "ITA-D", ""))</f>
        <v/>
      </c>
    </row>
    <row r="301" spans="1:10" x14ac:dyDescent="0.3">
      <c r="A301" s="153">
        <v>300</v>
      </c>
      <c r="B301" s="154" t="s">
        <v>48</v>
      </c>
      <c r="C301" s="36">
        <v>45747</v>
      </c>
      <c r="D301" s="36" t="s">
        <v>272</v>
      </c>
      <c r="E301" s="37">
        <v>50000</v>
      </c>
      <c r="F301" s="37"/>
      <c r="G301" s="37">
        <v>64006.45</v>
      </c>
      <c r="H301" s="39" t="s">
        <v>25</v>
      </c>
      <c r="I301" s="38" t="s">
        <v>25</v>
      </c>
      <c r="J301" s="17" t="str">
        <f>IF(AND(B301="BT", F301 &gt; 0.03 * SUMIF(B:B, "BT", F:F)), "ITA-C", IF(AND(B301="BT", E301 &gt; 0.03 * SUMIF(B:B, "BT", E:E)), "ITA-D", ""))</f>
        <v/>
      </c>
    </row>
    <row r="302" spans="1:10" x14ac:dyDescent="0.3">
      <c r="A302" s="18">
        <v>301</v>
      </c>
      <c r="B302" s="19" t="s">
        <v>41</v>
      </c>
      <c r="C302" s="20">
        <v>45748</v>
      </c>
      <c r="D302" s="20" t="s">
        <v>216</v>
      </c>
      <c r="E302" s="21">
        <v>50000</v>
      </c>
      <c r="F302" s="21"/>
      <c r="G302" s="21">
        <v>14006.45</v>
      </c>
      <c r="H302" s="23" t="s">
        <v>13</v>
      </c>
      <c r="I302" s="22" t="s">
        <v>13</v>
      </c>
      <c r="J302" s="17" t="str">
        <f>IF(AND(B302="BT", F302 &gt; 0.03 * SUMIF(B:B, "BT", F:F)), "ITA-C", IF(AND(B302="BT", E302 &gt; 0.03 * SUMIF(B:B, "BT", E:E)), "ITA-D", ""))</f>
        <v/>
      </c>
    </row>
    <row r="303" spans="1:10" x14ac:dyDescent="0.3">
      <c r="A303" s="18">
        <v>302</v>
      </c>
      <c r="B303" s="19" t="s">
        <v>41</v>
      </c>
      <c r="C303" s="20">
        <v>45748</v>
      </c>
      <c r="D303" s="20" t="s">
        <v>221</v>
      </c>
      <c r="E303" s="21"/>
      <c r="F303" s="21">
        <v>300000</v>
      </c>
      <c r="G303" s="21">
        <v>314006.45</v>
      </c>
      <c r="H303" s="23" t="s">
        <v>5</v>
      </c>
      <c r="I303" s="22" t="s">
        <v>5</v>
      </c>
      <c r="J303" s="17" t="str">
        <f>IF(AND(B303="BT", F303 &gt; 0.03 * SUMIF(B:B, "BT", F:F)), "ITA-C", IF(AND(B303="BT", E303 &gt; 0.03 * SUMIF(B:B, "BT", E:E)), "ITA-D", ""))</f>
        <v/>
      </c>
    </row>
    <row r="304" spans="1:10" x14ac:dyDescent="0.3">
      <c r="A304" s="18">
        <v>303</v>
      </c>
      <c r="B304" s="19" t="s">
        <v>41</v>
      </c>
      <c r="C304" s="20">
        <v>45748</v>
      </c>
      <c r="D304" s="20" t="s">
        <v>216</v>
      </c>
      <c r="E304" s="21">
        <v>50000</v>
      </c>
      <c r="F304" s="21"/>
      <c r="G304" s="21">
        <v>264006.45</v>
      </c>
      <c r="H304" s="23" t="s">
        <v>13</v>
      </c>
      <c r="I304" s="22" t="s">
        <v>13</v>
      </c>
      <c r="J304" s="17" t="str">
        <f>IF(AND(B304="BT", F304 &gt; 0.03 * SUMIF(B:B, "BT", F:F)), "ITA-C", IF(AND(B304="BT", E304 &gt; 0.03 * SUMIF(B:B, "BT", E:E)), "ITA-D", ""))</f>
        <v/>
      </c>
    </row>
    <row r="305" spans="1:10" x14ac:dyDescent="0.3">
      <c r="A305" s="153">
        <v>304</v>
      </c>
      <c r="B305" s="154" t="s">
        <v>48</v>
      </c>
      <c r="C305" s="36">
        <v>45748</v>
      </c>
      <c r="D305" s="36" t="s">
        <v>272</v>
      </c>
      <c r="E305" s="37">
        <v>50000</v>
      </c>
      <c r="F305" s="37"/>
      <c r="G305" s="37">
        <v>214006.45</v>
      </c>
      <c r="H305" s="39" t="s">
        <v>13</v>
      </c>
      <c r="I305" s="38" t="s">
        <v>13</v>
      </c>
      <c r="J305" s="17" t="str">
        <f>IF(AND(B305="BT", F305 &gt; 0.03 * SUMIF(B:B, "BT", F:F)), "ITA-C", IF(AND(B305="BT", E305 &gt; 0.03 * SUMIF(B:B, "BT", E:E)), "ITA-D", ""))</f>
        <v/>
      </c>
    </row>
    <row r="306" spans="1:10" x14ac:dyDescent="0.3">
      <c r="A306" s="153">
        <v>305</v>
      </c>
      <c r="B306" s="154" t="s">
        <v>48</v>
      </c>
      <c r="C306" s="36">
        <v>45749</v>
      </c>
      <c r="D306" s="36" t="s">
        <v>275</v>
      </c>
      <c r="E306" s="37"/>
      <c r="F306" s="37">
        <v>68800</v>
      </c>
      <c r="G306" s="37">
        <v>282806.45</v>
      </c>
      <c r="H306" s="39" t="s">
        <v>10</v>
      </c>
      <c r="I306" s="38" t="s">
        <v>10</v>
      </c>
      <c r="J306" s="17" t="str">
        <f>IF(AND(B306="BT", F306 &gt; 0.03 * SUMIF(B:B, "BT", F:F)), "ITA-C", IF(AND(B306="BT", E306 &gt; 0.03 * SUMIF(B:B, "BT", E:E)), "ITA-D", ""))</f>
        <v/>
      </c>
    </row>
    <row r="307" spans="1:10" x14ac:dyDescent="0.3">
      <c r="A307" s="18">
        <v>306</v>
      </c>
      <c r="B307" s="19" t="s">
        <v>41</v>
      </c>
      <c r="C307" s="20">
        <v>45749</v>
      </c>
      <c r="D307" s="20" t="s">
        <v>204</v>
      </c>
      <c r="E307" s="21"/>
      <c r="F307" s="21">
        <v>45000</v>
      </c>
      <c r="G307" s="21">
        <v>327806.45</v>
      </c>
      <c r="H307" s="23" t="s">
        <v>28</v>
      </c>
      <c r="I307" s="22" t="s">
        <v>28</v>
      </c>
      <c r="J307" s="17" t="str">
        <f>IF(AND(B307="BT", F307 &gt; 0.03 * SUMIF(B:B, "BT", F:F)), "ITA-C", IF(AND(B307="BT", E307 &gt; 0.03 * SUMIF(B:B, "BT", E:E)), "ITA-D", ""))</f>
        <v/>
      </c>
    </row>
    <row r="308" spans="1:10" x14ac:dyDescent="0.3">
      <c r="A308" s="18">
        <v>307</v>
      </c>
      <c r="B308" s="19" t="s">
        <v>41</v>
      </c>
      <c r="C308" s="20">
        <v>45749</v>
      </c>
      <c r="D308" s="20" t="s">
        <v>198</v>
      </c>
      <c r="E308" s="21"/>
      <c r="F308" s="21">
        <v>85008</v>
      </c>
      <c r="G308" s="21">
        <v>412814.45</v>
      </c>
      <c r="H308" s="23" t="s">
        <v>5</v>
      </c>
      <c r="I308" s="22" t="s">
        <v>5</v>
      </c>
      <c r="J308" s="17" t="str">
        <f>IF(AND(B308="BT", F308 &gt; 0.03 * SUMIF(B:B, "BT", F:F)), "ITA-C", IF(AND(B308="BT", E308 &gt; 0.03 * SUMIF(B:B, "BT", E:E)), "ITA-D", ""))</f>
        <v/>
      </c>
    </row>
    <row r="309" spans="1:10" x14ac:dyDescent="0.3">
      <c r="A309" s="18">
        <v>308</v>
      </c>
      <c r="B309" s="19" t="s">
        <v>41</v>
      </c>
      <c r="C309" s="20">
        <v>45749</v>
      </c>
      <c r="D309" s="20" t="s">
        <v>239</v>
      </c>
      <c r="E309" s="21"/>
      <c r="F309" s="21">
        <v>22600</v>
      </c>
      <c r="G309" s="21">
        <v>435414.45</v>
      </c>
      <c r="H309" s="23" t="s">
        <v>19</v>
      </c>
      <c r="I309" s="22" t="s">
        <v>19</v>
      </c>
      <c r="J309" s="17" t="str">
        <f>IF(AND(B309="BT", F309 &gt; 0.03 * SUMIF(B:B, "BT", F:F)), "ITA-C", IF(AND(B309="BT", E309 &gt; 0.03 * SUMIF(B:B, "BT", E:E)), "ITA-D", ""))</f>
        <v/>
      </c>
    </row>
    <row r="310" spans="1:10" x14ac:dyDescent="0.3">
      <c r="A310" s="18">
        <v>309</v>
      </c>
      <c r="B310" s="19" t="s">
        <v>41</v>
      </c>
      <c r="C310" s="20">
        <v>45749</v>
      </c>
      <c r="D310" s="20" t="s">
        <v>186</v>
      </c>
      <c r="E310" s="21">
        <v>400000</v>
      </c>
      <c r="F310" s="21"/>
      <c r="G310" s="21">
        <v>35414.449999999997</v>
      </c>
      <c r="H310" s="23" t="s">
        <v>9</v>
      </c>
      <c r="I310" s="22" t="s">
        <v>9</v>
      </c>
      <c r="J310" s="17" t="str">
        <f>IF(AND(B310="BT", F310 &gt; 0.03 * SUMIF(B:B, "BT", F:F)), "ITA-C", IF(AND(B310="BT", E310 &gt; 0.03 * SUMIF(B:B, "BT", E:E)), "ITA-D", ""))</f>
        <v/>
      </c>
    </row>
    <row r="311" spans="1:10" x14ac:dyDescent="0.3">
      <c r="A311" s="18">
        <v>310</v>
      </c>
      <c r="B311" s="19" t="s">
        <v>41</v>
      </c>
      <c r="C311" s="20">
        <v>45749</v>
      </c>
      <c r="D311" s="20" t="s">
        <v>193</v>
      </c>
      <c r="E311" s="21"/>
      <c r="F311" s="21">
        <v>235000</v>
      </c>
      <c r="G311" s="21">
        <v>270414.45</v>
      </c>
      <c r="H311" s="23" t="s">
        <v>7</v>
      </c>
      <c r="I311" s="22" t="s">
        <v>7</v>
      </c>
      <c r="J311" s="17" t="str">
        <f>IF(AND(B311="BT", F311 &gt; 0.03 * SUMIF(B:B, "BT", F:F)), "ITA-C", IF(AND(B311="BT", E311 &gt; 0.03 * SUMIF(B:B, "BT", E:E)), "ITA-D", ""))</f>
        <v/>
      </c>
    </row>
    <row r="312" spans="1:10" x14ac:dyDescent="0.3">
      <c r="A312" s="18">
        <v>311</v>
      </c>
      <c r="B312" s="19" t="s">
        <v>41</v>
      </c>
      <c r="C312" s="20">
        <v>45749</v>
      </c>
      <c r="D312" s="20" t="s">
        <v>232</v>
      </c>
      <c r="E312" s="21"/>
      <c r="F312" s="21">
        <v>60000</v>
      </c>
      <c r="G312" s="21">
        <v>330414.45</v>
      </c>
      <c r="H312" s="23" t="s">
        <v>8</v>
      </c>
      <c r="I312" s="22" t="s">
        <v>8</v>
      </c>
      <c r="J312" s="17" t="str">
        <f>IF(AND(B312="BT", F312 &gt; 0.03 * SUMIF(B:B, "BT", F:F)), "ITA-C", IF(AND(B312="BT", E312 &gt; 0.03 * SUMIF(B:B, "BT", E:E)), "ITA-D", ""))</f>
        <v/>
      </c>
    </row>
    <row r="313" spans="1:10" x14ac:dyDescent="0.3">
      <c r="A313" s="18">
        <v>312</v>
      </c>
      <c r="B313" s="19" t="s">
        <v>41</v>
      </c>
      <c r="C313" s="20">
        <v>45749</v>
      </c>
      <c r="D313" s="20" t="s">
        <v>223</v>
      </c>
      <c r="E313" s="21">
        <v>100000</v>
      </c>
      <c r="F313" s="21"/>
      <c r="G313" s="21">
        <v>230414.45</v>
      </c>
      <c r="H313" s="23" t="s">
        <v>6</v>
      </c>
      <c r="I313" s="22" t="s">
        <v>6</v>
      </c>
      <c r="J313" s="17" t="str">
        <f>IF(AND(B313="BT", F313 &gt; 0.03 * SUMIF(B:B, "BT", F:F)), "ITA-C", IF(AND(B313="BT", E313 &gt; 0.03 * SUMIF(B:B, "BT", E:E)), "ITA-D", ""))</f>
        <v/>
      </c>
    </row>
    <row r="314" spans="1:10" x14ac:dyDescent="0.3">
      <c r="A314" s="153">
        <v>313</v>
      </c>
      <c r="B314" s="35" t="s">
        <v>48</v>
      </c>
      <c r="C314" s="36">
        <v>45749</v>
      </c>
      <c r="D314" s="36" t="s">
        <v>270</v>
      </c>
      <c r="E314" s="37">
        <v>200000</v>
      </c>
      <c r="F314" s="37"/>
      <c r="G314" s="37">
        <v>30414.45</v>
      </c>
      <c r="H314" s="39" t="s">
        <v>9</v>
      </c>
      <c r="I314" s="38" t="s">
        <v>9</v>
      </c>
      <c r="J314" s="17" t="str">
        <f>IF(AND(B314="BT", F314 &gt; 0.03 * SUMIF(B:B, "BT", F:F)), "ITA-C", IF(AND(B314="BT", E314 &gt; 0.03 * SUMIF(B:B, "BT", E:E)), "ITA-D", ""))</f>
        <v/>
      </c>
    </row>
    <row r="315" spans="1:10" x14ac:dyDescent="0.3">
      <c r="A315" s="18">
        <v>314</v>
      </c>
      <c r="B315" s="19" t="s">
        <v>41</v>
      </c>
      <c r="C315" s="20">
        <v>45750</v>
      </c>
      <c r="D315" s="20" t="s">
        <v>221</v>
      </c>
      <c r="E315" s="21"/>
      <c r="F315" s="21">
        <v>128400</v>
      </c>
      <c r="G315" s="21">
        <v>158814.45000000001</v>
      </c>
      <c r="H315" s="23" t="s">
        <v>5</v>
      </c>
      <c r="I315" s="22" t="s">
        <v>5</v>
      </c>
      <c r="J315" s="17" t="str">
        <f>IF(AND(B315="BT", F315 &gt; 0.03 * SUMIF(B:B, "BT", F:F)), "ITA-C", IF(AND(B315="BT", E315 &gt; 0.03 * SUMIF(B:B, "BT", E:E)), "ITA-D", ""))</f>
        <v/>
      </c>
    </row>
    <row r="316" spans="1:10" x14ac:dyDescent="0.3">
      <c r="A316" s="18">
        <v>315</v>
      </c>
      <c r="B316" s="19" t="s">
        <v>41</v>
      </c>
      <c r="C316" s="20">
        <v>45750</v>
      </c>
      <c r="D316" s="20" t="s">
        <v>216</v>
      </c>
      <c r="E316" s="21">
        <v>100000</v>
      </c>
      <c r="F316" s="21"/>
      <c r="G316" s="21">
        <v>58814.45</v>
      </c>
      <c r="H316" s="23" t="s">
        <v>13</v>
      </c>
      <c r="I316" s="22" t="s">
        <v>13</v>
      </c>
      <c r="J316" s="17" t="str">
        <f>IF(AND(B316="BT", F316 &gt; 0.03 * SUMIF(B:B, "BT", F:F)), "ITA-C", IF(AND(B316="BT", E316 &gt; 0.03 * SUMIF(B:B, "BT", E:E)), "ITA-D", ""))</f>
        <v/>
      </c>
    </row>
    <row r="317" spans="1:10" x14ac:dyDescent="0.3">
      <c r="A317" s="18">
        <v>316</v>
      </c>
      <c r="B317" s="19" t="s">
        <v>41</v>
      </c>
      <c r="C317" s="20">
        <v>45750</v>
      </c>
      <c r="D317" s="20" t="s">
        <v>52</v>
      </c>
      <c r="E317" s="21">
        <v>5520.76</v>
      </c>
      <c r="F317" s="21"/>
      <c r="G317" s="21">
        <v>53293.69</v>
      </c>
      <c r="H317" s="23" t="s">
        <v>6</v>
      </c>
      <c r="I317" s="22" t="s">
        <v>6</v>
      </c>
      <c r="J317" s="177" t="str">
        <f>IF(AND(B317="BT", F317 &gt; 0.03 * SUMIF(B:B, "BT", F:F)), "ITA-C", IF(AND(B317="BT", E317 &gt; 0.03 * SUMIF(B:B, "BT", E:E)), "ITA-D", ""))</f>
        <v/>
      </c>
    </row>
    <row r="318" spans="1:10" x14ac:dyDescent="0.3">
      <c r="A318" s="153">
        <v>317</v>
      </c>
      <c r="B318" s="35" t="s">
        <v>48</v>
      </c>
      <c r="C318" s="36">
        <v>45750</v>
      </c>
      <c r="D318" s="36" t="s">
        <v>271</v>
      </c>
      <c r="E318" s="37">
        <v>20000</v>
      </c>
      <c r="F318" s="37"/>
      <c r="G318" s="37">
        <v>33293.69</v>
      </c>
      <c r="H318" s="39" t="s">
        <v>15</v>
      </c>
      <c r="I318" s="38" t="s">
        <v>25</v>
      </c>
      <c r="J318" s="17" t="str">
        <f>IF(AND(B318="BT", F318 &gt; 0.03 * SUMIF(B:B, "BT", F:F)), "ITA-C", IF(AND(B318="BT", E318 &gt; 0.03 * SUMIF(B:B, "BT", E:E)), "ITA-D", ""))</f>
        <v/>
      </c>
    </row>
    <row r="319" spans="1:10" x14ac:dyDescent="0.3">
      <c r="A319" s="18">
        <v>318</v>
      </c>
      <c r="B319" s="19" t="s">
        <v>41</v>
      </c>
      <c r="C319" s="20">
        <v>45750</v>
      </c>
      <c r="D319" s="20" t="s">
        <v>193</v>
      </c>
      <c r="E319" s="21"/>
      <c r="F319" s="21">
        <v>500000</v>
      </c>
      <c r="G319" s="21">
        <v>533293.68999999994</v>
      </c>
      <c r="H319" s="23" t="s">
        <v>7</v>
      </c>
      <c r="I319" s="22" t="s">
        <v>7</v>
      </c>
      <c r="J319" s="17" t="str">
        <f>IF(AND(B319="BT", F319 &gt; 0.03 * SUMIF(B:B, "BT", F:F)), "ITA-C", IF(AND(B319="BT", E319 &gt; 0.03 * SUMIF(B:B, "BT", E:E)), "ITA-D", ""))</f>
        <v/>
      </c>
    </row>
    <row r="320" spans="1:10" x14ac:dyDescent="0.3">
      <c r="A320" s="18">
        <v>319</v>
      </c>
      <c r="B320" s="19" t="s">
        <v>41</v>
      </c>
      <c r="C320" s="20">
        <v>45750</v>
      </c>
      <c r="D320" s="20" t="s">
        <v>211</v>
      </c>
      <c r="E320" s="21">
        <v>400000</v>
      </c>
      <c r="F320" s="21"/>
      <c r="G320" s="21">
        <v>133293.69</v>
      </c>
      <c r="H320" s="23" t="s">
        <v>9</v>
      </c>
      <c r="I320" s="22" t="s">
        <v>9</v>
      </c>
      <c r="J320" s="17" t="str">
        <f>IF(AND(B320="BT", F320 &gt; 0.03 * SUMIF(B:B, "BT", F:F)), "ITA-C", IF(AND(B320="BT", E320 &gt; 0.03 * SUMIF(B:B, "BT", E:E)), "ITA-D", ""))</f>
        <v/>
      </c>
    </row>
    <row r="321" spans="1:10" x14ac:dyDescent="0.3">
      <c r="A321" s="153">
        <v>320</v>
      </c>
      <c r="B321" s="154" t="s">
        <v>48</v>
      </c>
      <c r="C321" s="36">
        <v>45750</v>
      </c>
      <c r="D321" s="36" t="s">
        <v>272</v>
      </c>
      <c r="E321" s="37">
        <v>50000</v>
      </c>
      <c r="F321" s="37"/>
      <c r="G321" s="37">
        <v>83293.69</v>
      </c>
      <c r="H321" s="39" t="s">
        <v>25</v>
      </c>
      <c r="I321" s="38" t="s">
        <v>25</v>
      </c>
      <c r="J321" s="17" t="str">
        <f>IF(AND(B321="BT", F321 &gt; 0.03 * SUMIF(B:B, "BT", F:F)), "ITA-C", IF(AND(B321="BT", E321 &gt; 0.03 * SUMIF(B:B, "BT", E:E)), "ITA-D", ""))</f>
        <v/>
      </c>
    </row>
    <row r="322" spans="1:10" x14ac:dyDescent="0.3">
      <c r="A322" s="18">
        <v>321</v>
      </c>
      <c r="B322" s="19" t="s">
        <v>41</v>
      </c>
      <c r="C322" s="20">
        <v>45750</v>
      </c>
      <c r="D322" s="20" t="s">
        <v>216</v>
      </c>
      <c r="E322" s="21">
        <v>50000</v>
      </c>
      <c r="F322" s="21"/>
      <c r="G322" s="21">
        <v>33293.69</v>
      </c>
      <c r="H322" s="23" t="s">
        <v>13</v>
      </c>
      <c r="I322" s="22" t="s">
        <v>13</v>
      </c>
      <c r="J322" s="17" t="str">
        <f>IF(AND(B322="BT", F322 &gt; 0.03 * SUMIF(B:B, "BT", F:F)), "ITA-C", IF(AND(B322="BT", E322 &gt; 0.03 * SUMIF(B:B, "BT", E:E)), "ITA-D", ""))</f>
        <v/>
      </c>
    </row>
    <row r="323" spans="1:10" x14ac:dyDescent="0.3">
      <c r="A323" s="18">
        <v>322</v>
      </c>
      <c r="B323" s="19" t="s">
        <v>41</v>
      </c>
      <c r="C323" s="20">
        <v>45751</v>
      </c>
      <c r="D323" s="20" t="s">
        <v>204</v>
      </c>
      <c r="E323" s="21"/>
      <c r="F323" s="21">
        <v>43805</v>
      </c>
      <c r="G323" s="21">
        <v>77098.69</v>
      </c>
      <c r="H323" s="23" t="s">
        <v>28</v>
      </c>
      <c r="I323" s="22" t="s">
        <v>28</v>
      </c>
      <c r="J323" s="17" t="str">
        <f>IF(AND(B323="BT", F323 &gt; 0.03 * SUMIF(B:B, "BT", F:F)), "ITA-C", IF(AND(B323="BT", E323 &gt; 0.03 * SUMIF(B:B, "BT", E:E)), "ITA-D", ""))</f>
        <v/>
      </c>
    </row>
    <row r="324" spans="1:10" x14ac:dyDescent="0.3">
      <c r="A324" s="18">
        <v>323</v>
      </c>
      <c r="B324" s="19" t="s">
        <v>41</v>
      </c>
      <c r="C324" s="20">
        <v>45751</v>
      </c>
      <c r="D324" s="20" t="s">
        <v>216</v>
      </c>
      <c r="E324" s="21">
        <v>5350</v>
      </c>
      <c r="F324" s="21"/>
      <c r="G324" s="21">
        <v>71748.69</v>
      </c>
      <c r="H324" s="23" t="s">
        <v>13</v>
      </c>
      <c r="I324" s="22" t="s">
        <v>13</v>
      </c>
      <c r="J324" s="17" t="str">
        <f>IF(AND(B324="BT", F324 &gt; 0.03 * SUMIF(B:B, "BT", F:F)), "ITA-C", IF(AND(B324="BT", E324 &gt; 0.03 * SUMIF(B:B, "BT", E:E)), "ITA-D", ""))</f>
        <v/>
      </c>
    </row>
    <row r="325" spans="1:10" x14ac:dyDescent="0.3">
      <c r="A325" s="18">
        <v>324</v>
      </c>
      <c r="B325" s="19" t="s">
        <v>41</v>
      </c>
      <c r="C325" s="20">
        <v>45751</v>
      </c>
      <c r="D325" s="20" t="s">
        <v>232</v>
      </c>
      <c r="E325" s="21"/>
      <c r="F325" s="21">
        <v>50000</v>
      </c>
      <c r="G325" s="21">
        <v>121748.69</v>
      </c>
      <c r="H325" s="23" t="s">
        <v>8</v>
      </c>
      <c r="I325" s="22" t="s">
        <v>8</v>
      </c>
      <c r="J325" s="17" t="str">
        <f>IF(AND(B325="BT", F325 &gt; 0.03 * SUMIF(B:B, "BT", F:F)), "ITA-C", IF(AND(B325="BT", E325 &gt; 0.03 * SUMIF(B:B, "BT", E:E)), "ITA-D", ""))</f>
        <v/>
      </c>
    </row>
    <row r="326" spans="1:10" x14ac:dyDescent="0.3">
      <c r="A326" s="153">
        <v>325</v>
      </c>
      <c r="B326" s="35" t="s">
        <v>48</v>
      </c>
      <c r="C326" s="36">
        <v>45751</v>
      </c>
      <c r="D326" s="36" t="s">
        <v>271</v>
      </c>
      <c r="E326" s="37">
        <v>15000</v>
      </c>
      <c r="F326" s="37"/>
      <c r="G326" s="37">
        <v>106748.69</v>
      </c>
      <c r="H326" s="39" t="s">
        <v>25</v>
      </c>
      <c r="I326" s="38" t="s">
        <v>25</v>
      </c>
      <c r="J326" s="17" t="str">
        <f>IF(AND(B326="BT", F326 &gt; 0.03 * SUMIF(B:B, "BT", F:F)), "ITA-C", IF(AND(B326="BT", E326 &gt; 0.03 * SUMIF(B:B, "BT", E:E)), "ITA-D", ""))</f>
        <v/>
      </c>
    </row>
    <row r="327" spans="1:10" x14ac:dyDescent="0.3">
      <c r="A327" s="133">
        <v>326</v>
      </c>
      <c r="B327" s="40" t="s">
        <v>47</v>
      </c>
      <c r="C327" s="41">
        <v>45752</v>
      </c>
      <c r="D327" s="41" t="s">
        <v>243</v>
      </c>
      <c r="E327" s="42">
        <v>37200</v>
      </c>
      <c r="F327" s="42"/>
      <c r="G327" s="42">
        <v>69548.69</v>
      </c>
      <c r="H327" s="44" t="s">
        <v>18</v>
      </c>
      <c r="I327" s="43" t="s">
        <v>18</v>
      </c>
      <c r="J327" s="17" t="str">
        <f>IF(AND(B327="BT", F327 &gt; 0.03 * SUMIF(B:B, "BT", F:F)), "ITA-C", IF(AND(B327="BT", E327 &gt; 0.03 * SUMIF(B:B, "BT", E:E)), "ITA-D", ""))</f>
        <v/>
      </c>
    </row>
    <row r="328" spans="1:10" x14ac:dyDescent="0.3">
      <c r="A328" s="153">
        <v>327</v>
      </c>
      <c r="B328" s="35" t="s">
        <v>48</v>
      </c>
      <c r="C328" s="36">
        <v>45752</v>
      </c>
      <c r="D328" s="36" t="s">
        <v>276</v>
      </c>
      <c r="E328" s="37">
        <v>6000</v>
      </c>
      <c r="F328" s="37"/>
      <c r="G328" s="37">
        <v>63548.69</v>
      </c>
      <c r="H328" s="39" t="s">
        <v>6</v>
      </c>
      <c r="I328" s="38" t="s">
        <v>6</v>
      </c>
      <c r="J328" s="17" t="str">
        <f>IF(AND(B328="BT", F328 &gt; 0.03 * SUMIF(B:B, "BT", F:F)), "ITA-C", IF(AND(B328="BT", E328 &gt; 0.03 * SUMIF(B:B, "BT", E:E)), "ITA-D", ""))</f>
        <v/>
      </c>
    </row>
    <row r="329" spans="1:10" x14ac:dyDescent="0.3">
      <c r="A329" s="18">
        <v>328</v>
      </c>
      <c r="B329" s="19" t="s">
        <v>41</v>
      </c>
      <c r="C329" s="20">
        <v>45752</v>
      </c>
      <c r="D329" s="20" t="s">
        <v>216</v>
      </c>
      <c r="E329" s="21">
        <v>50000</v>
      </c>
      <c r="F329" s="21"/>
      <c r="G329" s="21">
        <v>13548.69</v>
      </c>
      <c r="H329" s="23" t="s">
        <v>13</v>
      </c>
      <c r="I329" s="22" t="s">
        <v>13</v>
      </c>
      <c r="J329" s="17" t="str">
        <f>IF(AND(B329="BT", F329 &gt; 0.03 * SUMIF(B:B, "BT", F:F)), "ITA-C", IF(AND(B329="BT", E329 &gt; 0.03 * SUMIF(B:B, "BT", E:E)), "ITA-D", ""))</f>
        <v/>
      </c>
    </row>
    <row r="330" spans="1:10" x14ac:dyDescent="0.3">
      <c r="A330" s="18">
        <v>329</v>
      </c>
      <c r="B330" s="19" t="s">
        <v>41</v>
      </c>
      <c r="C330" s="20">
        <v>45753</v>
      </c>
      <c r="D330" s="20" t="s">
        <v>192</v>
      </c>
      <c r="E330" s="21"/>
      <c r="F330" s="21">
        <v>75000</v>
      </c>
      <c r="G330" s="21">
        <v>88548.69</v>
      </c>
      <c r="H330" s="23" t="s">
        <v>8</v>
      </c>
      <c r="I330" s="22" t="s">
        <v>8</v>
      </c>
      <c r="J330" s="17" t="str">
        <f>IF(AND(B330="BT", F330 &gt; 0.03 * SUMIF(B:B, "BT", F:F)), "ITA-C", IF(AND(B330="BT", E330 &gt; 0.03 * SUMIF(B:B, "BT", E:E)), "ITA-D", ""))</f>
        <v/>
      </c>
    </row>
    <row r="331" spans="1:10" x14ac:dyDescent="0.3">
      <c r="A331" s="18">
        <v>330</v>
      </c>
      <c r="B331" s="19" t="s">
        <v>41</v>
      </c>
      <c r="C331" s="20">
        <v>45754</v>
      </c>
      <c r="D331" s="20" t="s">
        <v>52</v>
      </c>
      <c r="E331" s="21"/>
      <c r="F331" s="21">
        <v>1</v>
      </c>
      <c r="G331" s="21">
        <v>88549.69</v>
      </c>
      <c r="H331" s="23" t="s">
        <v>10</v>
      </c>
      <c r="I331" s="22" t="s">
        <v>10</v>
      </c>
      <c r="J331" s="177" t="str">
        <f>IF(AND(B331="BT", F331 &gt; 0.03 * SUMIF(B:B, "BT", F:F)), "ITA-C", IF(AND(B331="BT", E331 &gt; 0.03 * SUMIF(B:B, "BT", E:E)), "ITA-D", ""))</f>
        <v/>
      </c>
    </row>
    <row r="332" spans="1:10" x14ac:dyDescent="0.3">
      <c r="A332" s="18">
        <v>331</v>
      </c>
      <c r="B332" s="45" t="s">
        <v>39</v>
      </c>
      <c r="C332" s="46">
        <v>45754</v>
      </c>
      <c r="D332" s="46" t="s">
        <v>261</v>
      </c>
      <c r="E332" s="47">
        <v>413</v>
      </c>
      <c r="F332" s="47"/>
      <c r="G332" s="47">
        <v>88136.69</v>
      </c>
      <c r="H332" s="49" t="s">
        <v>24</v>
      </c>
      <c r="I332" s="48" t="s">
        <v>24</v>
      </c>
      <c r="J332" s="17" t="str">
        <f>IF(AND(B332="BT", F332 &gt; 0.03 * SUMIF(B:B, "BT", F:F)), "ITA-C", IF(AND(B332="BT", E332 &gt; 0.03 * SUMIF(B:B, "BT", E:E)), "ITA-D", ""))</f>
        <v/>
      </c>
    </row>
    <row r="333" spans="1:10" x14ac:dyDescent="0.3">
      <c r="A333" s="18">
        <v>332</v>
      </c>
      <c r="B333" s="24" t="s">
        <v>39</v>
      </c>
      <c r="C333" s="25">
        <v>45754</v>
      </c>
      <c r="D333" s="6" t="s">
        <v>258</v>
      </c>
      <c r="E333" s="26">
        <v>5.9</v>
      </c>
      <c r="F333" s="26"/>
      <c r="G333" s="26">
        <v>88130.79</v>
      </c>
      <c r="H333" s="28" t="s">
        <v>24</v>
      </c>
      <c r="I333" s="27" t="s">
        <v>24</v>
      </c>
      <c r="J333" s="17" t="str">
        <f>IF(AND(B333="BT", F333 &gt; 0.03 * SUMIF(B:B, "BT", F:F)), "ITA-C", IF(AND(B333="BT", E333 &gt; 0.03 * SUMIF(B:B, "BT", E:E)), "ITA-D", ""))</f>
        <v/>
      </c>
    </row>
    <row r="334" spans="1:10" x14ac:dyDescent="0.3">
      <c r="A334" s="18">
        <v>333</v>
      </c>
      <c r="B334" s="24" t="s">
        <v>39</v>
      </c>
      <c r="C334" s="25">
        <v>45754</v>
      </c>
      <c r="D334" s="6" t="s">
        <v>258</v>
      </c>
      <c r="E334" s="26">
        <v>5.9</v>
      </c>
      <c r="F334" s="26"/>
      <c r="G334" s="26">
        <v>88124.89</v>
      </c>
      <c r="H334" s="28" t="s">
        <v>24</v>
      </c>
      <c r="I334" s="27" t="s">
        <v>24</v>
      </c>
      <c r="J334" s="17" t="str">
        <f>IF(AND(B334="BT", F334 &gt; 0.03 * SUMIF(B:B, "BT", F:F)), "ITA-C", IF(AND(B334="BT", E334 &gt; 0.03 * SUMIF(B:B, "BT", E:E)), "ITA-D", ""))</f>
        <v/>
      </c>
    </row>
    <row r="335" spans="1:10" x14ac:dyDescent="0.3">
      <c r="A335" s="18">
        <v>334</v>
      </c>
      <c r="B335" s="24" t="s">
        <v>39</v>
      </c>
      <c r="C335" s="25">
        <v>45754</v>
      </c>
      <c r="D335" s="6" t="s">
        <v>258</v>
      </c>
      <c r="E335" s="26">
        <v>5.9</v>
      </c>
      <c r="F335" s="26"/>
      <c r="G335" s="26">
        <v>88118.99</v>
      </c>
      <c r="H335" s="28" t="s">
        <v>24</v>
      </c>
      <c r="I335" s="27" t="s">
        <v>24</v>
      </c>
      <c r="J335" s="17" t="str">
        <f>IF(AND(B335="BT", F335 &gt; 0.03 * SUMIF(B:B, "BT", F:F)), "ITA-C", IF(AND(B335="BT", E335 &gt; 0.03 * SUMIF(B:B, "BT", E:E)), "ITA-D", ""))</f>
        <v/>
      </c>
    </row>
    <row r="336" spans="1:10" x14ac:dyDescent="0.3">
      <c r="A336" s="18">
        <v>335</v>
      </c>
      <c r="B336" s="24" t="s">
        <v>39</v>
      </c>
      <c r="C336" s="25">
        <v>45754</v>
      </c>
      <c r="D336" s="6" t="s">
        <v>258</v>
      </c>
      <c r="E336" s="26">
        <v>5.9</v>
      </c>
      <c r="F336" s="26"/>
      <c r="G336" s="26">
        <v>88113.09</v>
      </c>
      <c r="H336" s="28" t="s">
        <v>24</v>
      </c>
      <c r="I336" s="27" t="s">
        <v>24</v>
      </c>
      <c r="J336" s="17" t="str">
        <f>IF(AND(B336="BT", F336 &gt; 0.03 * SUMIF(B:B, "BT", F:F)), "ITA-C", IF(AND(B336="BT", E336 &gt; 0.03 * SUMIF(B:B, "BT", E:E)), "ITA-D", ""))</f>
        <v/>
      </c>
    </row>
    <row r="337" spans="1:10" x14ac:dyDescent="0.3">
      <c r="A337" s="18">
        <v>336</v>
      </c>
      <c r="B337" s="24" t="s">
        <v>39</v>
      </c>
      <c r="C337" s="25">
        <v>45754</v>
      </c>
      <c r="D337" s="6" t="s">
        <v>258</v>
      </c>
      <c r="E337" s="26">
        <v>5.9</v>
      </c>
      <c r="F337" s="26"/>
      <c r="G337" s="26">
        <v>88107.19</v>
      </c>
      <c r="H337" s="28" t="s">
        <v>24</v>
      </c>
      <c r="I337" s="27" t="s">
        <v>24</v>
      </c>
      <c r="J337" s="17" t="str">
        <f>IF(AND(B337="BT", F337 &gt; 0.03 * SUMIF(B:B, "BT", F:F)), "ITA-C", IF(AND(B337="BT", E337 &gt; 0.03 * SUMIF(B:B, "BT", E:E)), "ITA-D", ""))</f>
        <v/>
      </c>
    </row>
    <row r="338" spans="1:10" x14ac:dyDescent="0.3">
      <c r="A338" s="18">
        <v>337</v>
      </c>
      <c r="B338" s="24" t="s">
        <v>39</v>
      </c>
      <c r="C338" s="25">
        <v>45754</v>
      </c>
      <c r="D338" s="6" t="s">
        <v>258</v>
      </c>
      <c r="E338" s="26">
        <v>5.9</v>
      </c>
      <c r="F338" s="26"/>
      <c r="G338" s="26">
        <v>88101.29</v>
      </c>
      <c r="H338" s="28" t="s">
        <v>24</v>
      </c>
      <c r="I338" s="27" t="s">
        <v>24</v>
      </c>
      <c r="J338" s="17" t="str">
        <f>IF(AND(B338="BT", F338 &gt; 0.03 * SUMIF(B:B, "BT", F:F)), "ITA-C", IF(AND(B338="BT", E338 &gt; 0.03 * SUMIF(B:B, "BT", E:E)), "ITA-D", ""))</f>
        <v/>
      </c>
    </row>
    <row r="339" spans="1:10" x14ac:dyDescent="0.3">
      <c r="A339" s="18">
        <v>338</v>
      </c>
      <c r="B339" s="24" t="s">
        <v>39</v>
      </c>
      <c r="C339" s="25">
        <v>45754</v>
      </c>
      <c r="D339" s="6" t="s">
        <v>258</v>
      </c>
      <c r="E339" s="26">
        <v>5.9</v>
      </c>
      <c r="F339" s="26"/>
      <c r="G339" s="26">
        <v>88095.39</v>
      </c>
      <c r="H339" s="28" t="s">
        <v>24</v>
      </c>
      <c r="I339" s="27" t="s">
        <v>24</v>
      </c>
      <c r="J339" s="17" t="str">
        <f>IF(AND(B339="BT", F339 &gt; 0.03 * SUMIF(B:B, "BT", F:F)), "ITA-C", IF(AND(B339="BT", E339 &gt; 0.03 * SUMIF(B:B, "BT", E:E)), "ITA-D", ""))</f>
        <v/>
      </c>
    </row>
    <row r="340" spans="1:10" x14ac:dyDescent="0.3">
      <c r="A340" s="18">
        <v>339</v>
      </c>
      <c r="B340" s="24" t="s">
        <v>39</v>
      </c>
      <c r="C340" s="25">
        <v>45754</v>
      </c>
      <c r="D340" s="6" t="s">
        <v>258</v>
      </c>
      <c r="E340" s="26">
        <v>17.7</v>
      </c>
      <c r="F340" s="26"/>
      <c r="G340" s="26">
        <v>88077.69</v>
      </c>
      <c r="H340" s="28" t="s">
        <v>24</v>
      </c>
      <c r="I340" s="27" t="s">
        <v>24</v>
      </c>
      <c r="J340" s="17" t="str">
        <f>IF(AND(B340="BT", F340 &gt; 0.03 * SUMIF(B:B, "BT", F:F)), "ITA-C", IF(AND(B340="BT", E340 &gt; 0.03 * SUMIF(B:B, "BT", E:E)), "ITA-D", ""))</f>
        <v/>
      </c>
    </row>
    <row r="341" spans="1:10" x14ac:dyDescent="0.3">
      <c r="A341" s="18">
        <v>340</v>
      </c>
      <c r="B341" s="24" t="s">
        <v>39</v>
      </c>
      <c r="C341" s="25">
        <v>45754</v>
      </c>
      <c r="D341" s="6" t="s">
        <v>258</v>
      </c>
      <c r="E341" s="26">
        <v>5.9</v>
      </c>
      <c r="F341" s="26"/>
      <c r="G341" s="26">
        <v>88071.79</v>
      </c>
      <c r="H341" s="28" t="s">
        <v>24</v>
      </c>
      <c r="I341" s="27" t="s">
        <v>24</v>
      </c>
      <c r="J341" s="17" t="str">
        <f>IF(AND(B341="BT", F341 &gt; 0.03 * SUMIF(B:B, "BT", F:F)), "ITA-C", IF(AND(B341="BT", E341 &gt; 0.03 * SUMIF(B:B, "BT", E:E)), "ITA-D", ""))</f>
        <v/>
      </c>
    </row>
    <row r="342" spans="1:10" x14ac:dyDescent="0.3">
      <c r="A342" s="153">
        <v>341</v>
      </c>
      <c r="B342" s="154" t="s">
        <v>48</v>
      </c>
      <c r="C342" s="36">
        <v>45754</v>
      </c>
      <c r="D342" s="36" t="s">
        <v>272</v>
      </c>
      <c r="E342" s="37">
        <v>50000</v>
      </c>
      <c r="F342" s="37"/>
      <c r="G342" s="37">
        <v>38071.79</v>
      </c>
      <c r="H342" s="39" t="s">
        <v>25</v>
      </c>
      <c r="I342" s="38" t="s">
        <v>25</v>
      </c>
      <c r="J342" s="17" t="str">
        <f>IF(AND(B342="BT", F342 &gt; 0.03 * SUMIF(B:B, "BT", F:F)), "ITA-C", IF(AND(B342="BT", E342 &gt; 0.03 * SUMIF(B:B, "BT", E:E)), "ITA-D", ""))</f>
        <v/>
      </c>
    </row>
    <row r="343" spans="1:10" x14ac:dyDescent="0.3">
      <c r="A343" s="18">
        <v>342</v>
      </c>
      <c r="B343" s="19" t="s">
        <v>41</v>
      </c>
      <c r="C343" s="20">
        <v>45754</v>
      </c>
      <c r="D343" s="20" t="s">
        <v>233</v>
      </c>
      <c r="E343" s="21">
        <v>14700</v>
      </c>
      <c r="F343" s="21"/>
      <c r="G343" s="21">
        <v>23371.79</v>
      </c>
      <c r="H343" s="23" t="s">
        <v>13</v>
      </c>
      <c r="I343" s="22" t="s">
        <v>13</v>
      </c>
      <c r="J343" s="17" t="str">
        <f>IF(AND(B343="BT", F343 &gt; 0.03 * SUMIF(B:B, "BT", F:F)), "ITA-C", IF(AND(B343="BT", E343 &gt; 0.03 * SUMIF(B:B, "BT", E:E)), "ITA-D", ""))</f>
        <v/>
      </c>
    </row>
    <row r="344" spans="1:10" x14ac:dyDescent="0.3">
      <c r="A344" s="18">
        <v>343</v>
      </c>
      <c r="B344" s="19" t="s">
        <v>41</v>
      </c>
      <c r="C344" s="20">
        <v>45754</v>
      </c>
      <c r="D344" s="20" t="s">
        <v>221</v>
      </c>
      <c r="E344" s="21"/>
      <c r="F344" s="21">
        <v>127500</v>
      </c>
      <c r="G344" s="21">
        <v>150871.79</v>
      </c>
      <c r="H344" s="23" t="s">
        <v>5</v>
      </c>
      <c r="I344" s="22" t="s">
        <v>5</v>
      </c>
      <c r="J344" s="17" t="str">
        <f>IF(AND(B344="BT", F344 &gt; 0.03 * SUMIF(B:B, "BT", F:F)), "ITA-C", IF(AND(B344="BT", E344 &gt; 0.03 * SUMIF(B:B, "BT", E:E)), "ITA-D", ""))</f>
        <v/>
      </c>
    </row>
    <row r="345" spans="1:10" x14ac:dyDescent="0.3">
      <c r="A345" s="146">
        <v>344</v>
      </c>
      <c r="B345" s="29" t="s">
        <v>42</v>
      </c>
      <c r="C345" s="30">
        <v>45754</v>
      </c>
      <c r="D345" s="30" t="s">
        <v>54</v>
      </c>
      <c r="E345" s="31">
        <v>100000</v>
      </c>
      <c r="F345" s="31"/>
      <c r="G345" s="31">
        <v>50871.79</v>
      </c>
      <c r="H345" s="33" t="s">
        <v>33</v>
      </c>
      <c r="I345" s="32" t="s">
        <v>33</v>
      </c>
      <c r="J345" s="17" t="str">
        <f>IF(AND(B345="BT", F345 &gt; 0.03 * SUMIF(B:B, "BT", F:F)), "ITA-C", IF(AND(B345="BT", E345 &gt; 0.03 * SUMIF(B:B, "BT", E:E)), "ITA-D", ""))</f>
        <v/>
      </c>
    </row>
    <row r="346" spans="1:10" x14ac:dyDescent="0.3">
      <c r="A346" s="18">
        <v>345</v>
      </c>
      <c r="B346" s="19" t="s">
        <v>41</v>
      </c>
      <c r="C346" s="20">
        <v>45755</v>
      </c>
      <c r="D346" s="20" t="s">
        <v>232</v>
      </c>
      <c r="E346" s="21"/>
      <c r="F346" s="21">
        <v>50000</v>
      </c>
      <c r="G346" s="21">
        <v>100871.79</v>
      </c>
      <c r="H346" s="23" t="s">
        <v>8</v>
      </c>
      <c r="I346" s="22" t="s">
        <v>8</v>
      </c>
      <c r="J346" s="17" t="str">
        <f>IF(AND(B346="BT", F346 &gt; 0.03 * SUMIF(B:B, "BT", F:F)), "ITA-C", IF(AND(B346="BT", E346 &gt; 0.03 * SUMIF(B:B, "BT", E:E)), "ITA-D", ""))</f>
        <v/>
      </c>
    </row>
    <row r="347" spans="1:10" x14ac:dyDescent="0.3">
      <c r="A347" s="153">
        <v>346</v>
      </c>
      <c r="B347" s="35" t="s">
        <v>48</v>
      </c>
      <c r="C347" s="36">
        <v>45756</v>
      </c>
      <c r="D347" s="36" t="s">
        <v>276</v>
      </c>
      <c r="E347" s="37">
        <v>20000</v>
      </c>
      <c r="F347" s="37"/>
      <c r="G347" s="37">
        <v>80871.789999999994</v>
      </c>
      <c r="H347" s="39" t="s">
        <v>6</v>
      </c>
      <c r="I347" s="38" t="s">
        <v>6</v>
      </c>
      <c r="J347" s="17" t="str">
        <f>IF(AND(B347="BT", F347 &gt; 0.03 * SUMIF(B:B, "BT", F:F)), "ITA-C", IF(AND(B347="BT", E347 &gt; 0.03 * SUMIF(B:B, "BT", E:E)), "ITA-D", ""))</f>
        <v/>
      </c>
    </row>
    <row r="348" spans="1:10" x14ac:dyDescent="0.3">
      <c r="A348" s="153">
        <v>347</v>
      </c>
      <c r="B348" s="35" t="s">
        <v>48</v>
      </c>
      <c r="C348" s="36">
        <v>45757</v>
      </c>
      <c r="D348" s="36" t="s">
        <v>276</v>
      </c>
      <c r="E348" s="37">
        <v>70000</v>
      </c>
      <c r="F348" s="37"/>
      <c r="G348" s="37">
        <v>10871.79</v>
      </c>
      <c r="H348" s="39" t="s">
        <v>6</v>
      </c>
      <c r="I348" s="38" t="s">
        <v>6</v>
      </c>
      <c r="J348" s="17" t="str">
        <f>IF(AND(B348="BT", F348 &gt; 0.03 * SUMIF(B:B, "BT", F:F)), "ITA-C", IF(AND(B348="BT", E348 &gt; 0.03 * SUMIF(B:B, "BT", E:E)), "ITA-D", ""))</f>
        <v/>
      </c>
    </row>
    <row r="349" spans="1:10" x14ac:dyDescent="0.3">
      <c r="A349" s="18">
        <v>348</v>
      </c>
      <c r="B349" s="19" t="s">
        <v>41</v>
      </c>
      <c r="C349" s="20">
        <v>45757</v>
      </c>
      <c r="D349" s="20" t="s">
        <v>232</v>
      </c>
      <c r="E349" s="21"/>
      <c r="F349" s="21">
        <v>60000</v>
      </c>
      <c r="G349" s="21">
        <v>70871.789999999994</v>
      </c>
      <c r="H349" s="23" t="s">
        <v>8</v>
      </c>
      <c r="I349" s="22" t="s">
        <v>8</v>
      </c>
      <c r="J349" s="17" t="str">
        <f>IF(AND(B349="BT", F349 &gt; 0.03 * SUMIF(B:B, "BT", F:F)), "ITA-C", IF(AND(B349="BT", E349 &gt; 0.03 * SUMIF(B:B, "BT", E:E)), "ITA-D", ""))</f>
        <v/>
      </c>
    </row>
    <row r="350" spans="1:10" x14ac:dyDescent="0.3">
      <c r="A350" s="146">
        <v>349</v>
      </c>
      <c r="B350" s="29" t="s">
        <v>42</v>
      </c>
      <c r="C350" s="30">
        <v>45757</v>
      </c>
      <c r="D350" s="30" t="s">
        <v>54</v>
      </c>
      <c r="E350" s="31"/>
      <c r="F350" s="31">
        <v>30000</v>
      </c>
      <c r="G350" s="31">
        <v>100871.79</v>
      </c>
      <c r="H350" s="33" t="s">
        <v>33</v>
      </c>
      <c r="I350" s="32" t="s">
        <v>33</v>
      </c>
      <c r="J350" s="17" t="str">
        <f>IF(AND(B350="BT", F350 &gt; 0.03 * SUMIF(B:B, "BT", F:F)), "ITA-C", IF(AND(B350="BT", E350 &gt; 0.03 * SUMIF(B:B, "BT", E:E)), "ITA-D", ""))</f>
        <v/>
      </c>
    </row>
    <row r="351" spans="1:10" x14ac:dyDescent="0.3">
      <c r="A351" s="153">
        <v>350</v>
      </c>
      <c r="B351" s="35" t="s">
        <v>48</v>
      </c>
      <c r="C351" s="36">
        <v>45758</v>
      </c>
      <c r="D351" s="36" t="s">
        <v>276</v>
      </c>
      <c r="E351" s="37"/>
      <c r="F351" s="37">
        <v>10000</v>
      </c>
      <c r="G351" s="37">
        <v>110871.79</v>
      </c>
      <c r="H351" s="39" t="s">
        <v>8</v>
      </c>
      <c r="I351" s="38" t="s">
        <v>8</v>
      </c>
      <c r="J351" s="17" t="str">
        <f>IF(AND(B351="BT", F351 &gt; 0.03 * SUMIF(B:B, "BT", F:F)), "ITA-C", IF(AND(B351="BT", E351 &gt; 0.03 * SUMIF(B:B, "BT", E:E)), "ITA-D", ""))</f>
        <v/>
      </c>
    </row>
    <row r="352" spans="1:10" x14ac:dyDescent="0.3">
      <c r="A352" s="18">
        <v>351</v>
      </c>
      <c r="B352" s="19" t="s">
        <v>41</v>
      </c>
      <c r="C352" s="20">
        <v>45758</v>
      </c>
      <c r="D352" s="20" t="s">
        <v>226</v>
      </c>
      <c r="E352" s="21">
        <v>100000</v>
      </c>
      <c r="F352" s="21"/>
      <c r="G352" s="21">
        <v>10871.79</v>
      </c>
      <c r="H352" s="23" t="s">
        <v>13</v>
      </c>
      <c r="I352" s="22" t="s">
        <v>13</v>
      </c>
      <c r="J352" s="17" t="str">
        <f>IF(AND(B352="BT", F352 &gt; 0.03 * SUMIF(B:B, "BT", F:F)), "ITA-C", IF(AND(B352="BT", E352 &gt; 0.03 * SUMIF(B:B, "BT", E:E)), "ITA-D", ""))</f>
        <v/>
      </c>
    </row>
    <row r="353" spans="1:10" x14ac:dyDescent="0.3">
      <c r="A353" s="18">
        <v>352</v>
      </c>
      <c r="B353" s="24" t="s">
        <v>39</v>
      </c>
      <c r="C353" s="25">
        <v>45758</v>
      </c>
      <c r="D353" s="6" t="s">
        <v>258</v>
      </c>
      <c r="E353" s="26">
        <v>5.9</v>
      </c>
      <c r="F353" s="26"/>
      <c r="G353" s="26">
        <v>10865.89</v>
      </c>
      <c r="H353" s="28" t="s">
        <v>24</v>
      </c>
      <c r="I353" s="27" t="s">
        <v>24</v>
      </c>
      <c r="J353" s="17" t="str">
        <f>IF(AND(B353="BT", F353 &gt; 0.03 * SUMIF(B:B, "BT", F:F)), "ITA-C", IF(AND(B353="BT", E353 &gt; 0.03 * SUMIF(B:B, "BT", E:E)), "ITA-D", ""))</f>
        <v/>
      </c>
    </row>
    <row r="354" spans="1:10" x14ac:dyDescent="0.3">
      <c r="A354" s="18">
        <v>353</v>
      </c>
      <c r="B354" s="24" t="s">
        <v>39</v>
      </c>
      <c r="C354" s="25">
        <v>45758</v>
      </c>
      <c r="D354" s="6" t="s">
        <v>258</v>
      </c>
      <c r="E354" s="26">
        <v>5.9</v>
      </c>
      <c r="F354" s="26"/>
      <c r="G354" s="26">
        <v>10859.99</v>
      </c>
      <c r="H354" s="28" t="s">
        <v>24</v>
      </c>
      <c r="I354" s="27" t="s">
        <v>24</v>
      </c>
      <c r="J354" s="17" t="str">
        <f>IF(AND(B354="BT", F354 &gt; 0.03 * SUMIF(B:B, "BT", F:F)), "ITA-C", IF(AND(B354="BT", E354 &gt; 0.03 * SUMIF(B:B, "BT", E:E)), "ITA-D", ""))</f>
        <v/>
      </c>
    </row>
    <row r="355" spans="1:10" x14ac:dyDescent="0.3">
      <c r="A355" s="153">
        <v>354</v>
      </c>
      <c r="B355" s="35" t="s">
        <v>48</v>
      </c>
      <c r="C355" s="36">
        <v>45758</v>
      </c>
      <c r="D355" s="36" t="s">
        <v>273</v>
      </c>
      <c r="E355" s="37"/>
      <c r="F355" s="37">
        <v>134400</v>
      </c>
      <c r="G355" s="37">
        <v>145259.99</v>
      </c>
      <c r="H355" s="39" t="s">
        <v>5</v>
      </c>
      <c r="I355" s="38" t="s">
        <v>5</v>
      </c>
      <c r="J355" s="17" t="str">
        <f>IF(AND(B355="BT", F355 &gt; 0.03 * SUMIF(B:B, "BT", F:F)), "ITA-C", IF(AND(B355="BT", E355 &gt; 0.03 * SUMIF(B:B, "BT", E:E)), "ITA-D", ""))</f>
        <v/>
      </c>
    </row>
    <row r="356" spans="1:10" x14ac:dyDescent="0.3">
      <c r="A356" s="18">
        <v>355</v>
      </c>
      <c r="B356" s="19" t="s">
        <v>41</v>
      </c>
      <c r="C356" s="20">
        <v>45758</v>
      </c>
      <c r="D356" s="20" t="s">
        <v>225</v>
      </c>
      <c r="E356" s="21">
        <v>30000</v>
      </c>
      <c r="F356" s="21"/>
      <c r="G356" s="21">
        <v>115259.99</v>
      </c>
      <c r="H356" s="23" t="s">
        <v>13</v>
      </c>
      <c r="I356" s="22" t="s">
        <v>13</v>
      </c>
      <c r="J356" s="17" t="str">
        <f>IF(AND(B356="BT", F356 &gt; 0.03 * SUMIF(B:B, "BT", F:F)), "ITA-C", IF(AND(B356="BT", E356 &gt; 0.03 * SUMIF(B:B, "BT", E:E)), "ITA-D", ""))</f>
        <v/>
      </c>
    </row>
    <row r="357" spans="1:10" x14ac:dyDescent="0.3">
      <c r="A357" s="18">
        <v>356</v>
      </c>
      <c r="B357" s="19" t="s">
        <v>41</v>
      </c>
      <c r="C357" s="20">
        <v>45759</v>
      </c>
      <c r="D357" s="20" t="s">
        <v>226</v>
      </c>
      <c r="E357" s="21">
        <v>100000</v>
      </c>
      <c r="F357" s="21"/>
      <c r="G357" s="21">
        <v>15259.99</v>
      </c>
      <c r="H357" s="23" t="s">
        <v>13</v>
      </c>
      <c r="I357" s="22" t="s">
        <v>13</v>
      </c>
      <c r="J357" s="17" t="str">
        <f>IF(AND(B357="BT", F357 &gt; 0.03 * SUMIF(B:B, "BT", F:F)), "ITA-C", IF(AND(B357="BT", E357 &gt; 0.03 * SUMIF(B:B, "BT", E:E)), "ITA-D", ""))</f>
        <v/>
      </c>
    </row>
    <row r="358" spans="1:10" x14ac:dyDescent="0.3">
      <c r="A358" s="18">
        <v>357</v>
      </c>
      <c r="B358" s="19" t="s">
        <v>41</v>
      </c>
      <c r="C358" s="20">
        <v>45759</v>
      </c>
      <c r="D358" s="20" t="s">
        <v>192</v>
      </c>
      <c r="E358" s="21"/>
      <c r="F358" s="21">
        <v>50000</v>
      </c>
      <c r="G358" s="21">
        <v>65259.99</v>
      </c>
      <c r="H358" s="23" t="s">
        <v>8</v>
      </c>
      <c r="I358" s="22" t="s">
        <v>8</v>
      </c>
      <c r="J358" s="17" t="str">
        <f>IF(AND(B358="BT", F358 &gt; 0.03 * SUMIF(B:B, "BT", F:F)), "ITA-C", IF(AND(B358="BT", E358 &gt; 0.03 * SUMIF(B:B, "BT", E:E)), "ITA-D", ""))</f>
        <v/>
      </c>
    </row>
    <row r="359" spans="1:10" x14ac:dyDescent="0.3">
      <c r="A359" s="153">
        <v>358</v>
      </c>
      <c r="B359" s="35" t="s">
        <v>48</v>
      </c>
      <c r="C359" s="36">
        <v>45759</v>
      </c>
      <c r="D359" s="36" t="s">
        <v>276</v>
      </c>
      <c r="E359" s="37">
        <v>10000</v>
      </c>
      <c r="F359" s="37"/>
      <c r="G359" s="37">
        <v>55259.99</v>
      </c>
      <c r="H359" s="39" t="s">
        <v>6</v>
      </c>
      <c r="I359" s="38" t="s">
        <v>6</v>
      </c>
      <c r="J359" s="17" t="str">
        <f>IF(AND(B359="BT", F359 &gt; 0.03 * SUMIF(B:B, "BT", F:F)), "ITA-C", IF(AND(B359="BT", E359 &gt; 0.03 * SUMIF(B:B, "BT", E:E)), "ITA-D", ""))</f>
        <v/>
      </c>
    </row>
    <row r="360" spans="1:10" x14ac:dyDescent="0.3">
      <c r="A360" s="153">
        <v>359</v>
      </c>
      <c r="B360" s="154" t="s">
        <v>48</v>
      </c>
      <c r="C360" s="36">
        <v>45760</v>
      </c>
      <c r="D360" s="36" t="s">
        <v>272</v>
      </c>
      <c r="E360" s="37">
        <v>5000</v>
      </c>
      <c r="F360" s="37"/>
      <c r="G360" s="37">
        <v>50259.99</v>
      </c>
      <c r="H360" s="39" t="s">
        <v>25</v>
      </c>
      <c r="I360" s="38" t="s">
        <v>25</v>
      </c>
      <c r="J360" s="17" t="str">
        <f>IF(AND(B360="BT", F360 &gt; 0.03 * SUMIF(B:B, "BT", F:F)), "ITA-C", IF(AND(B360="BT", E360 &gt; 0.03 * SUMIF(B:B, "BT", E:E)), "ITA-D", ""))</f>
        <v/>
      </c>
    </row>
    <row r="361" spans="1:10" x14ac:dyDescent="0.3">
      <c r="A361" s="133">
        <v>360</v>
      </c>
      <c r="B361" s="40" t="s">
        <v>47</v>
      </c>
      <c r="C361" s="41">
        <v>45762</v>
      </c>
      <c r="D361" s="41" t="s">
        <v>245</v>
      </c>
      <c r="E361" s="42">
        <v>25420</v>
      </c>
      <c r="F361" s="42"/>
      <c r="G361" s="42">
        <v>24839.99</v>
      </c>
      <c r="H361" s="44" t="s">
        <v>18</v>
      </c>
      <c r="I361" s="43" t="s">
        <v>18</v>
      </c>
      <c r="J361" s="17" t="str">
        <f>IF(AND(B361="BT", F361 &gt; 0.03 * SUMIF(B:B, "BT", F:F)), "ITA-C", IF(AND(B361="BT", E361 &gt; 0.03 * SUMIF(B:B, "BT", E:E)), "ITA-D", ""))</f>
        <v/>
      </c>
    </row>
    <row r="362" spans="1:10" x14ac:dyDescent="0.3">
      <c r="A362" s="18">
        <v>361</v>
      </c>
      <c r="B362" s="19" t="s">
        <v>41</v>
      </c>
      <c r="C362" s="20">
        <v>45762</v>
      </c>
      <c r="D362" s="20" t="s">
        <v>40</v>
      </c>
      <c r="E362" s="21"/>
      <c r="F362" s="21">
        <v>25500</v>
      </c>
      <c r="G362" s="21">
        <v>50339.99</v>
      </c>
      <c r="H362" s="23" t="s">
        <v>30</v>
      </c>
      <c r="I362" s="22" t="s">
        <v>30</v>
      </c>
      <c r="J362" s="17" t="str">
        <f>IF(AND(B362="BT", F362 &gt; 0.03 * SUMIF(B:B, "BT", F:F)), "ITA-C", IF(AND(B362="BT", E362 &gt; 0.03 * SUMIF(B:B, "BT", E:E)), "ITA-D", ""))</f>
        <v/>
      </c>
    </row>
    <row r="363" spans="1:10" x14ac:dyDescent="0.3">
      <c r="A363" s="18">
        <v>362</v>
      </c>
      <c r="B363" s="19" t="s">
        <v>41</v>
      </c>
      <c r="C363" s="20">
        <v>45762</v>
      </c>
      <c r="D363" s="20" t="s">
        <v>40</v>
      </c>
      <c r="E363" s="21"/>
      <c r="F363" s="21">
        <v>500</v>
      </c>
      <c r="G363" s="21">
        <v>50839.99</v>
      </c>
      <c r="H363" s="23" t="s">
        <v>30</v>
      </c>
      <c r="I363" s="22" t="s">
        <v>30</v>
      </c>
      <c r="J363" s="17" t="str">
        <f>IF(AND(B363="BT", F363 &gt; 0.03 * SUMIF(B:B, "BT", F:F)), "ITA-C", IF(AND(B363="BT", E363 &gt; 0.03 * SUMIF(B:B, "BT", E:E)), "ITA-D", ""))</f>
        <v/>
      </c>
    </row>
    <row r="364" spans="1:10" x14ac:dyDescent="0.3">
      <c r="A364" s="18">
        <v>363</v>
      </c>
      <c r="B364" s="19" t="s">
        <v>41</v>
      </c>
      <c r="C364" s="20">
        <v>45762</v>
      </c>
      <c r="D364" s="20" t="s">
        <v>232</v>
      </c>
      <c r="E364" s="21"/>
      <c r="F364" s="21">
        <v>50000</v>
      </c>
      <c r="G364" s="21">
        <v>100839.99</v>
      </c>
      <c r="H364" s="23" t="s">
        <v>8</v>
      </c>
      <c r="I364" s="22" t="s">
        <v>8</v>
      </c>
      <c r="J364" s="17" t="str">
        <f>IF(AND(B364="BT", F364 &gt; 0.03 * SUMIF(B:B, "BT", F:F)), "ITA-C", IF(AND(B364="BT", E364 &gt; 0.03 * SUMIF(B:B, "BT", E:E)), "ITA-D", ""))</f>
        <v/>
      </c>
    </row>
    <row r="365" spans="1:10" x14ac:dyDescent="0.3">
      <c r="A365" s="153">
        <v>364</v>
      </c>
      <c r="B365" s="35" t="s">
        <v>48</v>
      </c>
      <c r="C365" s="36">
        <v>45762</v>
      </c>
      <c r="D365" s="36" t="s">
        <v>271</v>
      </c>
      <c r="E365" s="37"/>
      <c r="F365" s="37">
        <v>30000</v>
      </c>
      <c r="G365" s="37">
        <v>130839.99</v>
      </c>
      <c r="H365" s="39" t="s">
        <v>10</v>
      </c>
      <c r="I365" s="38" t="s">
        <v>10</v>
      </c>
      <c r="J365" s="17" t="str">
        <f>IF(AND(B365="BT", F365 &gt; 0.03 * SUMIF(B:B, "BT", F:F)), "ITA-C", IF(AND(B365="BT", E365 &gt; 0.03 * SUMIF(B:B, "BT", E:E)), "ITA-D", ""))</f>
        <v/>
      </c>
    </row>
    <row r="366" spans="1:10" x14ac:dyDescent="0.3">
      <c r="A366" s="133">
        <v>365</v>
      </c>
      <c r="B366" s="40" t="s">
        <v>47</v>
      </c>
      <c r="C366" s="41">
        <v>45763</v>
      </c>
      <c r="D366" s="41" t="s">
        <v>244</v>
      </c>
      <c r="E366" s="42">
        <v>11876</v>
      </c>
      <c r="F366" s="42"/>
      <c r="G366" s="42">
        <v>118963.99</v>
      </c>
      <c r="H366" s="44" t="s">
        <v>6</v>
      </c>
      <c r="I366" s="43" t="s">
        <v>6</v>
      </c>
      <c r="J366" s="17" t="str">
        <f>IF(AND(B366="BT", F366 &gt; 0.03 * SUMIF(B:B, "BT", F:F)), "ITA-C", IF(AND(B366="BT", E366 &gt; 0.03 * SUMIF(B:B, "BT", E:E)), "ITA-D", ""))</f>
        <v/>
      </c>
    </row>
    <row r="367" spans="1:10" x14ac:dyDescent="0.3">
      <c r="A367" s="18">
        <v>366</v>
      </c>
      <c r="B367" s="19" t="s">
        <v>41</v>
      </c>
      <c r="C367" s="20">
        <v>45763</v>
      </c>
      <c r="D367" s="20" t="s">
        <v>237</v>
      </c>
      <c r="E367" s="21">
        <v>50000</v>
      </c>
      <c r="F367" s="21"/>
      <c r="G367" s="21">
        <v>68963.990000000005</v>
      </c>
      <c r="H367" s="23" t="s">
        <v>25</v>
      </c>
      <c r="I367" s="22" t="s">
        <v>25</v>
      </c>
      <c r="J367" s="17" t="str">
        <f>IF(AND(B367="BT", F367 &gt; 0.03 * SUMIF(B:B, "BT", F:F)), "ITA-C", IF(AND(B367="BT", E367 &gt; 0.03 * SUMIF(B:B, "BT", E:E)), "ITA-D", ""))</f>
        <v/>
      </c>
    </row>
    <row r="368" spans="1:10" x14ac:dyDescent="0.3">
      <c r="A368" s="153">
        <v>367</v>
      </c>
      <c r="B368" s="154" t="s">
        <v>48</v>
      </c>
      <c r="C368" s="36">
        <v>45763</v>
      </c>
      <c r="D368" s="36" t="s">
        <v>272</v>
      </c>
      <c r="E368" s="37">
        <v>35000</v>
      </c>
      <c r="F368" s="37"/>
      <c r="G368" s="37">
        <v>33963.99</v>
      </c>
      <c r="H368" s="39" t="s">
        <v>25</v>
      </c>
      <c r="I368" s="38" t="s">
        <v>25</v>
      </c>
      <c r="J368" s="17" t="str">
        <f>IF(AND(B368="BT", F368 &gt; 0.03 * SUMIF(B:B, "BT", F:F)), "ITA-C", IF(AND(B368="BT", E368 &gt; 0.03 * SUMIF(B:B, "BT", E:E)), "ITA-D", ""))</f>
        <v/>
      </c>
    </row>
    <row r="369" spans="1:10" x14ac:dyDescent="0.3">
      <c r="A369" s="153">
        <v>368</v>
      </c>
      <c r="B369" s="35" t="s">
        <v>48</v>
      </c>
      <c r="C369" s="36">
        <v>45763</v>
      </c>
      <c r="D369" s="36" t="s">
        <v>270</v>
      </c>
      <c r="E369" s="37"/>
      <c r="F369" s="37">
        <v>56269</v>
      </c>
      <c r="G369" s="37">
        <v>90232.99</v>
      </c>
      <c r="H369" s="39" t="s">
        <v>10</v>
      </c>
      <c r="I369" s="38" t="s">
        <v>10</v>
      </c>
      <c r="J369" s="17" t="str">
        <f>IF(AND(B369="BT", F369 &gt; 0.03 * SUMIF(B:B, "BT", F:F)), "ITA-C", IF(AND(B369="BT", E369 &gt; 0.03 * SUMIF(B:B, "BT", E:E)), "ITA-D", ""))</f>
        <v/>
      </c>
    </row>
    <row r="370" spans="1:10" x14ac:dyDescent="0.3">
      <c r="A370" s="153">
        <v>369</v>
      </c>
      <c r="B370" s="35" t="s">
        <v>48</v>
      </c>
      <c r="C370" s="36">
        <v>45763</v>
      </c>
      <c r="D370" s="36" t="s">
        <v>273</v>
      </c>
      <c r="E370" s="37"/>
      <c r="F370" s="37">
        <v>300000</v>
      </c>
      <c r="G370" s="37">
        <v>390232.99</v>
      </c>
      <c r="H370" s="39" t="s">
        <v>7</v>
      </c>
      <c r="I370" s="38" t="s">
        <v>7</v>
      </c>
      <c r="J370" s="17" t="str">
        <f>IF(AND(B370="BT", F370 &gt; 0.03 * SUMIF(B:B, "BT", F:F)), "ITA-C", IF(AND(B370="BT", E370 &gt; 0.03 * SUMIF(B:B, "BT", E:E)), "ITA-D", ""))</f>
        <v/>
      </c>
    </row>
    <row r="371" spans="1:10" x14ac:dyDescent="0.3">
      <c r="A371" s="153">
        <v>370</v>
      </c>
      <c r="B371" s="35" t="s">
        <v>48</v>
      </c>
      <c r="C371" s="36">
        <v>45763</v>
      </c>
      <c r="D371" s="36" t="s">
        <v>276</v>
      </c>
      <c r="E371" s="37"/>
      <c r="F371" s="37">
        <v>10000</v>
      </c>
      <c r="G371" s="37">
        <v>400232.99</v>
      </c>
      <c r="H371" s="39" t="s">
        <v>8</v>
      </c>
      <c r="I371" s="38" t="s">
        <v>8</v>
      </c>
      <c r="J371" s="17" t="str">
        <f>IF(AND(B371="BT", F371 &gt; 0.03 * SUMIF(B:B, "BT", F:F)), "ITA-C", IF(AND(B371="BT", E371 &gt; 0.03 * SUMIF(B:B, "BT", E:E)), "ITA-D", ""))</f>
        <v/>
      </c>
    </row>
    <row r="372" spans="1:10" x14ac:dyDescent="0.3">
      <c r="A372" s="18">
        <v>371</v>
      </c>
      <c r="B372" s="19" t="s">
        <v>41</v>
      </c>
      <c r="C372" s="20">
        <v>45763</v>
      </c>
      <c r="D372" s="20" t="s">
        <v>212</v>
      </c>
      <c r="E372" s="21">
        <v>300000</v>
      </c>
      <c r="F372" s="21"/>
      <c r="G372" s="21">
        <v>100232.99</v>
      </c>
      <c r="H372" s="23" t="s">
        <v>9</v>
      </c>
      <c r="I372" s="22" t="s">
        <v>9</v>
      </c>
      <c r="J372" s="17" t="str">
        <f>IF(AND(B372="BT", F372 &gt; 0.03 * SUMIF(B:B, "BT", F:F)), "ITA-C", IF(AND(B372="BT", E372 &gt; 0.03 * SUMIF(B:B, "BT", E:E)), "ITA-D", ""))</f>
        <v/>
      </c>
    </row>
    <row r="373" spans="1:10" x14ac:dyDescent="0.3">
      <c r="A373" s="153">
        <v>372</v>
      </c>
      <c r="B373" s="35" t="s">
        <v>48</v>
      </c>
      <c r="C373" s="36">
        <v>45764</v>
      </c>
      <c r="D373" s="36" t="s">
        <v>276</v>
      </c>
      <c r="E373" s="37"/>
      <c r="F373" s="37">
        <v>2000</v>
      </c>
      <c r="G373" s="37">
        <v>102232.99</v>
      </c>
      <c r="H373" s="39" t="s">
        <v>8</v>
      </c>
      <c r="I373" s="38" t="s">
        <v>8</v>
      </c>
      <c r="J373" s="17" t="str">
        <f>IF(AND(B373="BT", F373 &gt; 0.03 * SUMIF(B:B, "BT", F:F)), "ITA-C", IF(AND(B373="BT", E373 &gt; 0.03 * SUMIF(B:B, "BT", E:E)), "ITA-D", ""))</f>
        <v/>
      </c>
    </row>
    <row r="374" spans="1:10" x14ac:dyDescent="0.3">
      <c r="A374" s="18">
        <v>373</v>
      </c>
      <c r="B374" s="19" t="s">
        <v>41</v>
      </c>
      <c r="C374" s="20">
        <v>45764</v>
      </c>
      <c r="D374" s="20" t="s">
        <v>232</v>
      </c>
      <c r="E374" s="21"/>
      <c r="F374" s="21">
        <v>50000</v>
      </c>
      <c r="G374" s="21">
        <v>152232.99</v>
      </c>
      <c r="H374" s="23" t="s">
        <v>28</v>
      </c>
      <c r="I374" s="22" t="s">
        <v>28</v>
      </c>
      <c r="J374" s="17" t="str">
        <f>IF(AND(B374="BT", F374 &gt; 0.03 * SUMIF(B:B, "BT", F:F)), "ITA-C", IF(AND(B374="BT", E374 &gt; 0.03 * SUMIF(B:B, "BT", E:E)), "ITA-D", ""))</f>
        <v/>
      </c>
    </row>
    <row r="375" spans="1:10" x14ac:dyDescent="0.3">
      <c r="A375" s="153">
        <v>374</v>
      </c>
      <c r="B375" s="35" t="s">
        <v>48</v>
      </c>
      <c r="C375" s="36">
        <v>45764</v>
      </c>
      <c r="D375" s="36" t="s">
        <v>276</v>
      </c>
      <c r="E375" s="37">
        <v>40000</v>
      </c>
      <c r="F375" s="37"/>
      <c r="G375" s="37">
        <v>112232.99</v>
      </c>
      <c r="H375" s="39" t="s">
        <v>6</v>
      </c>
      <c r="I375" s="38" t="s">
        <v>6</v>
      </c>
      <c r="J375" s="17" t="str">
        <f>IF(AND(B375="BT", F375 &gt; 0.03 * SUMIF(B:B, "BT", F:F)), "ITA-C", IF(AND(B375="BT", E375 &gt; 0.03 * SUMIF(B:B, "BT", E:E)), "ITA-D", ""))</f>
        <v/>
      </c>
    </row>
    <row r="376" spans="1:10" x14ac:dyDescent="0.3">
      <c r="A376" s="153">
        <v>375</v>
      </c>
      <c r="B376" s="35" t="s">
        <v>48</v>
      </c>
      <c r="C376" s="36">
        <v>45764</v>
      </c>
      <c r="D376" s="36" t="s">
        <v>273</v>
      </c>
      <c r="E376" s="37"/>
      <c r="F376" s="37">
        <v>3069839</v>
      </c>
      <c r="G376" s="37">
        <v>3182071.99</v>
      </c>
      <c r="H376" s="39" t="s">
        <v>7</v>
      </c>
      <c r="I376" s="38" t="s">
        <v>7</v>
      </c>
      <c r="J376" s="17" t="str">
        <f>IF(AND(B376="BT", F376 &gt; 0.03 * SUMIF(B:B, "BT", F:F)), "ITA-C", IF(AND(B376="BT", E376 &gt; 0.03 * SUMIF(B:B, "BT", E:E)), "ITA-D", ""))</f>
        <v/>
      </c>
    </row>
    <row r="377" spans="1:10" x14ac:dyDescent="0.3">
      <c r="A377" s="18">
        <v>376</v>
      </c>
      <c r="B377" s="19" t="s">
        <v>41</v>
      </c>
      <c r="C377" s="20">
        <v>45764</v>
      </c>
      <c r="D377" s="20" t="s">
        <v>201</v>
      </c>
      <c r="E377" s="21">
        <v>150000</v>
      </c>
      <c r="F377" s="21"/>
      <c r="G377" s="21">
        <v>3032071.99</v>
      </c>
      <c r="H377" s="23" t="s">
        <v>13</v>
      </c>
      <c r="I377" s="22" t="s">
        <v>13</v>
      </c>
      <c r="J377" s="17" t="str">
        <f>IF(AND(B377="BT", F377 &gt; 0.03 * SUMIF(B:B, "BT", F:F)), "ITA-C", IF(AND(B377="BT", E377 &gt; 0.03 * SUMIF(B:B, "BT", E:E)), "ITA-D", ""))</f>
        <v/>
      </c>
    </row>
    <row r="378" spans="1:10" x14ac:dyDescent="0.3">
      <c r="A378" s="18">
        <v>377</v>
      </c>
      <c r="B378" s="19" t="s">
        <v>41</v>
      </c>
      <c r="C378" s="20">
        <v>45764</v>
      </c>
      <c r="D378" s="20" t="s">
        <v>199</v>
      </c>
      <c r="E378" s="21">
        <v>600000</v>
      </c>
      <c r="F378" s="21"/>
      <c r="G378" s="21">
        <v>2432071.9900000002</v>
      </c>
      <c r="H378" s="23" t="s">
        <v>9</v>
      </c>
      <c r="I378" s="22" t="s">
        <v>9</v>
      </c>
      <c r="J378" s="17" t="str">
        <f>IF(AND(B378="BT", F378 &gt; 0.03 * SUMIF(B:B, "BT", F:F)), "ITA-C", IF(AND(B378="BT", E378 &gt; 0.03 * SUMIF(B:B, "BT", E:E)), "ITA-D", ""))</f>
        <v/>
      </c>
    </row>
    <row r="379" spans="1:10" x14ac:dyDescent="0.3">
      <c r="A379" s="18">
        <v>378</v>
      </c>
      <c r="B379" s="19" t="s">
        <v>41</v>
      </c>
      <c r="C379" s="20">
        <v>45764</v>
      </c>
      <c r="D379" s="20" t="s">
        <v>213</v>
      </c>
      <c r="E379" s="21">
        <v>555808</v>
      </c>
      <c r="F379" s="21"/>
      <c r="G379" s="21">
        <v>1876263.99</v>
      </c>
      <c r="H379" s="23" t="s">
        <v>9</v>
      </c>
      <c r="I379" s="22" t="s">
        <v>9</v>
      </c>
      <c r="J379" s="17" t="str">
        <f>IF(AND(B379="BT", F379 &gt; 0.03 * SUMIF(B:B, "BT", F:F)), "ITA-C", IF(AND(B379="BT", E379 &gt; 0.03 * SUMIF(B:B, "BT", E:E)), "ITA-D", ""))</f>
        <v/>
      </c>
    </row>
    <row r="380" spans="1:10" x14ac:dyDescent="0.3">
      <c r="A380" s="18">
        <v>379</v>
      </c>
      <c r="B380" s="19" t="s">
        <v>41</v>
      </c>
      <c r="C380" s="20">
        <v>45764</v>
      </c>
      <c r="D380" s="20" t="s">
        <v>226</v>
      </c>
      <c r="E380" s="21">
        <v>137365</v>
      </c>
      <c r="F380" s="21"/>
      <c r="G380" s="21">
        <v>1738898.99</v>
      </c>
      <c r="H380" s="23" t="s">
        <v>13</v>
      </c>
      <c r="I380" s="22" t="s">
        <v>13</v>
      </c>
      <c r="J380" s="17" t="str">
        <f>IF(AND(B380="BT", F380 &gt; 0.03 * SUMIF(B:B, "BT", F:F)), "ITA-C", IF(AND(B380="BT", E380 &gt; 0.03 * SUMIF(B:B, "BT", E:E)), "ITA-D", ""))</f>
        <v/>
      </c>
    </row>
    <row r="381" spans="1:10" x14ac:dyDescent="0.3">
      <c r="A381" s="18">
        <v>380</v>
      </c>
      <c r="B381" s="19" t="s">
        <v>41</v>
      </c>
      <c r="C381" s="20">
        <v>45764</v>
      </c>
      <c r="D381" s="20" t="s">
        <v>216</v>
      </c>
      <c r="E381" s="21">
        <v>319200</v>
      </c>
      <c r="F381" s="21"/>
      <c r="G381" s="21">
        <v>1419698.99</v>
      </c>
      <c r="H381" s="23" t="s">
        <v>9</v>
      </c>
      <c r="I381" s="22" t="s">
        <v>9</v>
      </c>
      <c r="J381" s="17" t="str">
        <f>IF(AND(B381="BT", F381 &gt; 0.03 * SUMIF(B:B, "BT", F:F)), "ITA-C", IF(AND(B381="BT", E381 &gt; 0.03 * SUMIF(B:B, "BT", E:E)), "ITA-D", ""))</f>
        <v/>
      </c>
    </row>
    <row r="382" spans="1:10" x14ac:dyDescent="0.3">
      <c r="A382" s="18">
        <v>381</v>
      </c>
      <c r="B382" s="19" t="s">
        <v>41</v>
      </c>
      <c r="C382" s="20">
        <v>45764</v>
      </c>
      <c r="D382" s="20" t="s">
        <v>233</v>
      </c>
      <c r="E382" s="21">
        <v>16605.38</v>
      </c>
      <c r="F382" s="21"/>
      <c r="G382" s="21">
        <v>1403093.61</v>
      </c>
      <c r="H382" s="23" t="s">
        <v>13</v>
      </c>
      <c r="I382" s="22" t="s">
        <v>13</v>
      </c>
      <c r="J382" s="17" t="str">
        <f>IF(AND(B382="BT", F382 &gt; 0.03 * SUMIF(B:B, "BT", F:F)), "ITA-C", IF(AND(B382="BT", E382 &gt; 0.03 * SUMIF(B:B, "BT", E:E)), "ITA-D", ""))</f>
        <v/>
      </c>
    </row>
    <row r="383" spans="1:10" x14ac:dyDescent="0.3">
      <c r="A383" s="146">
        <v>382</v>
      </c>
      <c r="B383" s="29" t="s">
        <v>42</v>
      </c>
      <c r="C383" s="30">
        <v>45764</v>
      </c>
      <c r="D383" s="30" t="s">
        <v>54</v>
      </c>
      <c r="E383" s="31">
        <v>20000</v>
      </c>
      <c r="F383" s="31"/>
      <c r="G383" s="31">
        <v>1383093.61</v>
      </c>
      <c r="H383" s="33" t="s">
        <v>33</v>
      </c>
      <c r="I383" s="32" t="s">
        <v>33</v>
      </c>
      <c r="J383" s="17" t="str">
        <f>IF(AND(B383="BT", F383 &gt; 0.03 * SUMIF(B:B, "BT", F:F)), "ITA-C", IF(AND(B383="BT", E383 &gt; 0.03 * SUMIF(B:B, "BT", E:E)), "ITA-D", ""))</f>
        <v/>
      </c>
    </row>
    <row r="384" spans="1:10" x14ac:dyDescent="0.3">
      <c r="A384" s="153">
        <v>383</v>
      </c>
      <c r="B384" s="154" t="s">
        <v>48</v>
      </c>
      <c r="C384" s="36">
        <v>45764</v>
      </c>
      <c r="D384" s="36" t="s">
        <v>272</v>
      </c>
      <c r="E384" s="37">
        <v>60000</v>
      </c>
      <c r="F384" s="37"/>
      <c r="G384" s="37">
        <v>1323093.6100000001</v>
      </c>
      <c r="H384" s="39" t="s">
        <v>25</v>
      </c>
      <c r="I384" s="38" t="s">
        <v>25</v>
      </c>
      <c r="J384" s="17" t="str">
        <f>IF(AND(B384="BT", F384 &gt; 0.03 * SUMIF(B:B, "BT", F:F)), "ITA-C", IF(AND(B384="BT", E384 &gt; 0.03 * SUMIF(B:B, "BT", E:E)), "ITA-D", ""))</f>
        <v/>
      </c>
    </row>
    <row r="385" spans="1:10" x14ac:dyDescent="0.3">
      <c r="A385" s="18">
        <v>384</v>
      </c>
      <c r="B385" s="24" t="s">
        <v>39</v>
      </c>
      <c r="C385" s="25">
        <v>45764</v>
      </c>
      <c r="D385" s="6" t="s">
        <v>264</v>
      </c>
      <c r="E385" s="26">
        <v>17000</v>
      </c>
      <c r="F385" s="26"/>
      <c r="G385" s="26">
        <v>1306093.6100000001</v>
      </c>
      <c r="H385" s="28" t="s">
        <v>14</v>
      </c>
      <c r="I385" s="27" t="s">
        <v>14</v>
      </c>
      <c r="J385" s="17" t="str">
        <f>IF(AND(B385="BT", F385 &gt; 0.03 * SUMIF(B:B, "BT", F:F)), "ITA-C", IF(AND(B385="BT", E385 &gt; 0.03 * SUMIF(B:B, "BT", E:E)), "ITA-D", ""))</f>
        <v/>
      </c>
    </row>
    <row r="386" spans="1:10" x14ac:dyDescent="0.3">
      <c r="A386" s="18">
        <v>385</v>
      </c>
      <c r="B386" s="19" t="s">
        <v>41</v>
      </c>
      <c r="C386" s="20">
        <v>45764</v>
      </c>
      <c r="D386" s="20" t="s">
        <v>225</v>
      </c>
      <c r="E386" s="21">
        <v>40000</v>
      </c>
      <c r="F386" s="21"/>
      <c r="G386" s="21">
        <v>1266093.6100000001</v>
      </c>
      <c r="H386" s="23" t="s">
        <v>13</v>
      </c>
      <c r="I386" s="22" t="s">
        <v>13</v>
      </c>
      <c r="J386" s="17" t="str">
        <f>IF(AND(B386="BT", F386 &gt; 0.03 * SUMIF(B:B, "BT", F:F)), "ITA-C", IF(AND(B386="BT", E386 &gt; 0.03 * SUMIF(B:B, "BT", E:E)), "ITA-D", ""))</f>
        <v/>
      </c>
    </row>
    <row r="387" spans="1:10" x14ac:dyDescent="0.3">
      <c r="A387" s="18">
        <v>386</v>
      </c>
      <c r="B387" s="24" t="s">
        <v>39</v>
      </c>
      <c r="C387" s="25">
        <v>45764</v>
      </c>
      <c r="D387" s="25" t="s">
        <v>263</v>
      </c>
      <c r="E387" s="26">
        <v>60000</v>
      </c>
      <c r="F387" s="26"/>
      <c r="G387" s="26">
        <v>1206093.6100000001</v>
      </c>
      <c r="H387" s="28" t="s">
        <v>17</v>
      </c>
      <c r="I387" s="27" t="s">
        <v>17</v>
      </c>
      <c r="J387" s="17" t="str">
        <f>IF(AND(B387="BT", F387 &gt; 0.03 * SUMIF(B:B, "BT", F:F)), "ITA-C", IF(AND(B387="BT", E387 &gt; 0.03 * SUMIF(B:B, "BT", E:E)), "ITA-D", ""))</f>
        <v/>
      </c>
    </row>
    <row r="388" spans="1:10" x14ac:dyDescent="0.3">
      <c r="A388" s="18">
        <v>387</v>
      </c>
      <c r="B388" s="19" t="s">
        <v>41</v>
      </c>
      <c r="C388" s="20">
        <v>45764</v>
      </c>
      <c r="D388" s="20" t="s">
        <v>192</v>
      </c>
      <c r="E388" s="21"/>
      <c r="F388" s="21">
        <v>50000</v>
      </c>
      <c r="G388" s="21">
        <v>1256093.6100000001</v>
      </c>
      <c r="H388" s="23" t="s">
        <v>8</v>
      </c>
      <c r="I388" s="22" t="s">
        <v>8</v>
      </c>
      <c r="J388" s="17" t="str">
        <f>IF(AND(B388="BT", F388 &gt; 0.03 * SUMIF(B:B, "BT", F:F)), "ITA-C", IF(AND(B388="BT", E388 &gt; 0.03 * SUMIF(B:B, "BT", E:E)), "ITA-D", ""))</f>
        <v/>
      </c>
    </row>
    <row r="389" spans="1:10" x14ac:dyDescent="0.3">
      <c r="A389" s="18">
        <v>388</v>
      </c>
      <c r="B389" s="19" t="s">
        <v>41</v>
      </c>
      <c r="C389" s="20">
        <v>45765</v>
      </c>
      <c r="D389" s="20" t="s">
        <v>189</v>
      </c>
      <c r="E389" s="21">
        <v>100000</v>
      </c>
      <c r="F389" s="21"/>
      <c r="G389" s="21">
        <v>1156093.6100000001</v>
      </c>
      <c r="H389" s="23" t="s">
        <v>26</v>
      </c>
      <c r="I389" s="22" t="s">
        <v>26</v>
      </c>
      <c r="J389" s="17" t="str">
        <f>IF(AND(B389="BT", F389 &gt; 0.03 * SUMIF(B:B, "BT", F:F)), "ITA-C", IF(AND(B389="BT", E389 &gt; 0.03 * SUMIF(B:B, "BT", E:E)), "ITA-D", ""))</f>
        <v/>
      </c>
    </row>
    <row r="390" spans="1:10" x14ac:dyDescent="0.3">
      <c r="A390" s="153">
        <v>389</v>
      </c>
      <c r="B390" s="35" t="s">
        <v>48</v>
      </c>
      <c r="C390" s="36">
        <v>45765</v>
      </c>
      <c r="D390" s="36" t="s">
        <v>271</v>
      </c>
      <c r="E390" s="37">
        <v>6000</v>
      </c>
      <c r="F390" s="37"/>
      <c r="G390" s="37">
        <v>1150093.6100000001</v>
      </c>
      <c r="H390" s="39" t="s">
        <v>25</v>
      </c>
      <c r="I390" s="38" t="s">
        <v>25</v>
      </c>
      <c r="J390" s="17" t="str">
        <f>IF(AND(B390="BT", F390 &gt; 0.03 * SUMIF(B:B, "BT", F:F)), "ITA-C", IF(AND(B390="BT", E390 &gt; 0.03 * SUMIF(B:B, "BT", E:E)), "ITA-D", ""))</f>
        <v/>
      </c>
    </row>
    <row r="391" spans="1:10" x14ac:dyDescent="0.3">
      <c r="A391" s="18">
        <v>390</v>
      </c>
      <c r="B391" s="19" t="s">
        <v>41</v>
      </c>
      <c r="C391" s="20">
        <v>45766</v>
      </c>
      <c r="D391" s="20" t="s">
        <v>232</v>
      </c>
      <c r="E391" s="21"/>
      <c r="F391" s="21">
        <v>50000</v>
      </c>
      <c r="G391" s="21">
        <v>1200093.6100000001</v>
      </c>
      <c r="H391" s="23" t="s">
        <v>28</v>
      </c>
      <c r="I391" s="22" t="s">
        <v>28</v>
      </c>
      <c r="J391" s="17" t="str">
        <f>IF(AND(B391="BT", F391 &gt; 0.03 * SUMIF(B:B, "BT", F:F)), "ITA-C", IF(AND(B391="BT", E391 &gt; 0.03 * SUMIF(B:B, "BT", E:E)), "ITA-D", ""))</f>
        <v/>
      </c>
    </row>
    <row r="392" spans="1:10" x14ac:dyDescent="0.3">
      <c r="A392" s="18">
        <v>391</v>
      </c>
      <c r="B392" s="19" t="s">
        <v>41</v>
      </c>
      <c r="C392" s="20">
        <v>45766</v>
      </c>
      <c r="D392" s="20" t="s">
        <v>52</v>
      </c>
      <c r="E392" s="21">
        <v>19404</v>
      </c>
      <c r="F392" s="21"/>
      <c r="G392" s="21">
        <v>1180689.6100000001</v>
      </c>
      <c r="H392" s="23" t="s">
        <v>13</v>
      </c>
      <c r="I392" s="22" t="s">
        <v>13</v>
      </c>
      <c r="J392" s="177" t="str">
        <f>IF(AND(B392="BT", F392 &gt; 0.03 * SUMIF(B:B, "BT", F:F)), "ITA-C", IF(AND(B392="BT", E392 &gt; 0.03 * SUMIF(B:B, "BT", E:E)), "ITA-D", ""))</f>
        <v/>
      </c>
    </row>
    <row r="393" spans="1:10" x14ac:dyDescent="0.3">
      <c r="A393" s="18">
        <v>392</v>
      </c>
      <c r="B393" s="19" t="s">
        <v>41</v>
      </c>
      <c r="C393" s="20">
        <v>45766</v>
      </c>
      <c r="D393" s="20" t="s">
        <v>199</v>
      </c>
      <c r="E393" s="21">
        <v>176400</v>
      </c>
      <c r="F393" s="21"/>
      <c r="G393" s="21">
        <v>1004289.61</v>
      </c>
      <c r="H393" s="23" t="s">
        <v>13</v>
      </c>
      <c r="I393" s="22" t="s">
        <v>13</v>
      </c>
      <c r="J393" s="17" t="str">
        <f>IF(AND(B393="BT", F393 &gt; 0.03 * SUMIF(B:B, "BT", F:F)), "ITA-C", IF(AND(B393="BT", E393 &gt; 0.03 * SUMIF(B:B, "BT", E:E)), "ITA-D", ""))</f>
        <v/>
      </c>
    </row>
    <row r="394" spans="1:10" x14ac:dyDescent="0.3">
      <c r="A394" s="18">
        <v>393</v>
      </c>
      <c r="B394" s="19" t="s">
        <v>41</v>
      </c>
      <c r="C394" s="20">
        <v>45766</v>
      </c>
      <c r="D394" s="20" t="s">
        <v>213</v>
      </c>
      <c r="E394" s="21">
        <v>407500</v>
      </c>
      <c r="F394" s="21"/>
      <c r="G394" s="21">
        <v>596789.61</v>
      </c>
      <c r="H394" s="23" t="s">
        <v>26</v>
      </c>
      <c r="I394" s="22" t="s">
        <v>26</v>
      </c>
      <c r="J394" s="17" t="str">
        <f>IF(AND(B394="BT", F394 &gt; 0.03 * SUMIF(B:B, "BT", F:F)), "ITA-C", IF(AND(B394="BT", E394 &gt; 0.03 * SUMIF(B:B, "BT", E:E)), "ITA-D", ""))</f>
        <v/>
      </c>
    </row>
    <row r="395" spans="1:10" x14ac:dyDescent="0.3">
      <c r="A395" s="153">
        <v>394</v>
      </c>
      <c r="B395" s="154" t="s">
        <v>48</v>
      </c>
      <c r="C395" s="36">
        <v>45766</v>
      </c>
      <c r="D395" s="36" t="s">
        <v>272</v>
      </c>
      <c r="E395" s="37">
        <v>50000</v>
      </c>
      <c r="F395" s="37"/>
      <c r="G395" s="37">
        <v>546789.61</v>
      </c>
      <c r="H395" s="39" t="s">
        <v>25</v>
      </c>
      <c r="I395" s="38" t="s">
        <v>25</v>
      </c>
      <c r="J395" s="17" t="str">
        <f>IF(AND(B395="BT", F395 &gt; 0.03 * SUMIF(B:B, "BT", F:F)), "ITA-C", IF(AND(B395="BT", E395 &gt; 0.03 * SUMIF(B:B, "BT", E:E)), "ITA-D", ""))</f>
        <v/>
      </c>
    </row>
    <row r="396" spans="1:10" x14ac:dyDescent="0.3">
      <c r="A396" s="153">
        <v>395</v>
      </c>
      <c r="B396" s="35" t="s">
        <v>48</v>
      </c>
      <c r="C396" s="36">
        <v>45766</v>
      </c>
      <c r="D396" s="36" t="s">
        <v>271</v>
      </c>
      <c r="E396" s="37"/>
      <c r="F396" s="37">
        <v>28000</v>
      </c>
      <c r="G396" s="37">
        <v>574789.61</v>
      </c>
      <c r="H396" s="39" t="s">
        <v>21</v>
      </c>
      <c r="I396" s="38" t="s">
        <v>5</v>
      </c>
      <c r="J396" s="17" t="str">
        <f>IF(AND(B396="BT", F396 &gt; 0.03 * SUMIF(B:B, "BT", F:F)), "ITA-C", IF(AND(B396="BT", E396 &gt; 0.03 * SUMIF(B:B, "BT", E:E)), "ITA-D", ""))</f>
        <v/>
      </c>
    </row>
    <row r="397" spans="1:10" x14ac:dyDescent="0.3">
      <c r="A397" s="18">
        <v>396</v>
      </c>
      <c r="B397" s="19" t="s">
        <v>41</v>
      </c>
      <c r="C397" s="20">
        <v>45766</v>
      </c>
      <c r="D397" s="20" t="s">
        <v>228</v>
      </c>
      <c r="E397" s="21"/>
      <c r="F397" s="21">
        <v>114240</v>
      </c>
      <c r="G397" s="21">
        <v>689029.61</v>
      </c>
      <c r="H397" s="23" t="s">
        <v>5</v>
      </c>
      <c r="I397" s="22" t="s">
        <v>5</v>
      </c>
      <c r="J397" s="17" t="str">
        <f>IF(AND(B397="BT", F397 &gt; 0.03 * SUMIF(B:B, "BT", F:F)), "ITA-C", IF(AND(B397="BT", E397 &gt; 0.03 * SUMIF(B:B, "BT", E:E)), "ITA-D", ""))</f>
        <v/>
      </c>
    </row>
    <row r="398" spans="1:10" x14ac:dyDescent="0.3">
      <c r="A398" s="153">
        <v>397</v>
      </c>
      <c r="B398" s="35" t="s">
        <v>48</v>
      </c>
      <c r="C398" s="36">
        <v>45766</v>
      </c>
      <c r="D398" s="36" t="s">
        <v>276</v>
      </c>
      <c r="E398" s="37">
        <v>20000</v>
      </c>
      <c r="F398" s="37"/>
      <c r="G398" s="37">
        <v>669029.61</v>
      </c>
      <c r="H398" s="39" t="s">
        <v>6</v>
      </c>
      <c r="I398" s="38" t="s">
        <v>6</v>
      </c>
      <c r="J398" s="17" t="str">
        <f>IF(AND(B398="BT", F398 &gt; 0.03 * SUMIF(B:B, "BT", F:F)), "ITA-C", IF(AND(B398="BT", E398 &gt; 0.03 * SUMIF(B:B, "BT", E:E)), "ITA-D", ""))</f>
        <v/>
      </c>
    </row>
    <row r="399" spans="1:10" x14ac:dyDescent="0.3">
      <c r="A399" s="18">
        <v>398</v>
      </c>
      <c r="B399" s="19" t="s">
        <v>41</v>
      </c>
      <c r="C399" s="20">
        <v>45766</v>
      </c>
      <c r="D399" s="20" t="s">
        <v>209</v>
      </c>
      <c r="E399" s="21">
        <v>300000</v>
      </c>
      <c r="F399" s="21"/>
      <c r="G399" s="21">
        <v>369029.61</v>
      </c>
      <c r="H399" s="23" t="s">
        <v>9</v>
      </c>
      <c r="I399" s="22" t="s">
        <v>9</v>
      </c>
      <c r="J399" s="17" t="str">
        <f>IF(AND(B399="BT", F399 &gt; 0.03 * SUMIF(B:B, "BT", F:F)), "ITA-C", IF(AND(B399="BT", E399 &gt; 0.03 * SUMIF(B:B, "BT", E:E)), "ITA-D", ""))</f>
        <v/>
      </c>
    </row>
    <row r="400" spans="1:10" x14ac:dyDescent="0.3">
      <c r="A400" s="18">
        <v>399</v>
      </c>
      <c r="B400" s="19" t="s">
        <v>41</v>
      </c>
      <c r="C400" s="20">
        <v>45768</v>
      </c>
      <c r="D400" s="20" t="s">
        <v>233</v>
      </c>
      <c r="E400" s="21">
        <v>16605</v>
      </c>
      <c r="F400" s="21"/>
      <c r="G400" s="21">
        <v>352424.61</v>
      </c>
      <c r="H400" s="23" t="s">
        <v>13</v>
      </c>
      <c r="I400" s="22" t="s">
        <v>13</v>
      </c>
      <c r="J400" s="17" t="str">
        <f>IF(AND(B400="BT", F400 &gt; 0.03 * SUMIF(B:B, "BT", F:F)), "ITA-C", IF(AND(B400="BT", E400 &gt; 0.03 * SUMIF(B:B, "BT", E:E)), "ITA-D", ""))</f>
        <v/>
      </c>
    </row>
    <row r="401" spans="1:10" x14ac:dyDescent="0.3">
      <c r="A401" s="18">
        <v>400</v>
      </c>
      <c r="B401" s="19" t="s">
        <v>41</v>
      </c>
      <c r="C401" s="20">
        <v>45768</v>
      </c>
      <c r="D401" s="20" t="s">
        <v>226</v>
      </c>
      <c r="E401" s="21">
        <v>130750</v>
      </c>
      <c r="F401" s="21"/>
      <c r="G401" s="21">
        <v>221674.61</v>
      </c>
      <c r="H401" s="23" t="s">
        <v>13</v>
      </c>
      <c r="I401" s="22" t="s">
        <v>13</v>
      </c>
      <c r="J401" s="17" t="str">
        <f>IF(AND(B401="BT", F401 &gt; 0.03 * SUMIF(B:B, "BT", F:F)), "ITA-C", IF(AND(B401="BT", E401 &gt; 0.03 * SUMIF(B:B, "BT", E:E)), "ITA-D", ""))</f>
        <v/>
      </c>
    </row>
    <row r="402" spans="1:10" x14ac:dyDescent="0.3">
      <c r="A402" s="18">
        <v>401</v>
      </c>
      <c r="B402" s="19" t="s">
        <v>41</v>
      </c>
      <c r="C402" s="20">
        <v>45768</v>
      </c>
      <c r="D402" s="20" t="s">
        <v>234</v>
      </c>
      <c r="E402" s="21">
        <v>100000</v>
      </c>
      <c r="F402" s="21"/>
      <c r="G402" s="21">
        <v>121674.61</v>
      </c>
      <c r="H402" s="23" t="s">
        <v>6</v>
      </c>
      <c r="I402" s="22" t="s">
        <v>6</v>
      </c>
      <c r="J402" s="17" t="str">
        <f>IF(AND(B402="BT", F402 &gt; 0.03 * SUMIF(B:B, "BT", F:F)), "ITA-C", IF(AND(B402="BT", E402 &gt; 0.03 * SUMIF(B:B, "BT", E:E)), "ITA-D", ""))</f>
        <v/>
      </c>
    </row>
    <row r="403" spans="1:10" x14ac:dyDescent="0.3">
      <c r="A403" s="153">
        <v>402</v>
      </c>
      <c r="B403" s="35" t="s">
        <v>48</v>
      </c>
      <c r="C403" s="36">
        <v>45768</v>
      </c>
      <c r="D403" s="36" t="s">
        <v>276</v>
      </c>
      <c r="E403" s="37"/>
      <c r="F403" s="37">
        <v>17000</v>
      </c>
      <c r="G403" s="37">
        <v>138674.60999999999</v>
      </c>
      <c r="H403" s="39" t="s">
        <v>8</v>
      </c>
      <c r="I403" s="38" t="s">
        <v>8</v>
      </c>
      <c r="J403" s="17" t="str">
        <f>IF(AND(B403="BT", F403 &gt; 0.03 * SUMIF(B:B, "BT", F:F)), "ITA-C", IF(AND(B403="BT", E403 &gt; 0.03 * SUMIF(B:B, "BT", E:E)), "ITA-D", ""))</f>
        <v/>
      </c>
    </row>
    <row r="404" spans="1:10" x14ac:dyDescent="0.3">
      <c r="A404" s="18">
        <v>403</v>
      </c>
      <c r="B404" s="19" t="s">
        <v>41</v>
      </c>
      <c r="C404" s="20">
        <v>45768</v>
      </c>
      <c r="D404" s="20" t="s">
        <v>227</v>
      </c>
      <c r="E404" s="21"/>
      <c r="F404" s="21">
        <v>38231</v>
      </c>
      <c r="G404" s="21">
        <v>176905.61</v>
      </c>
      <c r="H404" s="23" t="s">
        <v>5</v>
      </c>
      <c r="I404" s="22" t="s">
        <v>5</v>
      </c>
      <c r="J404" s="17" t="str">
        <f>IF(AND(B404="BT", F404 &gt; 0.03 * SUMIF(B:B, "BT", F:F)), "ITA-C", IF(AND(B404="BT", E404 &gt; 0.03 * SUMIF(B:B, "BT", E:E)), "ITA-D", ""))</f>
        <v/>
      </c>
    </row>
    <row r="405" spans="1:10" x14ac:dyDescent="0.3">
      <c r="A405" s="153">
        <v>404</v>
      </c>
      <c r="B405" s="35" t="s">
        <v>48</v>
      </c>
      <c r="C405" s="36">
        <v>45768</v>
      </c>
      <c r="D405" s="36" t="s">
        <v>270</v>
      </c>
      <c r="E405" s="37">
        <v>100000</v>
      </c>
      <c r="F405" s="37"/>
      <c r="G405" s="37">
        <v>76905.61</v>
      </c>
      <c r="H405" s="39" t="s">
        <v>13</v>
      </c>
      <c r="I405" s="38" t="s">
        <v>13</v>
      </c>
      <c r="J405" s="17" t="str">
        <f>IF(AND(B405="BT", F405 &gt; 0.03 * SUMIF(B:B, "BT", F:F)), "ITA-C", IF(AND(B405="BT", E405 &gt; 0.03 * SUMIF(B:B, "BT", E:E)), "ITA-D", ""))</f>
        <v/>
      </c>
    </row>
    <row r="406" spans="1:10" x14ac:dyDescent="0.3">
      <c r="A406" s="18">
        <v>405</v>
      </c>
      <c r="B406" s="19" t="s">
        <v>41</v>
      </c>
      <c r="C406" s="20">
        <v>45769</v>
      </c>
      <c r="D406" s="20" t="s">
        <v>227</v>
      </c>
      <c r="E406" s="21"/>
      <c r="F406" s="21">
        <v>95000</v>
      </c>
      <c r="G406" s="21">
        <v>171905.61</v>
      </c>
      <c r="H406" s="23" t="s">
        <v>5</v>
      </c>
      <c r="I406" s="22" t="s">
        <v>5</v>
      </c>
      <c r="J406" s="17" t="str">
        <f>IF(AND(B406="BT", F406 &gt; 0.03 * SUMIF(B:B, "BT", F:F)), "ITA-C", IF(AND(B406="BT", E406 &gt; 0.03 * SUMIF(B:B, "BT", E:E)), "ITA-D", ""))</f>
        <v/>
      </c>
    </row>
    <row r="407" spans="1:10" x14ac:dyDescent="0.3">
      <c r="A407" s="153">
        <v>406</v>
      </c>
      <c r="B407" s="35" t="s">
        <v>48</v>
      </c>
      <c r="C407" s="36">
        <v>45769</v>
      </c>
      <c r="D407" s="36" t="s">
        <v>276</v>
      </c>
      <c r="E407" s="37">
        <v>17000</v>
      </c>
      <c r="F407" s="37"/>
      <c r="G407" s="37">
        <v>154905.60999999999</v>
      </c>
      <c r="H407" s="39" t="s">
        <v>6</v>
      </c>
      <c r="I407" s="38" t="s">
        <v>6</v>
      </c>
      <c r="J407" s="17" t="str">
        <f>IF(AND(B407="BT", F407 &gt; 0.03 * SUMIF(B:B, "BT", F:F)), "ITA-C", IF(AND(B407="BT", E407 &gt; 0.03 * SUMIF(B:B, "BT", E:E)), "ITA-D", ""))</f>
        <v/>
      </c>
    </row>
    <row r="408" spans="1:10" x14ac:dyDescent="0.3">
      <c r="A408" s="18">
        <v>407</v>
      </c>
      <c r="B408" s="19" t="s">
        <v>41</v>
      </c>
      <c r="C408" s="20">
        <v>45769</v>
      </c>
      <c r="D408" s="20" t="s">
        <v>230</v>
      </c>
      <c r="E408" s="21"/>
      <c r="F408" s="21">
        <v>50000</v>
      </c>
      <c r="G408" s="21">
        <v>204905.61</v>
      </c>
      <c r="H408" s="23" t="s">
        <v>5</v>
      </c>
      <c r="I408" s="22" t="s">
        <v>5</v>
      </c>
      <c r="J408" s="17" t="str">
        <f>IF(AND(B408="BT", F408 &gt; 0.03 * SUMIF(B:B, "BT", F:F)), "ITA-C", IF(AND(B408="BT", E408 &gt; 0.03 * SUMIF(B:B, "BT", E:E)), "ITA-D", ""))</f>
        <v/>
      </c>
    </row>
    <row r="409" spans="1:10" x14ac:dyDescent="0.3">
      <c r="A409" s="18">
        <v>408</v>
      </c>
      <c r="B409" s="19" t="s">
        <v>41</v>
      </c>
      <c r="C409" s="20">
        <v>45769</v>
      </c>
      <c r="D409" s="20" t="s">
        <v>239</v>
      </c>
      <c r="E409" s="21"/>
      <c r="F409" s="21">
        <v>21840</v>
      </c>
      <c r="G409" s="21">
        <v>226745.61</v>
      </c>
      <c r="H409" s="23" t="s">
        <v>19</v>
      </c>
      <c r="I409" s="22" t="s">
        <v>19</v>
      </c>
      <c r="J409" s="17" t="str">
        <f>IF(AND(B409="BT", F409 &gt; 0.03 * SUMIF(B:B, "BT", F:F)), "ITA-C", IF(AND(B409="BT", E409 &gt; 0.03 * SUMIF(B:B, "BT", E:E)), "ITA-D", ""))</f>
        <v/>
      </c>
    </row>
    <row r="410" spans="1:10" x14ac:dyDescent="0.3">
      <c r="A410" s="18">
        <v>409</v>
      </c>
      <c r="B410" s="19" t="s">
        <v>41</v>
      </c>
      <c r="C410" s="20">
        <v>45769</v>
      </c>
      <c r="D410" s="20" t="s">
        <v>209</v>
      </c>
      <c r="E410" s="21">
        <v>50000</v>
      </c>
      <c r="F410" s="21"/>
      <c r="G410" s="21">
        <v>176745.61</v>
      </c>
      <c r="H410" s="23" t="s">
        <v>13</v>
      </c>
      <c r="I410" s="22" t="s">
        <v>13</v>
      </c>
      <c r="J410" s="17" t="str">
        <f>IF(AND(B410="BT", F410 &gt; 0.03 * SUMIF(B:B, "BT", F:F)), "ITA-C", IF(AND(B410="BT", E410 &gt; 0.03 * SUMIF(B:B, "BT", E:E)), "ITA-D", ""))</f>
        <v/>
      </c>
    </row>
    <row r="411" spans="1:10" x14ac:dyDescent="0.3">
      <c r="A411" s="18">
        <v>410</v>
      </c>
      <c r="B411" s="19" t="s">
        <v>41</v>
      </c>
      <c r="C411" s="20">
        <v>45770</v>
      </c>
      <c r="D411" s="20" t="s">
        <v>226</v>
      </c>
      <c r="E411" s="21">
        <v>150000</v>
      </c>
      <c r="F411" s="21"/>
      <c r="G411" s="21">
        <v>26745.61</v>
      </c>
      <c r="H411" s="23" t="s">
        <v>13</v>
      </c>
      <c r="I411" s="22" t="s">
        <v>13</v>
      </c>
      <c r="J411" s="17" t="str">
        <f>IF(AND(B411="BT", F411 &gt; 0.03 * SUMIF(B:B, "BT", F:F)), "ITA-C", IF(AND(B411="BT", E411 &gt; 0.03 * SUMIF(B:B, "BT", E:E)), "ITA-D", ""))</f>
        <v/>
      </c>
    </row>
    <row r="412" spans="1:10" x14ac:dyDescent="0.3">
      <c r="A412" s="18">
        <v>411</v>
      </c>
      <c r="B412" s="19" t="s">
        <v>41</v>
      </c>
      <c r="C412" s="20">
        <v>45770</v>
      </c>
      <c r="D412" s="20" t="s">
        <v>228</v>
      </c>
      <c r="E412" s="21"/>
      <c r="F412" s="21">
        <v>84000</v>
      </c>
      <c r="G412" s="21">
        <v>110745.61</v>
      </c>
      <c r="H412" s="23" t="s">
        <v>5</v>
      </c>
      <c r="I412" s="22" t="s">
        <v>5</v>
      </c>
      <c r="J412" s="17" t="str">
        <f>IF(AND(B412="BT", F412 &gt; 0.03 * SUMIF(B:B, "BT", F:F)), "ITA-C", IF(AND(B412="BT", E412 &gt; 0.03 * SUMIF(B:B, "BT", E:E)), "ITA-D", ""))</f>
        <v/>
      </c>
    </row>
    <row r="413" spans="1:10" x14ac:dyDescent="0.3">
      <c r="A413" s="18">
        <v>412</v>
      </c>
      <c r="B413" s="24" t="s">
        <v>39</v>
      </c>
      <c r="C413" s="25">
        <v>45770</v>
      </c>
      <c r="D413" s="6" t="s">
        <v>258</v>
      </c>
      <c r="E413" s="26">
        <v>5.9</v>
      </c>
      <c r="F413" s="26"/>
      <c r="G413" s="26">
        <v>110739.71</v>
      </c>
      <c r="H413" s="28" t="s">
        <v>24</v>
      </c>
      <c r="I413" s="27" t="s">
        <v>24</v>
      </c>
      <c r="J413" s="17" t="str">
        <f>IF(AND(B413="BT", F413 &gt; 0.03 * SUMIF(B:B, "BT", F:F)), "ITA-C", IF(AND(B413="BT", E413 &gt; 0.03 * SUMIF(B:B, "BT", E:E)), "ITA-D", ""))</f>
        <v/>
      </c>
    </row>
    <row r="414" spans="1:10" x14ac:dyDescent="0.3">
      <c r="A414" s="18">
        <v>413</v>
      </c>
      <c r="B414" s="24" t="s">
        <v>39</v>
      </c>
      <c r="C414" s="25">
        <v>45770</v>
      </c>
      <c r="D414" s="6" t="s">
        <v>258</v>
      </c>
      <c r="E414" s="26">
        <v>5.9</v>
      </c>
      <c r="F414" s="26"/>
      <c r="G414" s="26">
        <v>110733.81</v>
      </c>
      <c r="H414" s="28" t="s">
        <v>24</v>
      </c>
      <c r="I414" s="27" t="s">
        <v>24</v>
      </c>
      <c r="J414" s="17" t="str">
        <f>IF(AND(B414="BT", F414 &gt; 0.03 * SUMIF(B:B, "BT", F:F)), "ITA-C", IF(AND(B414="BT", E414 &gt; 0.03 * SUMIF(B:B, "BT", E:E)), "ITA-D", ""))</f>
        <v/>
      </c>
    </row>
    <row r="415" spans="1:10" x14ac:dyDescent="0.3">
      <c r="A415" s="18">
        <v>414</v>
      </c>
      <c r="B415" s="24" t="s">
        <v>39</v>
      </c>
      <c r="C415" s="25">
        <v>45770</v>
      </c>
      <c r="D415" s="6" t="s">
        <v>258</v>
      </c>
      <c r="E415" s="26">
        <v>5.9</v>
      </c>
      <c r="F415" s="26"/>
      <c r="G415" s="26">
        <v>110727.91</v>
      </c>
      <c r="H415" s="28" t="s">
        <v>24</v>
      </c>
      <c r="I415" s="27" t="s">
        <v>24</v>
      </c>
      <c r="J415" s="17" t="str">
        <f>IF(AND(B415="BT", F415 &gt; 0.03 * SUMIF(B:B, "BT", F:F)), "ITA-C", IF(AND(B415="BT", E415 &gt; 0.03 * SUMIF(B:B, "BT", E:E)), "ITA-D", ""))</f>
        <v/>
      </c>
    </row>
    <row r="416" spans="1:10" x14ac:dyDescent="0.3">
      <c r="A416" s="18">
        <v>415</v>
      </c>
      <c r="B416" s="24" t="s">
        <v>39</v>
      </c>
      <c r="C416" s="25">
        <v>45770</v>
      </c>
      <c r="D416" s="6" t="s">
        <v>258</v>
      </c>
      <c r="E416" s="26">
        <v>5.9</v>
      </c>
      <c r="F416" s="26"/>
      <c r="G416" s="26">
        <v>110722.01</v>
      </c>
      <c r="H416" s="28" t="s">
        <v>24</v>
      </c>
      <c r="I416" s="27" t="s">
        <v>24</v>
      </c>
      <c r="J416" s="17" t="str">
        <f>IF(AND(B416="BT", F416 &gt; 0.03 * SUMIF(B:B, "BT", F:F)), "ITA-C", IF(AND(B416="BT", E416 &gt; 0.03 * SUMIF(B:B, "BT", E:E)), "ITA-D", ""))</f>
        <v/>
      </c>
    </row>
    <row r="417" spans="1:10" x14ac:dyDescent="0.3">
      <c r="A417" s="18">
        <v>416</v>
      </c>
      <c r="B417" s="19" t="s">
        <v>41</v>
      </c>
      <c r="C417" s="20">
        <v>45770</v>
      </c>
      <c r="D417" s="20" t="s">
        <v>230</v>
      </c>
      <c r="E417" s="21"/>
      <c r="F417" s="21">
        <v>44629</v>
      </c>
      <c r="G417" s="21">
        <v>155351.01</v>
      </c>
      <c r="H417" s="23" t="s">
        <v>5</v>
      </c>
      <c r="I417" s="22" t="s">
        <v>5</v>
      </c>
      <c r="J417" s="17" t="str">
        <f>IF(AND(B417="BT", F417 &gt; 0.03 * SUMIF(B:B, "BT", F:F)), "ITA-C", IF(AND(B417="BT", E417 &gt; 0.03 * SUMIF(B:B, "BT", E:E)), "ITA-D", ""))</f>
        <v/>
      </c>
    </row>
    <row r="418" spans="1:10" x14ac:dyDescent="0.3">
      <c r="A418" s="18">
        <v>417</v>
      </c>
      <c r="B418" s="19" t="s">
        <v>41</v>
      </c>
      <c r="C418" s="20">
        <v>45770</v>
      </c>
      <c r="D418" s="20" t="s">
        <v>209</v>
      </c>
      <c r="E418" s="21">
        <v>50000</v>
      </c>
      <c r="F418" s="21"/>
      <c r="G418" s="21">
        <v>105351.01</v>
      </c>
      <c r="H418" s="23" t="s">
        <v>13</v>
      </c>
      <c r="I418" s="22" t="s">
        <v>13</v>
      </c>
      <c r="J418" s="17" t="str">
        <f>IF(AND(B418="BT", F418 &gt; 0.03 * SUMIF(B:B, "BT", F:F)), "ITA-C", IF(AND(B418="BT", E418 &gt; 0.03 * SUMIF(B:B, "BT", E:E)), "ITA-D", ""))</f>
        <v/>
      </c>
    </row>
    <row r="419" spans="1:10" x14ac:dyDescent="0.3">
      <c r="A419" s="18">
        <v>418</v>
      </c>
      <c r="B419" s="19" t="s">
        <v>41</v>
      </c>
      <c r="C419" s="20">
        <v>45771</v>
      </c>
      <c r="D419" s="20" t="s">
        <v>232</v>
      </c>
      <c r="E419" s="21"/>
      <c r="F419" s="21">
        <v>50000</v>
      </c>
      <c r="G419" s="21">
        <v>155351.01</v>
      </c>
      <c r="H419" s="23" t="s">
        <v>28</v>
      </c>
      <c r="I419" s="22" t="s">
        <v>28</v>
      </c>
      <c r="J419" s="17" t="str">
        <f>IF(AND(B419="BT", F419 &gt; 0.03 * SUMIF(B:B, "BT", F:F)), "ITA-C", IF(AND(B419="BT", E419 &gt; 0.03 * SUMIF(B:B, "BT", E:E)), "ITA-D", ""))</f>
        <v/>
      </c>
    </row>
    <row r="420" spans="1:10" x14ac:dyDescent="0.3">
      <c r="A420" s="18">
        <v>419</v>
      </c>
      <c r="B420" s="19" t="s">
        <v>41</v>
      </c>
      <c r="C420" s="20">
        <v>45771</v>
      </c>
      <c r="D420" s="20" t="s">
        <v>226</v>
      </c>
      <c r="E420" s="21">
        <v>50000</v>
      </c>
      <c r="F420" s="21"/>
      <c r="G420" s="21">
        <v>105351.01</v>
      </c>
      <c r="H420" s="23" t="s">
        <v>13</v>
      </c>
      <c r="I420" s="22" t="s">
        <v>13</v>
      </c>
      <c r="J420" s="17" t="str">
        <f>IF(AND(B420="BT", F420 &gt; 0.03 * SUMIF(B:B, "BT", F:F)), "ITA-C", IF(AND(B420="BT", E420 &gt; 0.03 * SUMIF(B:B, "BT", E:E)), "ITA-D", ""))</f>
        <v/>
      </c>
    </row>
    <row r="421" spans="1:10" x14ac:dyDescent="0.3">
      <c r="A421" s="18">
        <v>420</v>
      </c>
      <c r="B421" s="19" t="s">
        <v>41</v>
      </c>
      <c r="C421" s="20">
        <v>45771</v>
      </c>
      <c r="D421" s="20" t="s">
        <v>209</v>
      </c>
      <c r="E421" s="21">
        <v>50000</v>
      </c>
      <c r="F421" s="21"/>
      <c r="G421" s="21">
        <v>55351.01</v>
      </c>
      <c r="H421" s="23" t="s">
        <v>13</v>
      </c>
      <c r="I421" s="22" t="s">
        <v>13</v>
      </c>
      <c r="J421" s="17" t="str">
        <f>IF(AND(B421="BT", F421 &gt; 0.03 * SUMIF(B:B, "BT", F:F)), "ITA-C", IF(AND(B421="BT", E421 &gt; 0.03 * SUMIF(B:B, "BT", E:E)), "ITA-D", ""))</f>
        <v/>
      </c>
    </row>
    <row r="422" spans="1:10" x14ac:dyDescent="0.3">
      <c r="A422" s="18">
        <v>421</v>
      </c>
      <c r="B422" s="19" t="s">
        <v>41</v>
      </c>
      <c r="C422" s="20">
        <v>45772</v>
      </c>
      <c r="D422" s="20" t="s">
        <v>52</v>
      </c>
      <c r="E422" s="21"/>
      <c r="F422" s="21">
        <v>1</v>
      </c>
      <c r="G422" s="21">
        <v>55352.01</v>
      </c>
      <c r="H422" s="23" t="s">
        <v>23</v>
      </c>
      <c r="I422" s="22" t="s">
        <v>23</v>
      </c>
      <c r="J422" s="177" t="str">
        <f>IF(AND(B422="BT", F422 &gt; 0.03 * SUMIF(B:B, "BT", F:F)), "ITA-C", IF(AND(B422="BT", E422 &gt; 0.03 * SUMIF(B:B, "BT", E:E)), "ITA-D", ""))</f>
        <v/>
      </c>
    </row>
    <row r="423" spans="1:10" x14ac:dyDescent="0.3">
      <c r="A423" s="18">
        <v>422</v>
      </c>
      <c r="B423" s="19" t="s">
        <v>41</v>
      </c>
      <c r="C423" s="20">
        <v>45773</v>
      </c>
      <c r="D423" s="20" t="s">
        <v>193</v>
      </c>
      <c r="E423" s="21"/>
      <c r="F423" s="21">
        <v>300000</v>
      </c>
      <c r="G423" s="21">
        <v>355352.01</v>
      </c>
      <c r="H423" s="23" t="s">
        <v>7</v>
      </c>
      <c r="I423" s="22" t="s">
        <v>7</v>
      </c>
      <c r="J423" s="17" t="str">
        <f>IF(AND(B423="BT", F423 &gt; 0.03 * SUMIF(B:B, "BT", F:F)), "ITA-C", IF(AND(B423="BT", E423 &gt; 0.03 * SUMIF(B:B, "BT", E:E)), "ITA-D", ""))</f>
        <v/>
      </c>
    </row>
    <row r="424" spans="1:10" x14ac:dyDescent="0.3">
      <c r="A424" s="18">
        <v>423</v>
      </c>
      <c r="B424" s="19" t="s">
        <v>41</v>
      </c>
      <c r="C424" s="20">
        <v>45773</v>
      </c>
      <c r="D424" s="20" t="s">
        <v>226</v>
      </c>
      <c r="E424" s="21">
        <v>175350</v>
      </c>
      <c r="F424" s="21"/>
      <c r="G424" s="21">
        <v>180002.01</v>
      </c>
      <c r="H424" s="23" t="s">
        <v>13</v>
      </c>
      <c r="I424" s="22" t="s">
        <v>13</v>
      </c>
      <c r="J424" s="17" t="str">
        <f>IF(AND(B424="BT", F424 &gt; 0.03 * SUMIF(B:B, "BT", F:F)), "ITA-C", IF(AND(B424="BT", E424 &gt; 0.03 * SUMIF(B:B, "BT", E:E)), "ITA-D", ""))</f>
        <v/>
      </c>
    </row>
    <row r="425" spans="1:10" x14ac:dyDescent="0.3">
      <c r="A425" s="18">
        <v>424</v>
      </c>
      <c r="B425" s="19" t="s">
        <v>41</v>
      </c>
      <c r="C425" s="20">
        <v>45773</v>
      </c>
      <c r="D425" s="20" t="s">
        <v>52</v>
      </c>
      <c r="E425" s="21"/>
      <c r="F425" s="21">
        <v>1</v>
      </c>
      <c r="G425" s="21">
        <v>180003.01</v>
      </c>
      <c r="H425" s="23" t="s">
        <v>10</v>
      </c>
      <c r="I425" s="22" t="s">
        <v>10</v>
      </c>
      <c r="J425" s="177" t="str">
        <f>IF(AND(B425="BT", F425 &gt; 0.03 * SUMIF(B:B, "BT", F:F)), "ITA-C", IF(AND(B425="BT", E425 &gt; 0.03 * SUMIF(B:B, "BT", E:E)), "ITA-D", ""))</f>
        <v/>
      </c>
    </row>
    <row r="426" spans="1:10" x14ac:dyDescent="0.3">
      <c r="A426" s="18">
        <v>425</v>
      </c>
      <c r="B426" s="19" t="s">
        <v>41</v>
      </c>
      <c r="C426" s="20">
        <v>45773</v>
      </c>
      <c r="D426" s="20" t="s">
        <v>209</v>
      </c>
      <c r="E426" s="21">
        <v>50000</v>
      </c>
      <c r="F426" s="21"/>
      <c r="G426" s="21">
        <v>130003.01</v>
      </c>
      <c r="H426" s="23" t="s">
        <v>13</v>
      </c>
      <c r="I426" s="22" t="s">
        <v>13</v>
      </c>
      <c r="J426" s="17" t="str">
        <f>IF(AND(B426="BT", F426 &gt; 0.03 * SUMIF(B:B, "BT", F:F)), "ITA-C", IF(AND(B426="BT", E426 &gt; 0.03 * SUMIF(B:B, "BT", E:E)), "ITA-D", ""))</f>
        <v/>
      </c>
    </row>
    <row r="427" spans="1:10" x14ac:dyDescent="0.3">
      <c r="A427" s="18">
        <v>426</v>
      </c>
      <c r="B427" s="19" t="s">
        <v>41</v>
      </c>
      <c r="C427" s="20">
        <v>45775</v>
      </c>
      <c r="D427" s="20" t="s">
        <v>232</v>
      </c>
      <c r="E427" s="21"/>
      <c r="F427" s="21">
        <v>50000</v>
      </c>
      <c r="G427" s="21">
        <v>180003.01</v>
      </c>
      <c r="H427" s="23" t="s">
        <v>28</v>
      </c>
      <c r="I427" s="22" t="s">
        <v>28</v>
      </c>
      <c r="J427" s="17" t="str">
        <f>IF(AND(B427="BT", F427 &gt; 0.03 * SUMIF(B:B, "BT", F:F)), "ITA-C", IF(AND(B427="BT", E427 &gt; 0.03 * SUMIF(B:B, "BT", E:E)), "ITA-D", ""))</f>
        <v/>
      </c>
    </row>
    <row r="428" spans="1:10" x14ac:dyDescent="0.3">
      <c r="A428" s="18">
        <v>427</v>
      </c>
      <c r="B428" s="24" t="s">
        <v>39</v>
      </c>
      <c r="C428" s="25">
        <v>45775</v>
      </c>
      <c r="D428" s="6" t="s">
        <v>258</v>
      </c>
      <c r="E428" s="26">
        <v>5.9</v>
      </c>
      <c r="F428" s="26"/>
      <c r="G428" s="26">
        <v>179997.11</v>
      </c>
      <c r="H428" s="28" t="s">
        <v>24</v>
      </c>
      <c r="I428" s="27" t="s">
        <v>24</v>
      </c>
      <c r="J428" s="17" t="str">
        <f>IF(AND(B428="BT", F428 &gt; 0.03 * SUMIF(B:B, "BT", F:F)), "ITA-C", IF(AND(B428="BT", E428 &gt; 0.03 * SUMIF(B:B, "BT", E:E)), "ITA-D", ""))</f>
        <v/>
      </c>
    </row>
    <row r="429" spans="1:10" x14ac:dyDescent="0.3">
      <c r="A429" s="18">
        <v>428</v>
      </c>
      <c r="B429" s="19" t="s">
        <v>41</v>
      </c>
      <c r="C429" s="20">
        <v>45775</v>
      </c>
      <c r="D429" s="20" t="s">
        <v>227</v>
      </c>
      <c r="E429" s="21"/>
      <c r="F429" s="21">
        <v>10920</v>
      </c>
      <c r="G429" s="21">
        <v>190917.11</v>
      </c>
      <c r="H429" s="23" t="s">
        <v>5</v>
      </c>
      <c r="I429" s="22" t="s">
        <v>5</v>
      </c>
      <c r="J429" s="17" t="str">
        <f>IF(AND(B429="BT", F429 &gt; 0.03 * SUMIF(B:B, "BT", F:F)), "ITA-C", IF(AND(B429="BT", E429 &gt; 0.03 * SUMIF(B:B, "BT", E:E)), "ITA-D", ""))</f>
        <v/>
      </c>
    </row>
    <row r="430" spans="1:10" x14ac:dyDescent="0.3">
      <c r="A430" s="18">
        <v>429</v>
      </c>
      <c r="B430" s="19" t="s">
        <v>41</v>
      </c>
      <c r="C430" s="20">
        <v>45775</v>
      </c>
      <c r="D430" s="20" t="s">
        <v>232</v>
      </c>
      <c r="E430" s="21"/>
      <c r="F430" s="21">
        <v>30000</v>
      </c>
      <c r="G430" s="21">
        <v>220917.11</v>
      </c>
      <c r="H430" s="23" t="s">
        <v>8</v>
      </c>
      <c r="I430" s="22" t="s">
        <v>8</v>
      </c>
      <c r="J430" s="17" t="str">
        <f>IF(AND(B430="BT", F430 &gt; 0.03 * SUMIF(B:B, "BT", F:F)), "ITA-C", IF(AND(B430="BT", E430 &gt; 0.03 * SUMIF(B:B, "BT", E:E)), "ITA-D", ""))</f>
        <v/>
      </c>
    </row>
    <row r="431" spans="1:10" x14ac:dyDescent="0.3">
      <c r="A431" s="153">
        <v>430</v>
      </c>
      <c r="B431" s="154" t="s">
        <v>48</v>
      </c>
      <c r="C431" s="36">
        <v>45775</v>
      </c>
      <c r="D431" s="36" t="s">
        <v>272</v>
      </c>
      <c r="E431" s="37">
        <v>55000</v>
      </c>
      <c r="F431" s="37"/>
      <c r="G431" s="37">
        <v>165917.10999999999</v>
      </c>
      <c r="H431" s="39" t="s">
        <v>25</v>
      </c>
      <c r="I431" s="38" t="s">
        <v>25</v>
      </c>
      <c r="J431" s="17" t="str">
        <f>IF(AND(B431="BT", F431 &gt; 0.03 * SUMIF(B:B, "BT", F:F)), "ITA-C", IF(AND(B431="BT", E431 &gt; 0.03 * SUMIF(B:B, "BT", E:E)), "ITA-D", ""))</f>
        <v/>
      </c>
    </row>
    <row r="432" spans="1:10" x14ac:dyDescent="0.3">
      <c r="A432" s="18">
        <v>431</v>
      </c>
      <c r="B432" s="19" t="s">
        <v>41</v>
      </c>
      <c r="C432" s="20">
        <v>45776</v>
      </c>
      <c r="D432" s="20" t="s">
        <v>222</v>
      </c>
      <c r="E432" s="21">
        <v>80168</v>
      </c>
      <c r="F432" s="21"/>
      <c r="G432" s="21">
        <v>85749.11</v>
      </c>
      <c r="H432" s="23" t="s">
        <v>26</v>
      </c>
      <c r="I432" s="22" t="s">
        <v>26</v>
      </c>
      <c r="J432" s="17" t="str">
        <f>IF(AND(B432="BT", F432 &gt; 0.03 * SUMIF(B:B, "BT", F:F)), "ITA-C", IF(AND(B432="BT", E432 &gt; 0.03 * SUMIF(B:B, "BT", E:E)), "ITA-D", ""))</f>
        <v/>
      </c>
    </row>
    <row r="433" spans="1:10" x14ac:dyDescent="0.3">
      <c r="A433" s="18">
        <v>432</v>
      </c>
      <c r="B433" s="19" t="s">
        <v>41</v>
      </c>
      <c r="C433" s="20">
        <v>45776</v>
      </c>
      <c r="D433" s="20" t="s">
        <v>52</v>
      </c>
      <c r="E433" s="21"/>
      <c r="F433" s="21">
        <v>1</v>
      </c>
      <c r="G433" s="21">
        <v>85750.11</v>
      </c>
      <c r="H433" s="23" t="s">
        <v>10</v>
      </c>
      <c r="I433" s="22" t="s">
        <v>10</v>
      </c>
      <c r="J433" s="177" t="str">
        <f>IF(AND(B433="BT", F433 &gt; 0.03 * SUMIF(B:B, "BT", F:F)), "ITA-C", IF(AND(B433="BT", E433 &gt; 0.03 * SUMIF(B:B, "BT", E:E)), "ITA-D", ""))</f>
        <v/>
      </c>
    </row>
    <row r="434" spans="1:10" x14ac:dyDescent="0.3">
      <c r="A434" s="18">
        <v>433</v>
      </c>
      <c r="B434" s="19" t="s">
        <v>41</v>
      </c>
      <c r="C434" s="20">
        <v>45776</v>
      </c>
      <c r="D434" s="20" t="s">
        <v>52</v>
      </c>
      <c r="E434" s="21"/>
      <c r="F434" s="21">
        <v>5003</v>
      </c>
      <c r="G434" s="21">
        <v>90753.11</v>
      </c>
      <c r="H434" s="23" t="s">
        <v>28</v>
      </c>
      <c r="I434" s="22" t="s">
        <v>28</v>
      </c>
      <c r="J434" s="177" t="str">
        <f>IF(AND(B434="BT", F434 &gt; 0.03 * SUMIF(B:B, "BT", F:F)), "ITA-C", IF(AND(B434="BT", E434 &gt; 0.03 * SUMIF(B:B, "BT", E:E)), "ITA-D", ""))</f>
        <v/>
      </c>
    </row>
    <row r="435" spans="1:10" x14ac:dyDescent="0.3">
      <c r="A435" s="18">
        <v>434</v>
      </c>
      <c r="B435" s="19" t="s">
        <v>41</v>
      </c>
      <c r="C435" s="20">
        <v>45776</v>
      </c>
      <c r="D435" s="20" t="s">
        <v>232</v>
      </c>
      <c r="E435" s="21"/>
      <c r="F435" s="21">
        <v>50000</v>
      </c>
      <c r="G435" s="21">
        <v>140753.10999999999</v>
      </c>
      <c r="H435" s="23" t="s">
        <v>28</v>
      </c>
      <c r="I435" s="22" t="s">
        <v>28</v>
      </c>
      <c r="J435" s="17" t="str">
        <f>IF(AND(B435="BT", F435 &gt; 0.03 * SUMIF(B:B, "BT", F:F)), "ITA-C", IF(AND(B435="BT", E435 &gt; 0.03 * SUMIF(B:B, "BT", E:E)), "ITA-D", ""))</f>
        <v/>
      </c>
    </row>
    <row r="436" spans="1:10" x14ac:dyDescent="0.3">
      <c r="A436" s="18">
        <v>435</v>
      </c>
      <c r="B436" s="19" t="s">
        <v>41</v>
      </c>
      <c r="C436" s="20">
        <v>45776</v>
      </c>
      <c r="D436" s="20" t="s">
        <v>216</v>
      </c>
      <c r="E436" s="21">
        <v>10032</v>
      </c>
      <c r="F436" s="21"/>
      <c r="G436" s="21">
        <v>130721.11</v>
      </c>
      <c r="H436" s="23" t="s">
        <v>13</v>
      </c>
      <c r="I436" s="22" t="s">
        <v>13</v>
      </c>
      <c r="J436" s="17" t="str">
        <f>IF(AND(B436="BT", F436 &gt; 0.03 * SUMIF(B:B, "BT", F:F)), "ITA-C", IF(AND(B436="BT", E436 &gt; 0.03 * SUMIF(B:B, "BT", E:E)), "ITA-D", ""))</f>
        <v/>
      </c>
    </row>
    <row r="437" spans="1:10" x14ac:dyDescent="0.3">
      <c r="A437" s="18">
        <v>436</v>
      </c>
      <c r="B437" s="19" t="s">
        <v>41</v>
      </c>
      <c r="C437" s="20">
        <v>45776</v>
      </c>
      <c r="D437" s="20" t="s">
        <v>236</v>
      </c>
      <c r="E437" s="21">
        <v>50000</v>
      </c>
      <c r="F437" s="21"/>
      <c r="G437" s="21">
        <v>80721.11</v>
      </c>
      <c r="H437" s="23" t="s">
        <v>13</v>
      </c>
      <c r="I437" s="22" t="s">
        <v>13</v>
      </c>
      <c r="J437" s="17" t="str">
        <f>IF(AND(B437="BT", F437 &gt; 0.03 * SUMIF(B:B, "BT", F:F)), "ITA-C", IF(AND(B437="BT", E437 &gt; 0.03 * SUMIF(B:B, "BT", E:E)), "ITA-D", ""))</f>
        <v/>
      </c>
    </row>
    <row r="438" spans="1:10" x14ac:dyDescent="0.3">
      <c r="A438" s="18">
        <v>437</v>
      </c>
      <c r="B438" s="19" t="s">
        <v>41</v>
      </c>
      <c r="C438" s="20">
        <v>45777</v>
      </c>
      <c r="D438" s="20" t="s">
        <v>232</v>
      </c>
      <c r="E438" s="21"/>
      <c r="F438" s="21">
        <v>50000</v>
      </c>
      <c r="G438" s="21">
        <v>130721.11</v>
      </c>
      <c r="H438" s="23" t="s">
        <v>28</v>
      </c>
      <c r="I438" s="22" t="s">
        <v>28</v>
      </c>
      <c r="J438" s="17" t="str">
        <f>IF(AND(B438="BT", F438 &gt; 0.03 * SUMIF(B:B, "BT", F:F)), "ITA-C", IF(AND(B438="BT", E438 &gt; 0.03 * SUMIF(B:B, "BT", E:E)), "ITA-D", ""))</f>
        <v/>
      </c>
    </row>
    <row r="439" spans="1:10" x14ac:dyDescent="0.3">
      <c r="A439" s="18">
        <v>438</v>
      </c>
      <c r="B439" s="19" t="s">
        <v>41</v>
      </c>
      <c r="C439" s="20">
        <v>45777</v>
      </c>
      <c r="D439" s="20" t="s">
        <v>225</v>
      </c>
      <c r="E439" s="21">
        <v>50000</v>
      </c>
      <c r="F439" s="21"/>
      <c r="G439" s="21">
        <v>80721.11</v>
      </c>
      <c r="H439" s="23" t="s">
        <v>26</v>
      </c>
      <c r="I439" s="22" t="s">
        <v>26</v>
      </c>
      <c r="J439" s="17" t="str">
        <f>IF(AND(B439="BT", F439 &gt; 0.03 * SUMIF(B:B, "BT", F:F)), "ITA-C", IF(AND(B439="BT", E439 &gt; 0.03 * SUMIF(B:B, "BT", E:E)), "ITA-D", ""))</f>
        <v/>
      </c>
    </row>
    <row r="440" spans="1:10" x14ac:dyDescent="0.3">
      <c r="A440" s="18">
        <v>439</v>
      </c>
      <c r="B440" s="19" t="s">
        <v>41</v>
      </c>
      <c r="C440" s="20">
        <v>45777</v>
      </c>
      <c r="D440" s="20" t="s">
        <v>52</v>
      </c>
      <c r="E440" s="21"/>
      <c r="F440" s="21">
        <v>1</v>
      </c>
      <c r="G440" s="21">
        <v>80722.11</v>
      </c>
      <c r="H440" s="23" t="s">
        <v>10</v>
      </c>
      <c r="I440" s="22" t="s">
        <v>10</v>
      </c>
      <c r="J440" s="177" t="str">
        <f>IF(AND(B440="BT", F440 &gt; 0.03 * SUMIF(B:B, "BT", F:F)), "ITA-C", IF(AND(B440="BT", E440 &gt; 0.03 * SUMIF(B:B, "BT", E:E)), "ITA-D", ""))</f>
        <v/>
      </c>
    </row>
    <row r="441" spans="1:10" x14ac:dyDescent="0.3">
      <c r="A441" s="153">
        <v>440</v>
      </c>
      <c r="B441" s="35" t="s">
        <v>48</v>
      </c>
      <c r="C441" s="36">
        <v>45777</v>
      </c>
      <c r="D441" s="36" t="s">
        <v>276</v>
      </c>
      <c r="E441" s="37">
        <v>10000</v>
      </c>
      <c r="F441" s="37"/>
      <c r="G441" s="37">
        <v>70722.11</v>
      </c>
      <c r="H441" s="39" t="s">
        <v>6</v>
      </c>
      <c r="I441" s="38" t="s">
        <v>6</v>
      </c>
      <c r="J441" s="17" t="str">
        <f>IF(AND(B441="BT", F441 &gt; 0.03 * SUMIF(B:B, "BT", F:F)), "ITA-C", IF(AND(B441="BT", E441 &gt; 0.03 * SUMIF(B:B, "BT", E:E)), "ITA-D", ""))</f>
        <v/>
      </c>
    </row>
    <row r="442" spans="1:10" x14ac:dyDescent="0.3">
      <c r="A442" s="133">
        <v>441</v>
      </c>
      <c r="B442" s="40" t="s">
        <v>47</v>
      </c>
      <c r="C442" s="41">
        <v>45778</v>
      </c>
      <c r="D442" s="41" t="s">
        <v>246</v>
      </c>
      <c r="E442" s="42"/>
      <c r="F442" s="42">
        <v>1462240.77</v>
      </c>
      <c r="G442" s="42">
        <v>1532962.88</v>
      </c>
      <c r="H442" s="44" t="s">
        <v>5</v>
      </c>
      <c r="I442" s="43" t="s">
        <v>5</v>
      </c>
      <c r="J442" s="17" t="str">
        <f>IF(AND(B442="BT", F442 &gt; 0.03 * SUMIF(B:B, "BT", F:F)), "ITA-C", IF(AND(B442="BT", E442 &gt; 0.03 * SUMIF(B:B, "BT", E:E)), "ITA-D", ""))</f>
        <v/>
      </c>
    </row>
    <row r="443" spans="1:10" x14ac:dyDescent="0.3">
      <c r="A443" s="153">
        <v>442</v>
      </c>
      <c r="B443" s="35" t="s">
        <v>48</v>
      </c>
      <c r="C443" s="36">
        <v>45778</v>
      </c>
      <c r="D443" s="36" t="s">
        <v>273</v>
      </c>
      <c r="E443" s="37">
        <v>1300000</v>
      </c>
      <c r="F443" s="37"/>
      <c r="G443" s="37">
        <v>232962.88</v>
      </c>
      <c r="H443" s="39" t="s">
        <v>9</v>
      </c>
      <c r="I443" s="38" t="s">
        <v>9</v>
      </c>
      <c r="J443" s="17" t="str">
        <f>IF(AND(B443="BT", F443 &gt; 0.03 * SUMIF(B:B, "BT", F:F)), "ITA-C", IF(AND(B443="BT", E443 &gt; 0.03 * SUMIF(B:B, "BT", E:E)), "ITA-D", ""))</f>
        <v/>
      </c>
    </row>
    <row r="444" spans="1:10" x14ac:dyDescent="0.3">
      <c r="A444" s="18">
        <v>443</v>
      </c>
      <c r="B444" s="19" t="s">
        <v>41</v>
      </c>
      <c r="C444" s="20">
        <v>45778</v>
      </c>
      <c r="D444" s="20" t="s">
        <v>226</v>
      </c>
      <c r="E444" s="21">
        <v>117600</v>
      </c>
      <c r="F444" s="21"/>
      <c r="G444" s="21">
        <v>115362.88</v>
      </c>
      <c r="H444" s="23" t="s">
        <v>13</v>
      </c>
      <c r="I444" s="22" t="s">
        <v>13</v>
      </c>
      <c r="J444" s="17" t="str">
        <f>IF(AND(B444="BT", F444 &gt; 0.03 * SUMIF(B:B, "BT", F:F)), "ITA-C", IF(AND(B444="BT", E444 &gt; 0.03 * SUMIF(B:B, "BT", E:E)), "ITA-D", ""))</f>
        <v/>
      </c>
    </row>
    <row r="445" spans="1:10" x14ac:dyDescent="0.3">
      <c r="A445" s="18">
        <v>444</v>
      </c>
      <c r="B445" s="24" t="s">
        <v>39</v>
      </c>
      <c r="C445" s="25">
        <v>45778</v>
      </c>
      <c r="D445" s="25" t="s">
        <v>260</v>
      </c>
      <c r="E445" s="26">
        <v>5000</v>
      </c>
      <c r="F445" s="26"/>
      <c r="G445" s="26">
        <v>110362.88</v>
      </c>
      <c r="H445" s="28" t="s">
        <v>12</v>
      </c>
      <c r="I445" s="27" t="s">
        <v>12</v>
      </c>
      <c r="J445" s="17" t="str">
        <f>IF(AND(B445="BT", F445 &gt; 0.03 * SUMIF(B:B, "BT", F:F)), "ITA-C", IF(AND(B445="BT", E445 &gt; 0.03 * SUMIF(B:B, "BT", E:E)), "ITA-D", ""))</f>
        <v/>
      </c>
    </row>
    <row r="446" spans="1:10" x14ac:dyDescent="0.3">
      <c r="A446" s="18">
        <v>445</v>
      </c>
      <c r="B446" s="19" t="s">
        <v>41</v>
      </c>
      <c r="C446" s="20">
        <v>45779</v>
      </c>
      <c r="D446" s="20" t="s">
        <v>232</v>
      </c>
      <c r="E446" s="21"/>
      <c r="F446" s="21">
        <v>16570</v>
      </c>
      <c r="G446" s="21">
        <v>126932.88</v>
      </c>
      <c r="H446" s="23" t="s">
        <v>28</v>
      </c>
      <c r="I446" s="22" t="s">
        <v>28</v>
      </c>
      <c r="J446" s="17" t="str">
        <f>IF(AND(B446="BT", F446 &gt; 0.03 * SUMIF(B:B, "BT", F:F)), "ITA-C", IF(AND(B446="BT", E446 &gt; 0.03 * SUMIF(B:B, "BT", E:E)), "ITA-D", ""))</f>
        <v/>
      </c>
    </row>
    <row r="447" spans="1:10" x14ac:dyDescent="0.3">
      <c r="A447" s="18">
        <v>446</v>
      </c>
      <c r="B447" s="24" t="s">
        <v>39</v>
      </c>
      <c r="C447" s="25">
        <v>45779</v>
      </c>
      <c r="D447" s="25" t="s">
        <v>265</v>
      </c>
      <c r="E447" s="26">
        <v>2520</v>
      </c>
      <c r="F447" s="26"/>
      <c r="G447" s="26">
        <v>124412.88</v>
      </c>
      <c r="H447" s="28" t="s">
        <v>6</v>
      </c>
      <c r="I447" s="27" t="s">
        <v>6</v>
      </c>
      <c r="J447" s="17" t="str">
        <f>IF(AND(B447="BT", F447 &gt; 0.03 * SUMIF(B:B, "BT", F:F)), "ITA-C", IF(AND(B447="BT", E447 &gt; 0.03 * SUMIF(B:B, "BT", E:E)), "ITA-D", ""))</f>
        <v/>
      </c>
    </row>
    <row r="448" spans="1:10" x14ac:dyDescent="0.3">
      <c r="A448" s="18">
        <v>447</v>
      </c>
      <c r="B448" s="24" t="s">
        <v>39</v>
      </c>
      <c r="C448" s="25">
        <v>45779</v>
      </c>
      <c r="D448" s="25" t="s">
        <v>260</v>
      </c>
      <c r="E448" s="26">
        <v>10000</v>
      </c>
      <c r="F448" s="26"/>
      <c r="G448" s="26">
        <v>114412.88</v>
      </c>
      <c r="H448" s="28" t="s">
        <v>12</v>
      </c>
      <c r="I448" s="27" t="s">
        <v>12</v>
      </c>
      <c r="J448" s="17" t="str">
        <f>IF(AND(B448="BT", F448 &gt; 0.03 * SUMIF(B:B, "BT", F:F)), "ITA-C", IF(AND(B448="BT", E448 &gt; 0.03 * SUMIF(B:B, "BT", E:E)), "ITA-D", ""))</f>
        <v/>
      </c>
    </row>
    <row r="449" spans="1:10" x14ac:dyDescent="0.3">
      <c r="A449" s="18">
        <v>448</v>
      </c>
      <c r="B449" s="19" t="s">
        <v>41</v>
      </c>
      <c r="C449" s="20">
        <v>45779</v>
      </c>
      <c r="D449" s="20" t="s">
        <v>233</v>
      </c>
      <c r="E449" s="21">
        <v>29400</v>
      </c>
      <c r="F449" s="21"/>
      <c r="G449" s="21">
        <v>85012.88</v>
      </c>
      <c r="H449" s="23" t="s">
        <v>13</v>
      </c>
      <c r="I449" s="22" t="s">
        <v>13</v>
      </c>
      <c r="J449" s="17" t="str">
        <f>IF(AND(B449="BT", F449 &gt; 0.03 * SUMIF(B:B, "BT", F:F)), "ITA-C", IF(AND(B449="BT", E449 &gt; 0.03 * SUMIF(B:B, "BT", E:E)), "ITA-D", ""))</f>
        <v/>
      </c>
    </row>
    <row r="450" spans="1:10" x14ac:dyDescent="0.3">
      <c r="A450" s="18">
        <v>449</v>
      </c>
      <c r="B450" s="19" t="s">
        <v>41</v>
      </c>
      <c r="C450" s="20">
        <v>45779</v>
      </c>
      <c r="D450" s="20" t="s">
        <v>193</v>
      </c>
      <c r="E450" s="21"/>
      <c r="F450" s="21">
        <v>219156</v>
      </c>
      <c r="G450" s="21">
        <v>304168.88</v>
      </c>
      <c r="H450" s="23" t="s">
        <v>7</v>
      </c>
      <c r="I450" s="22" t="s">
        <v>7</v>
      </c>
      <c r="J450" s="17" t="str">
        <f>IF(AND(B450="BT", F450 &gt; 0.03 * SUMIF(B:B, "BT", F:F)), "ITA-C", IF(AND(B450="BT", E450 &gt; 0.03 * SUMIF(B:B, "BT", E:E)), "ITA-D", ""))</f>
        <v/>
      </c>
    </row>
    <row r="451" spans="1:10" x14ac:dyDescent="0.3">
      <c r="A451" s="18">
        <v>450</v>
      </c>
      <c r="B451" s="24" t="s">
        <v>39</v>
      </c>
      <c r="C451" s="25">
        <v>45779</v>
      </c>
      <c r="D451" s="6" t="s">
        <v>264</v>
      </c>
      <c r="E451" s="26">
        <v>26128</v>
      </c>
      <c r="F451" s="26"/>
      <c r="G451" s="26">
        <v>278040.88</v>
      </c>
      <c r="H451" s="28" t="s">
        <v>14</v>
      </c>
      <c r="I451" s="27" t="s">
        <v>14</v>
      </c>
      <c r="J451" s="17" t="str">
        <f>IF(AND(B451="BT", F451 &gt; 0.03 * SUMIF(B:B, "BT", F:F)), "ITA-C", IF(AND(B451="BT", E451 &gt; 0.03 * SUMIF(B:B, "BT", E:E)), "ITA-D", ""))</f>
        <v/>
      </c>
    </row>
    <row r="452" spans="1:10" x14ac:dyDescent="0.3">
      <c r="A452" s="153">
        <v>451</v>
      </c>
      <c r="B452" s="154" t="s">
        <v>48</v>
      </c>
      <c r="C452" s="36">
        <v>45779</v>
      </c>
      <c r="D452" s="36" t="s">
        <v>272</v>
      </c>
      <c r="E452" s="37">
        <v>50000</v>
      </c>
      <c r="F452" s="37"/>
      <c r="G452" s="37">
        <v>228040.88</v>
      </c>
      <c r="H452" s="39" t="s">
        <v>25</v>
      </c>
      <c r="I452" s="38" t="s">
        <v>25</v>
      </c>
      <c r="J452" s="17" t="str">
        <f>IF(AND(B452="BT", F452 &gt; 0.03 * SUMIF(B:B, "BT", F:F)), "ITA-C", IF(AND(B452="BT", E452 &gt; 0.03 * SUMIF(B:B, "BT", E:E)), "ITA-D", ""))</f>
        <v/>
      </c>
    </row>
    <row r="453" spans="1:10" x14ac:dyDescent="0.3">
      <c r="A453" s="18">
        <v>452</v>
      </c>
      <c r="B453" s="19" t="s">
        <v>41</v>
      </c>
      <c r="C453" s="20">
        <v>45779</v>
      </c>
      <c r="D453" s="20" t="s">
        <v>193</v>
      </c>
      <c r="E453" s="21"/>
      <c r="F453" s="21">
        <v>300000</v>
      </c>
      <c r="G453" s="21">
        <v>528040.88</v>
      </c>
      <c r="H453" s="23" t="s">
        <v>7</v>
      </c>
      <c r="I453" s="22" t="s">
        <v>7</v>
      </c>
      <c r="J453" s="17" t="str">
        <f>IF(AND(B453="BT", F453 &gt; 0.03 * SUMIF(B:B, "BT", F:F)), "ITA-C", IF(AND(B453="BT", E453 &gt; 0.03 * SUMIF(B:B, "BT", E:E)), "ITA-D", ""))</f>
        <v/>
      </c>
    </row>
    <row r="454" spans="1:10" x14ac:dyDescent="0.3">
      <c r="A454" s="18">
        <v>453</v>
      </c>
      <c r="B454" s="19" t="s">
        <v>41</v>
      </c>
      <c r="C454" s="20">
        <v>45779</v>
      </c>
      <c r="D454" s="20" t="s">
        <v>52</v>
      </c>
      <c r="E454" s="21">
        <v>5164</v>
      </c>
      <c r="F454" s="21"/>
      <c r="G454" s="21">
        <v>522876.88</v>
      </c>
      <c r="H454" s="23" t="s">
        <v>6</v>
      </c>
      <c r="I454" s="22" t="s">
        <v>6</v>
      </c>
      <c r="J454" s="177" t="str">
        <f>IF(AND(B454="BT", F454 &gt; 0.03 * SUMIF(B:B, "BT", F:F)), "ITA-C", IF(AND(B454="BT", E454 &gt; 0.03 * SUMIF(B:B, "BT", E:E)), "ITA-D", ""))</f>
        <v/>
      </c>
    </row>
    <row r="455" spans="1:10" x14ac:dyDescent="0.3">
      <c r="A455" s="18">
        <v>454</v>
      </c>
      <c r="B455" s="19" t="s">
        <v>41</v>
      </c>
      <c r="C455" s="20">
        <v>45779</v>
      </c>
      <c r="D455" s="20" t="s">
        <v>236</v>
      </c>
      <c r="E455" s="21">
        <v>355000</v>
      </c>
      <c r="F455" s="21"/>
      <c r="G455" s="21">
        <v>167876.88</v>
      </c>
      <c r="H455" s="23" t="s">
        <v>9</v>
      </c>
      <c r="I455" s="22" t="s">
        <v>9</v>
      </c>
      <c r="J455" s="17" t="str">
        <f>IF(AND(B455="BT", F455 &gt; 0.03 * SUMIF(B:B, "BT", F:F)), "ITA-C", IF(AND(B455="BT", E455 &gt; 0.03 * SUMIF(B:B, "BT", E:E)), "ITA-D", ""))</f>
        <v/>
      </c>
    </row>
    <row r="456" spans="1:10" x14ac:dyDescent="0.3">
      <c r="A456" s="153">
        <v>455</v>
      </c>
      <c r="B456" s="154" t="s">
        <v>48</v>
      </c>
      <c r="C456" s="36">
        <v>45779</v>
      </c>
      <c r="D456" s="36" t="s">
        <v>272</v>
      </c>
      <c r="E456" s="37">
        <v>7000</v>
      </c>
      <c r="F456" s="37"/>
      <c r="G456" s="37">
        <v>160876.88</v>
      </c>
      <c r="H456" s="39" t="s">
        <v>13</v>
      </c>
      <c r="I456" s="38" t="s">
        <v>13</v>
      </c>
      <c r="J456" s="17" t="str">
        <f>IF(AND(B456="BT", F456 &gt; 0.03 * SUMIF(B:B, "BT", F:F)), "ITA-C", IF(AND(B456="BT", E456 &gt; 0.03 * SUMIF(B:B, "BT", E:E)), "ITA-D", ""))</f>
        <v/>
      </c>
    </row>
    <row r="457" spans="1:10" x14ac:dyDescent="0.3">
      <c r="A457" s="18">
        <v>456</v>
      </c>
      <c r="B457" s="19" t="s">
        <v>41</v>
      </c>
      <c r="C457" s="20">
        <v>45780</v>
      </c>
      <c r="D457" s="20" t="s">
        <v>222</v>
      </c>
      <c r="E457" s="21">
        <v>37343</v>
      </c>
      <c r="F457" s="21"/>
      <c r="G457" s="21">
        <v>123533.88</v>
      </c>
      <c r="H457" s="23" t="s">
        <v>26</v>
      </c>
      <c r="I457" s="22" t="s">
        <v>26</v>
      </c>
      <c r="J457" s="17" t="str">
        <f>IF(AND(B457="BT", F457 &gt; 0.03 * SUMIF(B:B, "BT", F:F)), "ITA-C", IF(AND(B457="BT", E457 &gt; 0.03 * SUMIF(B:B, "BT", E:E)), "ITA-D", ""))</f>
        <v/>
      </c>
    </row>
    <row r="458" spans="1:10" x14ac:dyDescent="0.3">
      <c r="A458" s="18">
        <v>457</v>
      </c>
      <c r="B458" s="19" t="s">
        <v>41</v>
      </c>
      <c r="C458" s="20">
        <v>45780</v>
      </c>
      <c r="D458" s="20" t="s">
        <v>209</v>
      </c>
      <c r="E458" s="21">
        <v>50000</v>
      </c>
      <c r="F458" s="21"/>
      <c r="G458" s="21">
        <v>73533.88</v>
      </c>
      <c r="H458" s="23" t="s">
        <v>13</v>
      </c>
      <c r="I458" s="22" t="s">
        <v>13</v>
      </c>
      <c r="J458" s="17" t="str">
        <f>IF(AND(B458="BT", F458 &gt; 0.03 * SUMIF(B:B, "BT", F:F)), "ITA-C", IF(AND(B458="BT", E458 &gt; 0.03 * SUMIF(B:B, "BT", E:E)), "ITA-D", ""))</f>
        <v/>
      </c>
    </row>
    <row r="459" spans="1:10" x14ac:dyDescent="0.3">
      <c r="A459" s="18">
        <v>458</v>
      </c>
      <c r="B459" s="19" t="s">
        <v>41</v>
      </c>
      <c r="C459" s="20">
        <v>45780</v>
      </c>
      <c r="D459" s="20" t="s">
        <v>52</v>
      </c>
      <c r="E459" s="21">
        <v>4881.7700000000004</v>
      </c>
      <c r="F459" s="21"/>
      <c r="G459" s="21">
        <v>68652.11</v>
      </c>
      <c r="H459" s="23" t="s">
        <v>6</v>
      </c>
      <c r="I459" s="22" t="s">
        <v>6</v>
      </c>
      <c r="J459" s="177" t="str">
        <f>IF(AND(B459="BT", F459 &gt; 0.03 * SUMIF(B:B, "BT", F:F)), "ITA-C", IF(AND(B459="BT", E459 &gt; 0.03 * SUMIF(B:B, "BT", E:E)), "ITA-D", ""))</f>
        <v/>
      </c>
    </row>
    <row r="460" spans="1:10" x14ac:dyDescent="0.3">
      <c r="A460" s="18">
        <v>459</v>
      </c>
      <c r="B460" s="19" t="s">
        <v>41</v>
      </c>
      <c r="C460" s="20">
        <v>45780</v>
      </c>
      <c r="D460" s="20" t="s">
        <v>193</v>
      </c>
      <c r="E460" s="21"/>
      <c r="F460" s="21">
        <v>318000</v>
      </c>
      <c r="G460" s="21">
        <v>386652.11</v>
      </c>
      <c r="H460" s="23" t="s">
        <v>7</v>
      </c>
      <c r="I460" s="22" t="s">
        <v>7</v>
      </c>
      <c r="J460" s="17" t="str">
        <f>IF(AND(B460="BT", F460 &gt; 0.03 * SUMIF(B:B, "BT", F:F)), "ITA-C", IF(AND(B460="BT", E460 &gt; 0.03 * SUMIF(B:B, "BT", E:E)), "ITA-D", ""))</f>
        <v/>
      </c>
    </row>
    <row r="461" spans="1:10" x14ac:dyDescent="0.3">
      <c r="A461" s="18">
        <v>460</v>
      </c>
      <c r="B461" s="19" t="s">
        <v>41</v>
      </c>
      <c r="C461" s="20">
        <v>45780</v>
      </c>
      <c r="D461" s="20" t="s">
        <v>216</v>
      </c>
      <c r="E461" s="21">
        <v>50000</v>
      </c>
      <c r="F461" s="21"/>
      <c r="G461" s="21">
        <v>336652.11</v>
      </c>
      <c r="H461" s="23" t="s">
        <v>13</v>
      </c>
      <c r="I461" s="22" t="s">
        <v>13</v>
      </c>
      <c r="J461" s="17" t="str">
        <f>IF(AND(B461="BT", F461 &gt; 0.03 * SUMIF(B:B, "BT", F:F)), "ITA-C", IF(AND(B461="BT", E461 &gt; 0.03 * SUMIF(B:B, "BT", E:E)), "ITA-D", ""))</f>
        <v/>
      </c>
    </row>
    <row r="462" spans="1:10" x14ac:dyDescent="0.3">
      <c r="A462" s="153">
        <v>461</v>
      </c>
      <c r="B462" s="35" t="s">
        <v>48</v>
      </c>
      <c r="C462" s="36">
        <v>45780</v>
      </c>
      <c r="D462" s="36" t="s">
        <v>270</v>
      </c>
      <c r="E462" s="37">
        <v>109710</v>
      </c>
      <c r="F462" s="37"/>
      <c r="G462" s="37">
        <v>226942.11</v>
      </c>
      <c r="H462" s="39" t="s">
        <v>13</v>
      </c>
      <c r="I462" s="38" t="s">
        <v>13</v>
      </c>
      <c r="J462" s="17" t="str">
        <f>IF(AND(B462="BT", F462 &gt; 0.03 * SUMIF(B:B, "BT", F:F)), "ITA-C", IF(AND(B462="BT", E462 &gt; 0.03 * SUMIF(B:B, "BT", E:E)), "ITA-D", ""))</f>
        <v/>
      </c>
    </row>
    <row r="463" spans="1:10" x14ac:dyDescent="0.3">
      <c r="A463" s="18">
        <v>462</v>
      </c>
      <c r="B463" s="19" t="s">
        <v>41</v>
      </c>
      <c r="C463" s="20">
        <v>45780</v>
      </c>
      <c r="D463" s="20" t="s">
        <v>226</v>
      </c>
      <c r="E463" s="21">
        <v>118720</v>
      </c>
      <c r="F463" s="21"/>
      <c r="G463" s="21">
        <v>108222.11</v>
      </c>
      <c r="H463" s="23" t="s">
        <v>13</v>
      </c>
      <c r="I463" s="22" t="s">
        <v>13</v>
      </c>
      <c r="J463" s="17" t="str">
        <f>IF(AND(B463="BT", F463 &gt; 0.03 * SUMIF(B:B, "BT", F:F)), "ITA-C", IF(AND(B463="BT", E463 &gt; 0.03 * SUMIF(B:B, "BT", E:E)), "ITA-D", ""))</f>
        <v/>
      </c>
    </row>
    <row r="464" spans="1:10" x14ac:dyDescent="0.3">
      <c r="A464" s="18">
        <v>463</v>
      </c>
      <c r="B464" s="19" t="s">
        <v>41</v>
      </c>
      <c r="C464" s="20">
        <v>45780</v>
      </c>
      <c r="D464" s="20" t="s">
        <v>232</v>
      </c>
      <c r="E464" s="21"/>
      <c r="F464" s="21">
        <v>30000</v>
      </c>
      <c r="G464" s="21">
        <v>138222.10999999999</v>
      </c>
      <c r="H464" s="23" t="s">
        <v>8</v>
      </c>
      <c r="I464" s="22" t="s">
        <v>8</v>
      </c>
      <c r="J464" s="17" t="str">
        <f>IF(AND(B464="BT", F464 &gt; 0.03 * SUMIF(B:B, "BT", F:F)), "ITA-C", IF(AND(B464="BT", E464 &gt; 0.03 * SUMIF(B:B, "BT", E:E)), "ITA-D", ""))</f>
        <v/>
      </c>
    </row>
    <row r="465" spans="1:10" x14ac:dyDescent="0.3">
      <c r="A465" s="153">
        <v>464</v>
      </c>
      <c r="B465" s="154" t="s">
        <v>48</v>
      </c>
      <c r="C465" s="36">
        <v>45781</v>
      </c>
      <c r="D465" s="36" t="s">
        <v>272</v>
      </c>
      <c r="E465" s="37">
        <v>30000</v>
      </c>
      <c r="F465" s="37"/>
      <c r="G465" s="37">
        <v>108222.11</v>
      </c>
      <c r="H465" s="39" t="s">
        <v>25</v>
      </c>
      <c r="I465" s="38" t="s">
        <v>25</v>
      </c>
      <c r="J465" s="17" t="str">
        <f>IF(AND(B465="BT", F465 &gt; 0.03 * SUMIF(B:B, "BT", F:F)), "ITA-C", IF(AND(B465="BT", E465 &gt; 0.03 * SUMIF(B:B, "BT", E:E)), "ITA-D", ""))</f>
        <v/>
      </c>
    </row>
    <row r="466" spans="1:10" x14ac:dyDescent="0.3">
      <c r="A466" s="133">
        <v>465</v>
      </c>
      <c r="B466" s="40" t="s">
        <v>47</v>
      </c>
      <c r="C466" s="41">
        <v>45782</v>
      </c>
      <c r="D466" s="41" t="s">
        <v>243</v>
      </c>
      <c r="E466" s="42">
        <v>37200</v>
      </c>
      <c r="F466" s="42"/>
      <c r="G466" s="42">
        <v>71022.11</v>
      </c>
      <c r="H466" s="44" t="s">
        <v>18</v>
      </c>
      <c r="I466" s="43" t="s">
        <v>18</v>
      </c>
      <c r="J466" s="17" t="str">
        <f>IF(AND(B466="BT", F466 &gt; 0.03 * SUMIF(B:B, "BT", F:F)), "ITA-C", IF(AND(B466="BT", E466 &gt; 0.03 * SUMIF(B:B, "BT", E:E)), "ITA-D", ""))</f>
        <v/>
      </c>
    </row>
    <row r="467" spans="1:10" x14ac:dyDescent="0.3">
      <c r="A467" s="153">
        <v>466</v>
      </c>
      <c r="B467" s="35" t="s">
        <v>48</v>
      </c>
      <c r="C467" s="36">
        <v>45782</v>
      </c>
      <c r="D467" s="36" t="s">
        <v>276</v>
      </c>
      <c r="E467" s="37">
        <v>10000</v>
      </c>
      <c r="F467" s="37"/>
      <c r="G467" s="37">
        <v>61022.11</v>
      </c>
      <c r="H467" s="39" t="s">
        <v>6</v>
      </c>
      <c r="I467" s="38" t="s">
        <v>6</v>
      </c>
      <c r="J467" s="17" t="str">
        <f>IF(AND(B467="BT", F467 &gt; 0.03 * SUMIF(B:B, "BT", F:F)), "ITA-C", IF(AND(B467="BT", E467 &gt; 0.03 * SUMIF(B:B, "BT", E:E)), "ITA-D", ""))</f>
        <v/>
      </c>
    </row>
    <row r="468" spans="1:10" x14ac:dyDescent="0.3">
      <c r="A468" s="18">
        <v>467</v>
      </c>
      <c r="B468" s="24" t="s">
        <v>39</v>
      </c>
      <c r="C468" s="25">
        <v>45782</v>
      </c>
      <c r="D468" s="6" t="s">
        <v>258</v>
      </c>
      <c r="E468" s="26">
        <v>5.9</v>
      </c>
      <c r="F468" s="26"/>
      <c r="G468" s="26">
        <v>61016.21</v>
      </c>
      <c r="H468" s="28" t="s">
        <v>24</v>
      </c>
      <c r="I468" s="27" t="s">
        <v>24</v>
      </c>
      <c r="J468" s="17" t="str">
        <f>IF(AND(B468="BT", F468 &gt; 0.03 * SUMIF(B:B, "BT", F:F)), "ITA-C", IF(AND(B468="BT", E468 &gt; 0.03 * SUMIF(B:B, "BT", E:E)), "ITA-D", ""))</f>
        <v/>
      </c>
    </row>
    <row r="469" spans="1:10" x14ac:dyDescent="0.3">
      <c r="A469" s="18">
        <v>468</v>
      </c>
      <c r="B469" s="19" t="s">
        <v>41</v>
      </c>
      <c r="C469" s="20">
        <v>45782</v>
      </c>
      <c r="D469" s="20" t="s">
        <v>193</v>
      </c>
      <c r="E469" s="21"/>
      <c r="F469" s="21">
        <v>500000</v>
      </c>
      <c r="G469" s="21">
        <v>561016.21</v>
      </c>
      <c r="H469" s="23" t="s">
        <v>7</v>
      </c>
      <c r="I469" s="22" t="s">
        <v>7</v>
      </c>
      <c r="J469" s="17" t="str">
        <f>IF(AND(B469="BT", F469 &gt; 0.03 * SUMIF(B:B, "BT", F:F)), "ITA-C", IF(AND(B469="BT", E469 &gt; 0.03 * SUMIF(B:B, "BT", E:E)), "ITA-D", ""))</f>
        <v/>
      </c>
    </row>
    <row r="470" spans="1:10" x14ac:dyDescent="0.3">
      <c r="A470" s="153">
        <v>469</v>
      </c>
      <c r="B470" s="35" t="s">
        <v>48</v>
      </c>
      <c r="C470" s="36">
        <v>45782</v>
      </c>
      <c r="D470" s="36" t="s">
        <v>273</v>
      </c>
      <c r="E470" s="37">
        <v>500000</v>
      </c>
      <c r="F470" s="37"/>
      <c r="G470" s="37">
        <v>61016.21</v>
      </c>
      <c r="H470" s="39" t="s">
        <v>9</v>
      </c>
      <c r="I470" s="38" t="s">
        <v>9</v>
      </c>
      <c r="J470" s="17" t="str">
        <f>IF(AND(B470="BT", F470 &gt; 0.03 * SUMIF(B:B, "BT", F:F)), "ITA-C", IF(AND(B470="BT", E470 &gt; 0.03 * SUMIF(B:B, "BT", E:E)), "ITA-D", ""))</f>
        <v/>
      </c>
    </row>
    <row r="471" spans="1:10" x14ac:dyDescent="0.3">
      <c r="A471" s="18">
        <v>470</v>
      </c>
      <c r="B471" s="19" t="s">
        <v>41</v>
      </c>
      <c r="C471" s="20">
        <v>45783</v>
      </c>
      <c r="D471" s="20" t="s">
        <v>233</v>
      </c>
      <c r="E471" s="21">
        <v>16605</v>
      </c>
      <c r="F471" s="21"/>
      <c r="G471" s="21">
        <v>44411.21</v>
      </c>
      <c r="H471" s="23" t="s">
        <v>13</v>
      </c>
      <c r="I471" s="22" t="s">
        <v>13</v>
      </c>
      <c r="J471" s="17" t="str">
        <f>IF(AND(B471="BT", F471 &gt; 0.03 * SUMIF(B:B, "BT", F:F)), "ITA-C", IF(AND(B471="BT", E471 &gt; 0.03 * SUMIF(B:B, "BT", E:E)), "ITA-D", ""))</f>
        <v/>
      </c>
    </row>
    <row r="472" spans="1:10" x14ac:dyDescent="0.3">
      <c r="A472" s="153">
        <v>471</v>
      </c>
      <c r="B472" s="35" t="s">
        <v>48</v>
      </c>
      <c r="C472" s="36">
        <v>45783</v>
      </c>
      <c r="D472" s="36" t="s">
        <v>271</v>
      </c>
      <c r="E472" s="37"/>
      <c r="F472" s="37">
        <v>9000</v>
      </c>
      <c r="G472" s="37">
        <v>53411.21</v>
      </c>
      <c r="H472" s="39" t="s">
        <v>21</v>
      </c>
      <c r="I472" s="38" t="s">
        <v>5</v>
      </c>
      <c r="J472" s="17" t="str">
        <f>IF(AND(B472="BT", F472 &gt; 0.03 * SUMIF(B:B, "BT", F:F)), "ITA-C", IF(AND(B472="BT", E472 &gt; 0.03 * SUMIF(B:B, "BT", E:E)), "ITA-D", ""))</f>
        <v/>
      </c>
    </row>
    <row r="473" spans="1:10" x14ac:dyDescent="0.3">
      <c r="A473" s="153">
        <v>472</v>
      </c>
      <c r="B473" s="35" t="s">
        <v>48</v>
      </c>
      <c r="C473" s="36">
        <v>45783</v>
      </c>
      <c r="D473" s="36" t="s">
        <v>276</v>
      </c>
      <c r="E473" s="37">
        <v>12000</v>
      </c>
      <c r="F473" s="37"/>
      <c r="G473" s="37">
        <v>41411.21</v>
      </c>
      <c r="H473" s="39" t="s">
        <v>6</v>
      </c>
      <c r="I473" s="38" t="s">
        <v>6</v>
      </c>
      <c r="J473" s="17" t="str">
        <f>IF(AND(B473="BT", F473 &gt; 0.03 * SUMIF(B:B, "BT", F:F)), "ITA-C", IF(AND(B473="BT", E473 &gt; 0.03 * SUMIF(B:B, "BT", E:E)), "ITA-D", ""))</f>
        <v/>
      </c>
    </row>
    <row r="474" spans="1:10" x14ac:dyDescent="0.3">
      <c r="A474" s="18">
        <v>473</v>
      </c>
      <c r="B474" s="19" t="s">
        <v>41</v>
      </c>
      <c r="C474" s="20">
        <v>45783</v>
      </c>
      <c r="D474" s="20" t="s">
        <v>193</v>
      </c>
      <c r="E474" s="21"/>
      <c r="F474" s="21">
        <v>500000</v>
      </c>
      <c r="G474" s="21">
        <v>541411.21</v>
      </c>
      <c r="H474" s="23" t="s">
        <v>7</v>
      </c>
      <c r="I474" s="22" t="s">
        <v>7</v>
      </c>
      <c r="J474" s="17" t="str">
        <f>IF(AND(B474="BT", F474 &gt; 0.03 * SUMIF(B:B, "BT", F:F)), "ITA-C", IF(AND(B474="BT", E474 &gt; 0.03 * SUMIF(B:B, "BT", E:E)), "ITA-D", ""))</f>
        <v/>
      </c>
    </row>
    <row r="475" spans="1:10" x14ac:dyDescent="0.3">
      <c r="A475" s="18">
        <v>474</v>
      </c>
      <c r="B475" s="19" t="s">
        <v>41</v>
      </c>
      <c r="C475" s="20">
        <v>45783</v>
      </c>
      <c r="D475" s="20" t="s">
        <v>199</v>
      </c>
      <c r="E475" s="21">
        <v>500000</v>
      </c>
      <c r="F475" s="21"/>
      <c r="G475" s="21">
        <v>41411.21</v>
      </c>
      <c r="H475" s="23" t="s">
        <v>9</v>
      </c>
      <c r="I475" s="22" t="s">
        <v>9</v>
      </c>
      <c r="J475" s="17" t="str">
        <f>IF(AND(B475="BT", F475 &gt; 0.03 * SUMIF(B:B, "BT", F:F)), "ITA-C", IF(AND(B475="BT", E475 &gt; 0.03 * SUMIF(B:B, "BT", E:E)), "ITA-D", ""))</f>
        <v/>
      </c>
    </row>
    <row r="476" spans="1:10" x14ac:dyDescent="0.3">
      <c r="A476" s="18">
        <v>475</v>
      </c>
      <c r="B476" s="24" t="s">
        <v>39</v>
      </c>
      <c r="C476" s="25">
        <v>45784</v>
      </c>
      <c r="D476" s="6" t="s">
        <v>258</v>
      </c>
      <c r="E476" s="26">
        <v>5.9</v>
      </c>
      <c r="F476" s="26"/>
      <c r="G476" s="26">
        <v>41405.31</v>
      </c>
      <c r="H476" s="28" t="s">
        <v>24</v>
      </c>
      <c r="I476" s="27" t="s">
        <v>24</v>
      </c>
      <c r="J476" s="17" t="str">
        <f>IF(AND(B476="BT", F476 &gt; 0.03 * SUMIF(B:B, "BT", F:F)), "ITA-C", IF(AND(B476="BT", E476 &gt; 0.03 * SUMIF(B:B, "BT", E:E)), "ITA-D", ""))</f>
        <v/>
      </c>
    </row>
    <row r="477" spans="1:10" x14ac:dyDescent="0.3">
      <c r="A477" s="18">
        <v>476</v>
      </c>
      <c r="B477" s="24" t="s">
        <v>39</v>
      </c>
      <c r="C477" s="25">
        <v>45784</v>
      </c>
      <c r="D477" s="6" t="s">
        <v>258</v>
      </c>
      <c r="E477" s="26">
        <v>5.9</v>
      </c>
      <c r="F477" s="26"/>
      <c r="G477" s="26">
        <v>41399.410000000003</v>
      </c>
      <c r="H477" s="28" t="s">
        <v>24</v>
      </c>
      <c r="I477" s="27" t="s">
        <v>24</v>
      </c>
      <c r="J477" s="17" t="str">
        <f>IF(AND(B477="BT", F477 &gt; 0.03 * SUMIF(B:B, "BT", F:F)), "ITA-C", IF(AND(B477="BT", E477 &gt; 0.03 * SUMIF(B:B, "BT", E:E)), "ITA-D", ""))</f>
        <v/>
      </c>
    </row>
    <row r="478" spans="1:10" x14ac:dyDescent="0.3">
      <c r="A478" s="18">
        <v>477</v>
      </c>
      <c r="B478" s="24" t="s">
        <v>39</v>
      </c>
      <c r="C478" s="25">
        <v>45784</v>
      </c>
      <c r="D478" s="6" t="s">
        <v>258</v>
      </c>
      <c r="E478" s="26">
        <v>5.9</v>
      </c>
      <c r="F478" s="26"/>
      <c r="G478" s="26">
        <v>41393.51</v>
      </c>
      <c r="H478" s="28" t="s">
        <v>24</v>
      </c>
      <c r="I478" s="27" t="s">
        <v>24</v>
      </c>
      <c r="J478" s="17" t="str">
        <f>IF(AND(B478="BT", F478 &gt; 0.03 * SUMIF(B:B, "BT", F:F)), "ITA-C", IF(AND(B478="BT", E478 &gt; 0.03 * SUMIF(B:B, "BT", E:E)), "ITA-D", ""))</f>
        <v/>
      </c>
    </row>
    <row r="479" spans="1:10" x14ac:dyDescent="0.3">
      <c r="A479" s="18">
        <v>478</v>
      </c>
      <c r="B479" s="19" t="s">
        <v>41</v>
      </c>
      <c r="C479" s="20">
        <v>45784</v>
      </c>
      <c r="D479" s="20" t="s">
        <v>52</v>
      </c>
      <c r="E479" s="21"/>
      <c r="F479" s="21">
        <v>1</v>
      </c>
      <c r="G479" s="21">
        <v>41394.51</v>
      </c>
      <c r="H479" s="23" t="s">
        <v>10</v>
      </c>
      <c r="I479" s="22" t="s">
        <v>10</v>
      </c>
      <c r="J479" s="177" t="str">
        <f>IF(AND(B479="BT", F479 &gt; 0.03 * SUMIF(B:B, "BT", F:F)), "ITA-C", IF(AND(B479="BT", E479 &gt; 0.03 * SUMIF(B:B, "BT", E:E)), "ITA-D", ""))</f>
        <v/>
      </c>
    </row>
    <row r="480" spans="1:10" x14ac:dyDescent="0.3">
      <c r="A480" s="18">
        <v>479</v>
      </c>
      <c r="B480" s="19" t="s">
        <v>41</v>
      </c>
      <c r="C480" s="20">
        <v>45784</v>
      </c>
      <c r="D480" s="20" t="s">
        <v>232</v>
      </c>
      <c r="E480" s="21"/>
      <c r="F480" s="21">
        <v>30000</v>
      </c>
      <c r="G480" s="21">
        <v>71394.509999999995</v>
      </c>
      <c r="H480" s="23" t="s">
        <v>8</v>
      </c>
      <c r="I480" s="22" t="s">
        <v>8</v>
      </c>
      <c r="J480" s="17" t="str">
        <f>IF(AND(B480="BT", F480 &gt; 0.03 * SUMIF(B:B, "BT", F:F)), "ITA-C", IF(AND(B480="BT", E480 &gt; 0.03 * SUMIF(B:B, "BT", E:E)), "ITA-D", ""))</f>
        <v/>
      </c>
    </row>
    <row r="481" spans="1:10" x14ac:dyDescent="0.3">
      <c r="A481" s="18">
        <v>480</v>
      </c>
      <c r="B481" s="19" t="s">
        <v>41</v>
      </c>
      <c r="C481" s="20">
        <v>45785</v>
      </c>
      <c r="D481" s="20" t="s">
        <v>230</v>
      </c>
      <c r="E481" s="21"/>
      <c r="F481" s="21">
        <v>39803</v>
      </c>
      <c r="G481" s="21">
        <v>111197.51</v>
      </c>
      <c r="H481" s="23" t="s">
        <v>5</v>
      </c>
      <c r="I481" s="22" t="s">
        <v>5</v>
      </c>
      <c r="J481" s="17" t="str">
        <f>IF(AND(B481="BT", F481 &gt; 0.03 * SUMIF(B:B, "BT", F:F)), "ITA-C", IF(AND(B481="BT", E481 &gt; 0.03 * SUMIF(B:B, "BT", E:E)), "ITA-D", ""))</f>
        <v/>
      </c>
    </row>
    <row r="482" spans="1:10" x14ac:dyDescent="0.3">
      <c r="A482" s="18">
        <v>481</v>
      </c>
      <c r="B482" s="19" t="s">
        <v>41</v>
      </c>
      <c r="C482" s="20">
        <v>45786</v>
      </c>
      <c r="D482" s="20" t="s">
        <v>222</v>
      </c>
      <c r="E482" s="21">
        <v>47376</v>
      </c>
      <c r="F482" s="21"/>
      <c r="G482" s="21">
        <v>63821.51</v>
      </c>
      <c r="H482" s="23" t="s">
        <v>26</v>
      </c>
      <c r="I482" s="22" t="s">
        <v>26</v>
      </c>
      <c r="J482" s="17" t="str">
        <f>IF(AND(B482="BT", F482 &gt; 0.03 * SUMIF(B:B, "BT", F:F)), "ITA-C", IF(AND(B482="BT", E482 &gt; 0.03 * SUMIF(B:B, "BT", E:E)), "ITA-D", ""))</f>
        <v/>
      </c>
    </row>
    <row r="483" spans="1:10" x14ac:dyDescent="0.3">
      <c r="A483" s="153">
        <v>482</v>
      </c>
      <c r="B483" s="35" t="s">
        <v>48</v>
      </c>
      <c r="C483" s="36">
        <v>45786</v>
      </c>
      <c r="D483" s="36" t="s">
        <v>276</v>
      </c>
      <c r="E483" s="37"/>
      <c r="F483" s="37">
        <v>4000</v>
      </c>
      <c r="G483" s="37">
        <v>67821.509999999995</v>
      </c>
      <c r="H483" s="39" t="s">
        <v>8</v>
      </c>
      <c r="I483" s="38" t="s">
        <v>8</v>
      </c>
      <c r="J483" s="17" t="str">
        <f>IF(AND(B483="BT", F483 &gt; 0.03 * SUMIF(B:B, "BT", F:F)), "ITA-C", IF(AND(B483="BT", E483 &gt; 0.03 * SUMIF(B:B, "BT", E:E)), "ITA-D", ""))</f>
        <v/>
      </c>
    </row>
    <row r="484" spans="1:10" x14ac:dyDescent="0.3">
      <c r="A484" s="18">
        <v>483</v>
      </c>
      <c r="B484" s="19" t="s">
        <v>41</v>
      </c>
      <c r="C484" s="20">
        <v>45786</v>
      </c>
      <c r="D484" s="20" t="s">
        <v>193</v>
      </c>
      <c r="E484" s="21"/>
      <c r="F484" s="21">
        <v>500000</v>
      </c>
      <c r="G484" s="21">
        <v>567821.51</v>
      </c>
      <c r="H484" s="23" t="s">
        <v>7</v>
      </c>
      <c r="I484" s="22" t="s">
        <v>7</v>
      </c>
      <c r="J484" s="17" t="str">
        <f>IF(AND(B484="BT", F484 &gt; 0.03 * SUMIF(B:B, "BT", F:F)), "ITA-C", IF(AND(B484="BT", E484 &gt; 0.03 * SUMIF(B:B, "BT", E:E)), "ITA-D", ""))</f>
        <v/>
      </c>
    </row>
    <row r="485" spans="1:10" x14ac:dyDescent="0.3">
      <c r="A485" s="18">
        <v>484</v>
      </c>
      <c r="B485" s="19" t="s">
        <v>41</v>
      </c>
      <c r="C485" s="20">
        <v>45786</v>
      </c>
      <c r="D485" s="20" t="s">
        <v>209</v>
      </c>
      <c r="E485" s="21">
        <v>60273</v>
      </c>
      <c r="F485" s="21"/>
      <c r="G485" s="21">
        <v>507548.51</v>
      </c>
      <c r="H485" s="23" t="s">
        <v>13</v>
      </c>
      <c r="I485" s="22" t="s">
        <v>13</v>
      </c>
      <c r="J485" s="17" t="str">
        <f>IF(AND(B485="BT", F485 &gt; 0.03 * SUMIF(B:B, "BT", F:F)), "ITA-C", IF(AND(B485="BT", E485 &gt; 0.03 * SUMIF(B:B, "BT", E:E)), "ITA-D", ""))</f>
        <v/>
      </c>
    </row>
    <row r="486" spans="1:10" x14ac:dyDescent="0.3">
      <c r="A486" s="18">
        <v>485</v>
      </c>
      <c r="B486" s="19" t="s">
        <v>41</v>
      </c>
      <c r="C486" s="20">
        <v>45786</v>
      </c>
      <c r="D486" s="20" t="s">
        <v>226</v>
      </c>
      <c r="E486" s="21">
        <v>434900</v>
      </c>
      <c r="F486" s="21"/>
      <c r="G486" s="21">
        <v>72648.509999999995</v>
      </c>
      <c r="H486" s="23" t="s">
        <v>9</v>
      </c>
      <c r="I486" s="22" t="s">
        <v>9</v>
      </c>
      <c r="J486" s="17" t="str">
        <f>IF(AND(B486="BT", F486 &gt; 0.03 * SUMIF(B:B, "BT", F:F)), "ITA-C", IF(AND(B486="BT", E486 &gt; 0.03 * SUMIF(B:B, "BT", E:E)), "ITA-D", ""))</f>
        <v/>
      </c>
    </row>
    <row r="487" spans="1:10" x14ac:dyDescent="0.3">
      <c r="A487" s="153">
        <v>486</v>
      </c>
      <c r="B487" s="154" t="s">
        <v>48</v>
      </c>
      <c r="C487" s="36">
        <v>45786</v>
      </c>
      <c r="D487" s="36" t="s">
        <v>272</v>
      </c>
      <c r="E487" s="37">
        <v>2500</v>
      </c>
      <c r="F487" s="37"/>
      <c r="G487" s="37">
        <v>70148.509999999995</v>
      </c>
      <c r="H487" s="39" t="s">
        <v>25</v>
      </c>
      <c r="I487" s="38" t="s">
        <v>25</v>
      </c>
      <c r="J487" s="17" t="str">
        <f>IF(AND(B487="BT", F487 &gt; 0.03 * SUMIF(B:B, "BT", F:F)), "ITA-C", IF(AND(B487="BT", E487 &gt; 0.03 * SUMIF(B:B, "BT", E:E)), "ITA-D", ""))</f>
        <v/>
      </c>
    </row>
    <row r="488" spans="1:10" x14ac:dyDescent="0.3">
      <c r="A488" s="18">
        <v>487</v>
      </c>
      <c r="B488" s="19" t="s">
        <v>41</v>
      </c>
      <c r="C488" s="20">
        <v>45786</v>
      </c>
      <c r="D488" s="20" t="s">
        <v>232</v>
      </c>
      <c r="E488" s="21"/>
      <c r="F488" s="21">
        <v>30000</v>
      </c>
      <c r="G488" s="21">
        <v>100148.51</v>
      </c>
      <c r="H488" s="23" t="s">
        <v>8</v>
      </c>
      <c r="I488" s="22" t="s">
        <v>8</v>
      </c>
      <c r="J488" s="17" t="str">
        <f>IF(AND(B488="BT", F488 &gt; 0.03 * SUMIF(B:B, "BT", F:F)), "ITA-C", IF(AND(B488="BT", E488 &gt; 0.03 * SUMIF(B:B, "BT", E:E)), "ITA-D", ""))</f>
        <v/>
      </c>
    </row>
    <row r="489" spans="1:10" x14ac:dyDescent="0.3">
      <c r="A489" s="18">
        <v>488</v>
      </c>
      <c r="B489" s="19" t="s">
        <v>41</v>
      </c>
      <c r="C489" s="20">
        <v>45787</v>
      </c>
      <c r="D489" s="20" t="s">
        <v>233</v>
      </c>
      <c r="E489" s="21">
        <v>33211</v>
      </c>
      <c r="F489" s="21"/>
      <c r="G489" s="21">
        <v>66937.509999999995</v>
      </c>
      <c r="H489" s="23" t="s">
        <v>13</v>
      </c>
      <c r="I489" s="22" t="s">
        <v>13</v>
      </c>
      <c r="J489" s="17" t="str">
        <f>IF(AND(B489="BT", F489 &gt; 0.03 * SUMIF(B:B, "BT", F:F)), "ITA-C", IF(AND(B489="BT", E489 &gt; 0.03 * SUMIF(B:B, "BT", E:E)), "ITA-D", ""))</f>
        <v/>
      </c>
    </row>
    <row r="490" spans="1:10" x14ac:dyDescent="0.3">
      <c r="A490" s="18">
        <v>489</v>
      </c>
      <c r="B490" s="19" t="s">
        <v>41</v>
      </c>
      <c r="C490" s="20">
        <v>45787</v>
      </c>
      <c r="D490" s="20" t="s">
        <v>226</v>
      </c>
      <c r="E490" s="21"/>
      <c r="F490" s="21">
        <v>51282</v>
      </c>
      <c r="G490" s="21">
        <v>118219.51</v>
      </c>
      <c r="H490" s="23" t="s">
        <v>5</v>
      </c>
      <c r="I490" s="22" t="s">
        <v>5</v>
      </c>
      <c r="J490" s="17" t="str">
        <f>IF(AND(B490="BT", F490 &gt; 0.03 * SUMIF(B:B, "BT", F:F)), "ITA-C", IF(AND(B490="BT", E490 &gt; 0.03 * SUMIF(B:B, "BT", E:E)), "ITA-D", ""))</f>
        <v/>
      </c>
    </row>
    <row r="491" spans="1:10" x14ac:dyDescent="0.3">
      <c r="A491" s="153">
        <v>490</v>
      </c>
      <c r="B491" s="35" t="s">
        <v>48</v>
      </c>
      <c r="C491" s="36">
        <v>45788</v>
      </c>
      <c r="D491" s="36" t="s">
        <v>271</v>
      </c>
      <c r="E491" s="37"/>
      <c r="F491" s="37">
        <v>11000</v>
      </c>
      <c r="G491" s="37">
        <v>129219.51</v>
      </c>
      <c r="H491" s="39" t="s">
        <v>10</v>
      </c>
      <c r="I491" s="38" t="s">
        <v>10</v>
      </c>
      <c r="J491" s="17" t="str">
        <f>IF(AND(B491="BT", F491 &gt; 0.03 * SUMIF(B:B, "BT", F:F)), "ITA-C", IF(AND(B491="BT", E491 &gt; 0.03 * SUMIF(B:B, "BT", E:E)), "ITA-D", ""))</f>
        <v/>
      </c>
    </row>
    <row r="492" spans="1:10" x14ac:dyDescent="0.3">
      <c r="A492" s="133">
        <v>491</v>
      </c>
      <c r="B492" s="40" t="s">
        <v>47</v>
      </c>
      <c r="C492" s="41">
        <v>45788</v>
      </c>
      <c r="D492" s="41" t="s">
        <v>241</v>
      </c>
      <c r="E492" s="42"/>
      <c r="F492" s="42">
        <v>1</v>
      </c>
      <c r="G492" s="42">
        <v>129220.51</v>
      </c>
      <c r="H492" s="44" t="s">
        <v>10</v>
      </c>
      <c r="I492" s="43" t="s">
        <v>10</v>
      </c>
      <c r="J492" s="177" t="str">
        <f>IF(AND(B492="BT", F492 &gt; 0.03 * SUMIF(B:B, "BT", F:F)), "ITA-C", IF(AND(B492="BT", E492 &gt; 0.03 * SUMIF(B:B, "BT", E:E)), "ITA-D", ""))</f>
        <v/>
      </c>
    </row>
    <row r="493" spans="1:10" x14ac:dyDescent="0.3">
      <c r="A493" s="133">
        <v>492</v>
      </c>
      <c r="B493" s="40" t="s">
        <v>47</v>
      </c>
      <c r="C493" s="41">
        <v>45788</v>
      </c>
      <c r="D493" s="41" t="s">
        <v>241</v>
      </c>
      <c r="E493" s="42"/>
      <c r="F493" s="42">
        <v>1</v>
      </c>
      <c r="G493" s="42">
        <v>129221.51</v>
      </c>
      <c r="H493" s="44" t="s">
        <v>10</v>
      </c>
      <c r="I493" s="43" t="s">
        <v>10</v>
      </c>
      <c r="J493" s="177" t="str">
        <f>IF(AND(B493="BT", F493 &gt; 0.03 * SUMIF(B:B, "BT", F:F)), "ITA-C", IF(AND(B493="BT", E493 &gt; 0.03 * SUMIF(B:B, "BT", E:E)), "ITA-D", ""))</f>
        <v/>
      </c>
    </row>
    <row r="494" spans="1:10" x14ac:dyDescent="0.3">
      <c r="A494" s="153">
        <v>493</v>
      </c>
      <c r="B494" s="35" t="s">
        <v>48</v>
      </c>
      <c r="C494" s="36">
        <v>45789</v>
      </c>
      <c r="D494" s="36" t="s">
        <v>276</v>
      </c>
      <c r="E494" s="37"/>
      <c r="F494" s="37">
        <v>10000</v>
      </c>
      <c r="G494" s="37">
        <v>139221.51</v>
      </c>
      <c r="H494" s="39" t="s">
        <v>8</v>
      </c>
      <c r="I494" s="38" t="s">
        <v>8</v>
      </c>
      <c r="J494" s="17" t="str">
        <f>IF(AND(B494="BT", F494 &gt; 0.03 * SUMIF(B:B, "BT", F:F)), "ITA-C", IF(AND(B494="BT", E494 &gt; 0.03 * SUMIF(B:B, "BT", E:E)), "ITA-D", ""))</f>
        <v/>
      </c>
    </row>
    <row r="495" spans="1:10" x14ac:dyDescent="0.3">
      <c r="A495" s="18">
        <v>494</v>
      </c>
      <c r="B495" s="19" t="s">
        <v>41</v>
      </c>
      <c r="C495" s="20">
        <v>45789</v>
      </c>
      <c r="D495" s="20" t="s">
        <v>235</v>
      </c>
      <c r="E495" s="21"/>
      <c r="F495" s="21">
        <v>125465</v>
      </c>
      <c r="G495" s="21">
        <v>264686.51</v>
      </c>
      <c r="H495" s="23" t="s">
        <v>28</v>
      </c>
      <c r="I495" s="22" t="s">
        <v>28</v>
      </c>
      <c r="J495" s="17" t="str">
        <f>IF(AND(B495="BT", F495 &gt; 0.03 * SUMIF(B:B, "BT", F:F)), "ITA-C", IF(AND(B495="BT", E495 &gt; 0.03 * SUMIF(B:B, "BT", E:E)), "ITA-D", ""))</f>
        <v/>
      </c>
    </row>
    <row r="496" spans="1:10" x14ac:dyDescent="0.3">
      <c r="A496" s="18">
        <v>495</v>
      </c>
      <c r="B496" s="19" t="s">
        <v>41</v>
      </c>
      <c r="C496" s="20">
        <v>45789</v>
      </c>
      <c r="D496" s="20" t="s">
        <v>232</v>
      </c>
      <c r="E496" s="21"/>
      <c r="F496" s="21">
        <v>23177</v>
      </c>
      <c r="G496" s="21">
        <v>287863.51</v>
      </c>
      <c r="H496" s="23" t="s">
        <v>8</v>
      </c>
      <c r="I496" s="22" t="s">
        <v>8</v>
      </c>
      <c r="J496" s="17" t="str">
        <f>IF(AND(B496="BT", F496 &gt; 0.03 * SUMIF(B:B, "BT", F:F)), "ITA-C", IF(AND(B496="BT", E496 &gt; 0.03 * SUMIF(B:B, "BT", E:E)), "ITA-D", ""))</f>
        <v/>
      </c>
    </row>
    <row r="497" spans="1:10" x14ac:dyDescent="0.3">
      <c r="A497" s="18">
        <v>496</v>
      </c>
      <c r="B497" s="24" t="s">
        <v>39</v>
      </c>
      <c r="C497" s="25">
        <v>45789</v>
      </c>
      <c r="D497" s="6" t="s">
        <v>264</v>
      </c>
      <c r="E497" s="26">
        <v>15000</v>
      </c>
      <c r="F497" s="26"/>
      <c r="G497" s="26">
        <v>272863.51</v>
      </c>
      <c r="H497" s="28" t="s">
        <v>14</v>
      </c>
      <c r="I497" s="27" t="s">
        <v>14</v>
      </c>
      <c r="J497" s="17" t="str">
        <f>IF(AND(B497="BT", F497 &gt; 0.03 * SUMIF(B:B, "BT", F:F)), "ITA-C", IF(AND(B497="BT", E497 &gt; 0.03 * SUMIF(B:B, "BT", E:E)), "ITA-D", ""))</f>
        <v/>
      </c>
    </row>
    <row r="498" spans="1:10" x14ac:dyDescent="0.3">
      <c r="A498" s="18">
        <v>497</v>
      </c>
      <c r="B498" s="19" t="s">
        <v>41</v>
      </c>
      <c r="C498" s="20">
        <v>45790</v>
      </c>
      <c r="D498" s="20" t="s">
        <v>215</v>
      </c>
      <c r="E498" s="21">
        <v>50000</v>
      </c>
      <c r="F498" s="21"/>
      <c r="G498" s="21">
        <v>222863.51</v>
      </c>
      <c r="H498" s="23" t="s">
        <v>13</v>
      </c>
      <c r="I498" s="22" t="s">
        <v>13</v>
      </c>
      <c r="J498" s="17" t="str">
        <f>IF(AND(B498="BT", F498 &gt; 0.03 * SUMIF(B:B, "BT", F:F)), "ITA-C", IF(AND(B498="BT", E498 &gt; 0.03 * SUMIF(B:B, "BT", E:E)), "ITA-D", ""))</f>
        <v/>
      </c>
    </row>
    <row r="499" spans="1:10" x14ac:dyDescent="0.3">
      <c r="A499" s="18">
        <v>498</v>
      </c>
      <c r="B499" s="24" t="s">
        <v>39</v>
      </c>
      <c r="C499" s="25">
        <v>45790</v>
      </c>
      <c r="D499" s="6" t="s">
        <v>258</v>
      </c>
      <c r="E499" s="26">
        <v>5.9</v>
      </c>
      <c r="F499" s="26"/>
      <c r="G499" s="26">
        <v>222857.61</v>
      </c>
      <c r="H499" s="28" t="s">
        <v>24</v>
      </c>
      <c r="I499" s="27" t="s">
        <v>24</v>
      </c>
      <c r="J499" s="17" t="str">
        <f>IF(AND(B499="BT", F499 &gt; 0.03 * SUMIF(B:B, "BT", F:F)), "ITA-C", IF(AND(B499="BT", E499 &gt; 0.03 * SUMIF(B:B, "BT", E:E)), "ITA-D", ""))</f>
        <v/>
      </c>
    </row>
    <row r="500" spans="1:10" x14ac:dyDescent="0.3">
      <c r="A500" s="18">
        <v>499</v>
      </c>
      <c r="B500" s="19" t="s">
        <v>41</v>
      </c>
      <c r="C500" s="20">
        <v>45790</v>
      </c>
      <c r="D500" s="20" t="s">
        <v>204</v>
      </c>
      <c r="E500" s="21">
        <v>64000</v>
      </c>
      <c r="F500" s="21"/>
      <c r="G500" s="21">
        <v>158857.60999999999</v>
      </c>
      <c r="H500" s="23" t="s">
        <v>26</v>
      </c>
      <c r="I500" s="22" t="s">
        <v>26</v>
      </c>
      <c r="J500" s="17" t="str">
        <f>IF(AND(B500="BT", F500 &gt; 0.03 * SUMIF(B:B, "BT", F:F)), "ITA-C", IF(AND(B500="BT", E500 &gt; 0.03 * SUMIF(B:B, "BT", E:E)), "ITA-D", ""))</f>
        <v/>
      </c>
    </row>
    <row r="501" spans="1:10" x14ac:dyDescent="0.3">
      <c r="A501" s="18">
        <v>500</v>
      </c>
      <c r="B501" s="19" t="s">
        <v>41</v>
      </c>
      <c r="C501" s="20">
        <v>45790</v>
      </c>
      <c r="D501" s="20" t="s">
        <v>201</v>
      </c>
      <c r="E501" s="21">
        <v>91920</v>
      </c>
      <c r="F501" s="21"/>
      <c r="G501" s="21">
        <v>66937.61</v>
      </c>
      <c r="H501" s="23" t="s">
        <v>13</v>
      </c>
      <c r="I501" s="22" t="s">
        <v>13</v>
      </c>
      <c r="J501" s="17" t="str">
        <f>IF(AND(B501="BT", F501 &gt; 0.03 * SUMIF(B:B, "BT", F:F)), "ITA-C", IF(AND(B501="BT", E501 &gt; 0.03 * SUMIF(B:B, "BT", E:E)), "ITA-D", ""))</f>
        <v/>
      </c>
    </row>
    <row r="502" spans="1:10" x14ac:dyDescent="0.3">
      <c r="A502" s="153">
        <v>501</v>
      </c>
      <c r="B502" s="35" t="s">
        <v>48</v>
      </c>
      <c r="C502" s="36">
        <v>45791</v>
      </c>
      <c r="D502" s="36" t="s">
        <v>276</v>
      </c>
      <c r="E502" s="37">
        <v>6000</v>
      </c>
      <c r="F502" s="37"/>
      <c r="G502" s="37">
        <v>60937.61</v>
      </c>
      <c r="H502" s="39" t="s">
        <v>6</v>
      </c>
      <c r="I502" s="38" t="s">
        <v>6</v>
      </c>
      <c r="J502" s="17" t="str">
        <f>IF(AND(B502="BT", F502 &gt; 0.03 * SUMIF(B:B, "BT", F:F)), "ITA-C", IF(AND(B502="BT", E502 &gt; 0.03 * SUMIF(B:B, "BT", E:E)), "ITA-D", ""))</f>
        <v/>
      </c>
    </row>
    <row r="503" spans="1:10" x14ac:dyDescent="0.3">
      <c r="A503" s="133">
        <v>502</v>
      </c>
      <c r="B503" s="40" t="s">
        <v>44</v>
      </c>
      <c r="C503" s="41">
        <v>45791</v>
      </c>
      <c r="D503" s="41" t="s">
        <v>252</v>
      </c>
      <c r="E503" s="42"/>
      <c r="F503" s="42">
        <v>1060000</v>
      </c>
      <c r="G503" s="42">
        <v>1120937.6100000001</v>
      </c>
      <c r="H503" s="44" t="s">
        <v>5</v>
      </c>
      <c r="I503" s="43" t="s">
        <v>5</v>
      </c>
      <c r="J503" s="17" t="str">
        <f>IF(AND(B503="BT", F503 &gt; 0.03 * SUMIF(B:B, "BT", F:F)), "ITA-C", IF(AND(B503="BT", E503 &gt; 0.03 * SUMIF(B:B, "BT", E:E)), "ITA-D", ""))</f>
        <v/>
      </c>
    </row>
    <row r="504" spans="1:10" x14ac:dyDescent="0.3">
      <c r="A504" s="18">
        <v>503</v>
      </c>
      <c r="B504" s="19" t="s">
        <v>41</v>
      </c>
      <c r="C504" s="20">
        <v>45791</v>
      </c>
      <c r="D504" s="20" t="s">
        <v>236</v>
      </c>
      <c r="E504" s="21">
        <v>280500</v>
      </c>
      <c r="F504" s="21"/>
      <c r="G504" s="21">
        <v>840437.61</v>
      </c>
      <c r="H504" s="23" t="s">
        <v>9</v>
      </c>
      <c r="I504" s="22" t="s">
        <v>9</v>
      </c>
      <c r="J504" s="17" t="str">
        <f>IF(AND(B504="BT", F504 &gt; 0.03 * SUMIF(B:B, "BT", F:F)), "ITA-C", IF(AND(B504="BT", E504 &gt; 0.03 * SUMIF(B:B, "BT", E:E)), "ITA-D", ""))</f>
        <v/>
      </c>
    </row>
    <row r="505" spans="1:10" x14ac:dyDescent="0.3">
      <c r="A505" s="18">
        <v>504</v>
      </c>
      <c r="B505" s="24" t="s">
        <v>39</v>
      </c>
      <c r="C505" s="25">
        <v>45791</v>
      </c>
      <c r="D505" s="6" t="s">
        <v>264</v>
      </c>
      <c r="E505" s="26">
        <v>11000</v>
      </c>
      <c r="F505" s="26"/>
      <c r="G505" s="26">
        <v>829437.61</v>
      </c>
      <c r="H505" s="28" t="s">
        <v>14</v>
      </c>
      <c r="I505" s="27" t="s">
        <v>14</v>
      </c>
      <c r="J505" s="17" t="str">
        <f>IF(AND(B505="BT", F505 &gt; 0.03 * SUMIF(B:B, "BT", F:F)), "ITA-C", IF(AND(B505="BT", E505 &gt; 0.03 * SUMIF(B:B, "BT", E:E)), "ITA-D", ""))</f>
        <v/>
      </c>
    </row>
    <row r="506" spans="1:10" x14ac:dyDescent="0.3">
      <c r="A506" s="18">
        <v>505</v>
      </c>
      <c r="B506" s="19" t="s">
        <v>41</v>
      </c>
      <c r="C506" s="20">
        <v>45791</v>
      </c>
      <c r="D506" s="20" t="s">
        <v>215</v>
      </c>
      <c r="E506" s="21">
        <v>20875</v>
      </c>
      <c r="F506" s="21"/>
      <c r="G506" s="21">
        <v>808562.61</v>
      </c>
      <c r="H506" s="23" t="s">
        <v>13</v>
      </c>
      <c r="I506" s="22" t="s">
        <v>13</v>
      </c>
      <c r="J506" s="17" t="str">
        <f>IF(AND(B506="BT", F506 &gt; 0.03 * SUMIF(B:B, "BT", F:F)), "ITA-C", IF(AND(B506="BT", E506 &gt; 0.03 * SUMIF(B:B, "BT", E:E)), "ITA-D", ""))</f>
        <v/>
      </c>
    </row>
    <row r="507" spans="1:10" x14ac:dyDescent="0.3">
      <c r="A507" s="153">
        <v>506</v>
      </c>
      <c r="B507" s="35" t="s">
        <v>48</v>
      </c>
      <c r="C507" s="36">
        <v>45791</v>
      </c>
      <c r="D507" s="36" t="s">
        <v>270</v>
      </c>
      <c r="E507" s="37">
        <v>514010</v>
      </c>
      <c r="F507" s="37"/>
      <c r="G507" s="37">
        <v>294552.61</v>
      </c>
      <c r="H507" s="39" t="s">
        <v>9</v>
      </c>
      <c r="I507" s="38" t="s">
        <v>9</v>
      </c>
      <c r="J507" s="17" t="str">
        <f>IF(AND(B507="BT", F507 &gt; 0.03 * SUMIF(B:B, "BT", F:F)), "ITA-C", IF(AND(B507="BT", E507 &gt; 0.03 * SUMIF(B:B, "BT", E:E)), "ITA-D", ""))</f>
        <v/>
      </c>
    </row>
    <row r="508" spans="1:10" x14ac:dyDescent="0.3">
      <c r="A508" s="18">
        <v>507</v>
      </c>
      <c r="B508" s="19" t="s">
        <v>41</v>
      </c>
      <c r="C508" s="20">
        <v>45791</v>
      </c>
      <c r="D508" s="20" t="s">
        <v>225</v>
      </c>
      <c r="E508" s="21">
        <v>45000</v>
      </c>
      <c r="F508" s="21"/>
      <c r="G508" s="21">
        <v>249552.61</v>
      </c>
      <c r="H508" s="23" t="s">
        <v>13</v>
      </c>
      <c r="I508" s="22" t="s">
        <v>13</v>
      </c>
      <c r="J508" s="17" t="str">
        <f>IF(AND(B508="BT", F508 &gt; 0.03 * SUMIF(B:B, "BT", F:F)), "ITA-C", IF(AND(B508="BT", E508 &gt; 0.03 * SUMIF(B:B, "BT", E:E)), "ITA-D", ""))</f>
        <v/>
      </c>
    </row>
    <row r="509" spans="1:10" x14ac:dyDescent="0.3">
      <c r="A509" s="18">
        <v>508</v>
      </c>
      <c r="B509" s="24" t="s">
        <v>39</v>
      </c>
      <c r="C509" s="25">
        <v>45791</v>
      </c>
      <c r="D509" s="25" t="s">
        <v>260</v>
      </c>
      <c r="E509" s="26">
        <v>5000</v>
      </c>
      <c r="F509" s="26"/>
      <c r="G509" s="26">
        <v>244552.61</v>
      </c>
      <c r="H509" s="28" t="s">
        <v>12</v>
      </c>
      <c r="I509" s="27" t="s">
        <v>12</v>
      </c>
      <c r="J509" s="17" t="str">
        <f>IF(AND(B509="BT", F509 &gt; 0.03 * SUMIF(B:B, "BT", F:F)), "ITA-C", IF(AND(B509="BT", E509 &gt; 0.03 * SUMIF(B:B, "BT", E:E)), "ITA-D", ""))</f>
        <v/>
      </c>
    </row>
    <row r="510" spans="1:10" x14ac:dyDescent="0.3">
      <c r="A510" s="18">
        <v>509</v>
      </c>
      <c r="B510" s="24" t="s">
        <v>39</v>
      </c>
      <c r="C510" s="25">
        <v>45791</v>
      </c>
      <c r="D510" s="25" t="s">
        <v>262</v>
      </c>
      <c r="E510" s="26">
        <v>10000</v>
      </c>
      <c r="F510" s="26"/>
      <c r="G510" s="26">
        <v>234552.61</v>
      </c>
      <c r="H510" s="28" t="s">
        <v>29</v>
      </c>
      <c r="I510" s="27" t="s">
        <v>29</v>
      </c>
      <c r="J510" s="17" t="str">
        <f>IF(AND(B510="BT", F510 &gt; 0.03 * SUMIF(B:B, "BT", F:F)), "ITA-C", IF(AND(B510="BT", E510 &gt; 0.03 * SUMIF(B:B, "BT", E:E)), "ITA-D", ""))</f>
        <v/>
      </c>
    </row>
    <row r="511" spans="1:10" x14ac:dyDescent="0.3">
      <c r="A511" s="18">
        <v>510</v>
      </c>
      <c r="B511" s="19" t="s">
        <v>41</v>
      </c>
      <c r="C511" s="20">
        <v>45791</v>
      </c>
      <c r="D511" s="20" t="s">
        <v>217</v>
      </c>
      <c r="E511" s="21">
        <v>81850</v>
      </c>
      <c r="F511" s="21"/>
      <c r="G511" s="21">
        <v>152702.60999999999</v>
      </c>
      <c r="H511" s="23" t="s">
        <v>13</v>
      </c>
      <c r="I511" s="22" t="s">
        <v>13</v>
      </c>
      <c r="J511" s="17" t="str">
        <f>IF(AND(B511="BT", F511 &gt; 0.03 * SUMIF(B:B, "BT", F:F)), "ITA-C", IF(AND(B511="BT", E511 &gt; 0.03 * SUMIF(B:B, "BT", E:E)), "ITA-D", ""))</f>
        <v/>
      </c>
    </row>
    <row r="512" spans="1:10" x14ac:dyDescent="0.3">
      <c r="A512" s="133">
        <v>511</v>
      </c>
      <c r="B512" s="40" t="s">
        <v>44</v>
      </c>
      <c r="C512" s="41">
        <v>45792</v>
      </c>
      <c r="D512" s="41" t="s">
        <v>257</v>
      </c>
      <c r="E512" s="42"/>
      <c r="F512" s="42">
        <v>1500000</v>
      </c>
      <c r="G512" s="42">
        <v>1652702.61</v>
      </c>
      <c r="H512" s="44" t="s">
        <v>5</v>
      </c>
      <c r="I512" s="43" t="s">
        <v>5</v>
      </c>
      <c r="J512" s="17" t="str">
        <f>IF(AND(B512="BT", F512 &gt; 0.03 * SUMIF(B:B, "BT", F:F)), "ITA-C", IF(AND(B512="BT", E512 &gt; 0.03 * SUMIF(B:B, "BT", E:E)), "ITA-D", ""))</f>
        <v/>
      </c>
    </row>
    <row r="513" spans="1:10" x14ac:dyDescent="0.3">
      <c r="A513" s="153">
        <v>512</v>
      </c>
      <c r="B513" s="35" t="s">
        <v>48</v>
      </c>
      <c r="C513" s="36">
        <v>45792</v>
      </c>
      <c r="D513" s="36" t="s">
        <v>273</v>
      </c>
      <c r="E513" s="37">
        <v>1500000</v>
      </c>
      <c r="F513" s="37"/>
      <c r="G513" s="37">
        <v>152702.60999999999</v>
      </c>
      <c r="H513" s="39" t="s">
        <v>9</v>
      </c>
      <c r="I513" s="38" t="s">
        <v>9</v>
      </c>
      <c r="J513" s="17" t="str">
        <f>IF(AND(B513="BT", F513 &gt; 0.03 * SUMIF(B:B, "BT", F:F)), "ITA-C", IF(AND(B513="BT", E513 &gt; 0.03 * SUMIF(B:B, "BT", E:E)), "ITA-D", ""))</f>
        <v/>
      </c>
    </row>
    <row r="514" spans="1:10" x14ac:dyDescent="0.3">
      <c r="A514" s="133">
        <v>513</v>
      </c>
      <c r="B514" s="40" t="s">
        <v>47</v>
      </c>
      <c r="C514" s="41">
        <v>45792</v>
      </c>
      <c r="D514" s="41" t="s">
        <v>245</v>
      </c>
      <c r="E514" s="42">
        <v>25420</v>
      </c>
      <c r="F514" s="42"/>
      <c r="G514" s="42">
        <v>127282.61</v>
      </c>
      <c r="H514" s="44" t="s">
        <v>18</v>
      </c>
      <c r="I514" s="43" t="s">
        <v>18</v>
      </c>
      <c r="J514" s="17" t="str">
        <f>IF(AND(B514="BT", F514 &gt; 0.03 * SUMIF(B:B, "BT", F:F)), "ITA-C", IF(AND(B514="BT", E514 &gt; 0.03 * SUMIF(B:B, "BT", E:E)), "ITA-D", ""))</f>
        <v/>
      </c>
    </row>
    <row r="515" spans="1:10" x14ac:dyDescent="0.3">
      <c r="A515" s="18">
        <v>514</v>
      </c>
      <c r="B515" s="19" t="s">
        <v>41</v>
      </c>
      <c r="C515" s="20">
        <v>45792</v>
      </c>
      <c r="D515" s="20" t="s">
        <v>52</v>
      </c>
      <c r="E515" s="21">
        <v>10000</v>
      </c>
      <c r="F515" s="21"/>
      <c r="G515" s="21">
        <v>117282.61</v>
      </c>
      <c r="H515" s="23" t="s">
        <v>13</v>
      </c>
      <c r="I515" s="22" t="s">
        <v>13</v>
      </c>
      <c r="J515" s="177" t="str">
        <f>IF(AND(B515="BT", F515 &gt; 0.03 * SUMIF(B:B, "BT", F:F)), "ITA-C", IF(AND(B515="BT", E515 &gt; 0.03 * SUMIF(B:B, "BT", E:E)), "ITA-D", ""))</f>
        <v/>
      </c>
    </row>
    <row r="516" spans="1:10" x14ac:dyDescent="0.3">
      <c r="A516" s="133">
        <v>515</v>
      </c>
      <c r="B516" s="40" t="s">
        <v>44</v>
      </c>
      <c r="C516" s="41">
        <v>45792</v>
      </c>
      <c r="D516" s="41" t="s">
        <v>257</v>
      </c>
      <c r="E516" s="42"/>
      <c r="F516" s="42">
        <v>1440000</v>
      </c>
      <c r="G516" s="42">
        <v>1557282.61</v>
      </c>
      <c r="H516" s="44" t="s">
        <v>7</v>
      </c>
      <c r="I516" s="43" t="s">
        <v>7</v>
      </c>
      <c r="J516" s="17" t="str">
        <f>IF(AND(B516="BT", F516 &gt; 0.03 * SUMIF(B:B, "BT", F:F)), "ITA-C", IF(AND(B516="BT", E516 &gt; 0.03 * SUMIF(B:B, "BT", E:E)), "ITA-D", ""))</f>
        <v/>
      </c>
    </row>
    <row r="517" spans="1:10" x14ac:dyDescent="0.3">
      <c r="A517" s="18">
        <v>516</v>
      </c>
      <c r="B517" s="19" t="s">
        <v>41</v>
      </c>
      <c r="C517" s="20">
        <v>45792</v>
      </c>
      <c r="D517" s="20" t="s">
        <v>203</v>
      </c>
      <c r="E517" s="21">
        <v>500000</v>
      </c>
      <c r="F517" s="21"/>
      <c r="G517" s="21">
        <v>1057282.6100000001</v>
      </c>
      <c r="H517" s="23" t="s">
        <v>9</v>
      </c>
      <c r="I517" s="22" t="s">
        <v>9</v>
      </c>
      <c r="J517" s="17" t="str">
        <f>IF(AND(B517="BT", F517 &gt; 0.03 * SUMIF(B:B, "BT", F:F)), "ITA-C", IF(AND(B517="BT", E517 &gt; 0.03 * SUMIF(B:B, "BT", E:E)), "ITA-D", ""))</f>
        <v/>
      </c>
    </row>
    <row r="518" spans="1:10" x14ac:dyDescent="0.3">
      <c r="A518" s="18">
        <v>517</v>
      </c>
      <c r="B518" s="19" t="s">
        <v>41</v>
      </c>
      <c r="C518" s="20">
        <v>45792</v>
      </c>
      <c r="D518" s="20" t="s">
        <v>224</v>
      </c>
      <c r="E518" s="21">
        <v>30000</v>
      </c>
      <c r="F518" s="21"/>
      <c r="G518" s="21">
        <v>1027282.61</v>
      </c>
      <c r="H518" s="23" t="s">
        <v>13</v>
      </c>
      <c r="I518" s="22" t="s">
        <v>13</v>
      </c>
      <c r="J518" s="17" t="str">
        <f>IF(AND(B518="BT", F518 &gt; 0.03 * SUMIF(B:B, "BT", F:F)), "ITA-C", IF(AND(B518="BT", E518 &gt; 0.03 * SUMIF(B:B, "BT", E:E)), "ITA-D", ""))</f>
        <v/>
      </c>
    </row>
    <row r="519" spans="1:10" x14ac:dyDescent="0.3">
      <c r="A519" s="18">
        <v>518</v>
      </c>
      <c r="B519" s="19" t="s">
        <v>41</v>
      </c>
      <c r="C519" s="20">
        <v>45792</v>
      </c>
      <c r="D519" s="20" t="s">
        <v>223</v>
      </c>
      <c r="E519" s="21">
        <v>2264</v>
      </c>
      <c r="F519" s="21"/>
      <c r="G519" s="21">
        <v>1025018.61</v>
      </c>
      <c r="H519" s="23" t="s">
        <v>6</v>
      </c>
      <c r="I519" s="22" t="s">
        <v>6</v>
      </c>
      <c r="J519" s="17" t="str">
        <f>IF(AND(B519="BT", F519 &gt; 0.03 * SUMIF(B:B, "BT", F:F)), "ITA-C", IF(AND(B519="BT", E519 &gt; 0.03 * SUMIF(B:B, "BT", E:E)), "ITA-D", ""))</f>
        <v/>
      </c>
    </row>
    <row r="520" spans="1:10" x14ac:dyDescent="0.3">
      <c r="A520" s="18">
        <v>519</v>
      </c>
      <c r="B520" s="19" t="s">
        <v>41</v>
      </c>
      <c r="C520" s="20">
        <v>45792</v>
      </c>
      <c r="D520" s="20" t="s">
        <v>193</v>
      </c>
      <c r="E520" s="21"/>
      <c r="F520" s="21">
        <v>300000</v>
      </c>
      <c r="G520" s="21">
        <v>1325018.6100000001</v>
      </c>
      <c r="H520" s="23" t="s">
        <v>7</v>
      </c>
      <c r="I520" s="22" t="s">
        <v>7</v>
      </c>
      <c r="J520" s="17" t="str">
        <f>IF(AND(B520="BT", F520 &gt; 0.03 * SUMIF(B:B, "BT", F:F)), "ITA-C", IF(AND(B520="BT", E520 &gt; 0.03 * SUMIF(B:B, "BT", E:E)), "ITA-D", ""))</f>
        <v/>
      </c>
    </row>
    <row r="521" spans="1:10" x14ac:dyDescent="0.3">
      <c r="A521" s="18">
        <v>520</v>
      </c>
      <c r="B521" s="19" t="s">
        <v>41</v>
      </c>
      <c r="C521" s="20">
        <v>45792</v>
      </c>
      <c r="D521" s="20" t="s">
        <v>221</v>
      </c>
      <c r="E521" s="21"/>
      <c r="F521" s="21">
        <v>155988</v>
      </c>
      <c r="G521" s="21">
        <v>1481006.61</v>
      </c>
      <c r="H521" s="23" t="s">
        <v>5</v>
      </c>
      <c r="I521" s="22" t="s">
        <v>5</v>
      </c>
      <c r="J521" s="17" t="str">
        <f>IF(AND(B521="BT", F521 &gt; 0.03 * SUMIF(B:B, "BT", F:F)), "ITA-C", IF(AND(B521="BT", E521 &gt; 0.03 * SUMIF(B:B, "BT", E:E)), "ITA-D", ""))</f>
        <v/>
      </c>
    </row>
    <row r="522" spans="1:10" x14ac:dyDescent="0.3">
      <c r="A522" s="18">
        <v>521</v>
      </c>
      <c r="B522" s="19" t="s">
        <v>41</v>
      </c>
      <c r="C522" s="20">
        <v>45792</v>
      </c>
      <c r="D522" s="20" t="s">
        <v>226</v>
      </c>
      <c r="E522" s="21">
        <v>417690</v>
      </c>
      <c r="F522" s="21"/>
      <c r="G522" s="21">
        <v>1063316.6100000001</v>
      </c>
      <c r="H522" s="23" t="s">
        <v>9</v>
      </c>
      <c r="I522" s="22" t="s">
        <v>9</v>
      </c>
      <c r="J522" s="17" t="str">
        <f>IF(AND(B522="BT", F522 &gt; 0.03 * SUMIF(B:B, "BT", F:F)), "ITA-C", IF(AND(B522="BT", E522 &gt; 0.03 * SUMIF(B:B, "BT", E:E)), "ITA-D", ""))</f>
        <v/>
      </c>
    </row>
    <row r="523" spans="1:10" x14ac:dyDescent="0.3">
      <c r="A523" s="18">
        <v>522</v>
      </c>
      <c r="B523" s="19" t="s">
        <v>41</v>
      </c>
      <c r="C523" s="20">
        <v>45792</v>
      </c>
      <c r="D523" s="20" t="s">
        <v>219</v>
      </c>
      <c r="E523" s="21">
        <v>50000</v>
      </c>
      <c r="F523" s="21"/>
      <c r="G523" s="21">
        <v>1013316.61</v>
      </c>
      <c r="H523" s="23" t="s">
        <v>13</v>
      </c>
      <c r="I523" s="22" t="s">
        <v>13</v>
      </c>
      <c r="J523" s="17" t="str">
        <f>IF(AND(B523="BT", F523 &gt; 0.03 * SUMIF(B:B, "BT", F:F)), "ITA-C", IF(AND(B523="BT", E523 &gt; 0.03 * SUMIF(B:B, "BT", E:E)), "ITA-D", ""))</f>
        <v/>
      </c>
    </row>
    <row r="524" spans="1:10" x14ac:dyDescent="0.3">
      <c r="A524" s="153">
        <v>523</v>
      </c>
      <c r="B524" s="35" t="s">
        <v>48</v>
      </c>
      <c r="C524" s="36">
        <v>45792</v>
      </c>
      <c r="D524" s="36" t="s">
        <v>276</v>
      </c>
      <c r="E524" s="37">
        <v>5000</v>
      </c>
      <c r="F524" s="37"/>
      <c r="G524" s="37">
        <v>1008316.61</v>
      </c>
      <c r="H524" s="39" t="s">
        <v>6</v>
      </c>
      <c r="I524" s="38" t="s">
        <v>6</v>
      </c>
      <c r="J524" s="17" t="str">
        <f>IF(AND(B524="BT", F524 &gt; 0.03 * SUMIF(B:B, "BT", F:F)), "ITA-C", IF(AND(B524="BT", E524 &gt; 0.03 * SUMIF(B:B, "BT", E:E)), "ITA-D", ""))</f>
        <v/>
      </c>
    </row>
    <row r="525" spans="1:10" x14ac:dyDescent="0.3">
      <c r="A525" s="18">
        <v>524</v>
      </c>
      <c r="B525" s="19" t="s">
        <v>41</v>
      </c>
      <c r="C525" s="20">
        <v>45792</v>
      </c>
      <c r="D525" s="20" t="s">
        <v>208</v>
      </c>
      <c r="E525" s="21">
        <v>60000</v>
      </c>
      <c r="F525" s="21"/>
      <c r="G525" s="21">
        <v>948316.61</v>
      </c>
      <c r="H525" s="23" t="s">
        <v>13</v>
      </c>
      <c r="I525" s="22" t="s">
        <v>13</v>
      </c>
      <c r="J525" s="17" t="str">
        <f>IF(AND(B525="BT", F525 &gt; 0.03 * SUMIF(B:B, "BT", F:F)), "ITA-C", IF(AND(B525="BT", E525 &gt; 0.03 * SUMIF(B:B, "BT", E:E)), "ITA-D", ""))</f>
        <v/>
      </c>
    </row>
    <row r="526" spans="1:10" x14ac:dyDescent="0.3">
      <c r="A526" s="18">
        <v>525</v>
      </c>
      <c r="B526" s="24" t="s">
        <v>39</v>
      </c>
      <c r="C526" s="25">
        <v>45793</v>
      </c>
      <c r="D526" s="25" t="s">
        <v>263</v>
      </c>
      <c r="E526" s="26">
        <v>15000</v>
      </c>
      <c r="F526" s="26"/>
      <c r="G526" s="26">
        <v>933316.61</v>
      </c>
      <c r="H526" s="28" t="s">
        <v>17</v>
      </c>
      <c r="I526" s="27" t="s">
        <v>17</v>
      </c>
      <c r="J526" s="17" t="str">
        <f>IF(AND(B526="BT", F526 &gt; 0.03 * SUMIF(B:B, "BT", F:F)), "ITA-C", IF(AND(B526="BT", E526 &gt; 0.03 * SUMIF(B:B, "BT", E:E)), "ITA-D", ""))</f>
        <v/>
      </c>
    </row>
    <row r="527" spans="1:10" x14ac:dyDescent="0.3">
      <c r="A527" s="133">
        <v>526</v>
      </c>
      <c r="B527" s="40" t="s">
        <v>47</v>
      </c>
      <c r="C527" s="41">
        <v>45793</v>
      </c>
      <c r="D527" s="41" t="s">
        <v>244</v>
      </c>
      <c r="E527" s="42">
        <v>11876</v>
      </c>
      <c r="F527" s="42"/>
      <c r="G527" s="42">
        <v>921440.61</v>
      </c>
      <c r="H527" s="44" t="s">
        <v>6</v>
      </c>
      <c r="I527" s="43" t="s">
        <v>6</v>
      </c>
      <c r="J527" s="17" t="str">
        <f>IF(AND(B527="BT", F527 &gt; 0.03 * SUMIF(B:B, "BT", F:F)), "ITA-C", IF(AND(B527="BT", E527 &gt; 0.03 * SUMIF(B:B, "BT", E:E)), "ITA-D", ""))</f>
        <v/>
      </c>
    </row>
    <row r="528" spans="1:10" x14ac:dyDescent="0.3">
      <c r="A528" s="18">
        <v>527</v>
      </c>
      <c r="B528" s="19" t="s">
        <v>41</v>
      </c>
      <c r="C528" s="20">
        <v>45793</v>
      </c>
      <c r="D528" s="20" t="s">
        <v>204</v>
      </c>
      <c r="E528" s="21">
        <v>61997</v>
      </c>
      <c r="F528" s="21"/>
      <c r="G528" s="21">
        <v>859443.61</v>
      </c>
      <c r="H528" s="23" t="s">
        <v>26</v>
      </c>
      <c r="I528" s="22" t="s">
        <v>26</v>
      </c>
      <c r="J528" s="17" t="str">
        <f>IF(AND(B528="BT", F528 &gt; 0.03 * SUMIF(B:B, "BT", F:F)), "ITA-C", IF(AND(B528="BT", E528 &gt; 0.03 * SUMIF(B:B, "BT", E:E)), "ITA-D", ""))</f>
        <v/>
      </c>
    </row>
    <row r="529" spans="1:10" x14ac:dyDescent="0.3">
      <c r="A529" s="18">
        <v>528</v>
      </c>
      <c r="B529" s="19" t="s">
        <v>41</v>
      </c>
      <c r="C529" s="20">
        <v>45793</v>
      </c>
      <c r="D529" s="20" t="s">
        <v>52</v>
      </c>
      <c r="E529" s="21">
        <v>5000</v>
      </c>
      <c r="F529" s="21"/>
      <c r="G529" s="21">
        <v>854443.61</v>
      </c>
      <c r="H529" s="23" t="s">
        <v>13</v>
      </c>
      <c r="I529" s="22" t="s">
        <v>13</v>
      </c>
      <c r="J529" s="177" t="str">
        <f>IF(AND(B529="BT", F529 &gt; 0.03 * SUMIF(B:B, "BT", F:F)), "ITA-C", IF(AND(B529="BT", E529 &gt; 0.03 * SUMIF(B:B, "BT", E:E)), "ITA-D", ""))</f>
        <v/>
      </c>
    </row>
    <row r="530" spans="1:10" x14ac:dyDescent="0.3">
      <c r="A530" s="18">
        <v>529</v>
      </c>
      <c r="B530" s="19" t="s">
        <v>41</v>
      </c>
      <c r="C530" s="20">
        <v>45794</v>
      </c>
      <c r="D530" s="20" t="s">
        <v>189</v>
      </c>
      <c r="E530" s="21">
        <v>822408</v>
      </c>
      <c r="F530" s="21"/>
      <c r="G530" s="21">
        <v>32035.61</v>
      </c>
      <c r="H530" s="23" t="s">
        <v>26</v>
      </c>
      <c r="I530" s="22" t="s">
        <v>26</v>
      </c>
      <c r="J530" s="17" t="str">
        <f>IF(AND(B530="BT", F530 &gt; 0.03 * SUMIF(B:B, "BT", F:F)), "ITA-C", IF(AND(B530="BT", E530 &gt; 0.03 * SUMIF(B:B, "BT", E:E)), "ITA-D", ""))</f>
        <v/>
      </c>
    </row>
    <row r="531" spans="1:10" x14ac:dyDescent="0.3">
      <c r="A531" s="153">
        <v>530</v>
      </c>
      <c r="B531" s="35" t="s">
        <v>48</v>
      </c>
      <c r="C531" s="36">
        <v>45795</v>
      </c>
      <c r="D531" s="36" t="s">
        <v>271</v>
      </c>
      <c r="E531" s="37">
        <v>3000</v>
      </c>
      <c r="F531" s="37"/>
      <c r="G531" s="37">
        <v>29035.61</v>
      </c>
      <c r="H531" s="39" t="s">
        <v>25</v>
      </c>
      <c r="I531" s="38" t="s">
        <v>25</v>
      </c>
      <c r="J531" s="17" t="str">
        <f>IF(AND(B531="BT", F531 &gt; 0.03 * SUMIF(B:B, "BT", F:F)), "ITA-C", IF(AND(B531="BT", E531 &gt; 0.03 * SUMIF(B:B, "BT", E:E)), "ITA-D", ""))</f>
        <v/>
      </c>
    </row>
    <row r="532" spans="1:10" x14ac:dyDescent="0.3">
      <c r="A532" s="18">
        <v>531</v>
      </c>
      <c r="B532" s="19" t="s">
        <v>41</v>
      </c>
      <c r="C532" s="20">
        <v>45795</v>
      </c>
      <c r="D532" s="20" t="s">
        <v>52</v>
      </c>
      <c r="E532" s="21">
        <v>4117.8100000000004</v>
      </c>
      <c r="F532" s="21"/>
      <c r="G532" s="21">
        <v>24917.8</v>
      </c>
      <c r="H532" s="23" t="s">
        <v>6</v>
      </c>
      <c r="I532" s="22" t="s">
        <v>6</v>
      </c>
      <c r="J532" s="177" t="str">
        <f>IF(AND(B532="BT", F532 &gt; 0.03 * SUMIF(B:B, "BT", F:F)), "ITA-C", IF(AND(B532="BT", E532 &gt; 0.03 * SUMIF(B:B, "BT", E:E)), "ITA-D", ""))</f>
        <v/>
      </c>
    </row>
    <row r="533" spans="1:10" x14ac:dyDescent="0.3">
      <c r="A533" s="153">
        <v>532</v>
      </c>
      <c r="B533" s="35" t="s">
        <v>48</v>
      </c>
      <c r="C533" s="36">
        <v>45795</v>
      </c>
      <c r="D533" s="36" t="s">
        <v>271</v>
      </c>
      <c r="E533" s="37">
        <v>3000</v>
      </c>
      <c r="F533" s="37"/>
      <c r="G533" s="37">
        <v>21917.8</v>
      </c>
      <c r="H533" s="39" t="s">
        <v>25</v>
      </c>
      <c r="I533" s="38" t="s">
        <v>25</v>
      </c>
      <c r="J533" s="17" t="str">
        <f>IF(AND(B533="BT", F533 &gt; 0.03 * SUMIF(B:B, "BT", F:F)), "ITA-C", IF(AND(B533="BT", E533 &gt; 0.03 * SUMIF(B:B, "BT", E:E)), "ITA-D", ""))</f>
        <v/>
      </c>
    </row>
    <row r="534" spans="1:10" x14ac:dyDescent="0.3">
      <c r="A534" s="18">
        <v>533</v>
      </c>
      <c r="B534" s="19" t="s">
        <v>41</v>
      </c>
      <c r="C534" s="20">
        <v>45796</v>
      </c>
      <c r="D534" s="20" t="s">
        <v>193</v>
      </c>
      <c r="E534" s="21"/>
      <c r="F534" s="21">
        <v>500000</v>
      </c>
      <c r="G534" s="21">
        <v>521917.8</v>
      </c>
      <c r="H534" s="23" t="s">
        <v>7</v>
      </c>
      <c r="I534" s="22" t="s">
        <v>7</v>
      </c>
      <c r="J534" s="17" t="str">
        <f>IF(AND(B534="BT", F534 &gt; 0.03 * SUMIF(B:B, "BT", F:F)), "ITA-C", IF(AND(B534="BT", E534 &gt; 0.03 * SUMIF(B:B, "BT", E:E)), "ITA-D", ""))</f>
        <v/>
      </c>
    </row>
    <row r="535" spans="1:10" x14ac:dyDescent="0.3">
      <c r="A535" s="18">
        <v>534</v>
      </c>
      <c r="B535" s="19" t="s">
        <v>41</v>
      </c>
      <c r="C535" s="20">
        <v>45796</v>
      </c>
      <c r="D535" s="20" t="s">
        <v>226</v>
      </c>
      <c r="E535" s="21">
        <v>401625</v>
      </c>
      <c r="F535" s="21"/>
      <c r="G535" s="21">
        <v>120292.8</v>
      </c>
      <c r="H535" s="23" t="s">
        <v>9</v>
      </c>
      <c r="I535" s="22" t="s">
        <v>9</v>
      </c>
      <c r="J535" s="17" t="str">
        <f>IF(AND(B535="BT", F535 &gt; 0.03 * SUMIF(B:B, "BT", F:F)), "ITA-C", IF(AND(B535="BT", E535 &gt; 0.03 * SUMIF(B:B, "BT", E:E)), "ITA-D", ""))</f>
        <v/>
      </c>
    </row>
    <row r="536" spans="1:10" x14ac:dyDescent="0.3">
      <c r="A536" s="18">
        <v>535</v>
      </c>
      <c r="B536" s="19" t="s">
        <v>41</v>
      </c>
      <c r="C536" s="20">
        <v>45796</v>
      </c>
      <c r="D536" s="20" t="s">
        <v>52</v>
      </c>
      <c r="E536" s="21"/>
      <c r="F536" s="21">
        <v>1</v>
      </c>
      <c r="G536" s="21">
        <v>120293.8</v>
      </c>
      <c r="H536" s="23" t="s">
        <v>10</v>
      </c>
      <c r="I536" s="22" t="s">
        <v>10</v>
      </c>
      <c r="J536" s="177" t="str">
        <f>IF(AND(B536="BT", F536 &gt; 0.03 * SUMIF(B:B, "BT", F:F)), "ITA-C", IF(AND(B536="BT", E536 &gt; 0.03 * SUMIF(B:B, "BT", E:E)), "ITA-D", ""))</f>
        <v/>
      </c>
    </row>
    <row r="537" spans="1:10" x14ac:dyDescent="0.3">
      <c r="A537" s="18">
        <v>536</v>
      </c>
      <c r="B537" s="19" t="s">
        <v>41</v>
      </c>
      <c r="C537" s="20">
        <v>45796</v>
      </c>
      <c r="D537" s="20" t="s">
        <v>52</v>
      </c>
      <c r="E537" s="21">
        <v>2929.5</v>
      </c>
      <c r="F537" s="21"/>
      <c r="G537" s="21">
        <v>117364.3</v>
      </c>
      <c r="H537" s="23" t="s">
        <v>13</v>
      </c>
      <c r="I537" s="22" t="s">
        <v>13</v>
      </c>
      <c r="J537" s="177" t="str">
        <f>IF(AND(B537="BT", F537 &gt; 0.03 * SUMIF(B:B, "BT", F:F)), "ITA-C", IF(AND(B537="BT", E537 &gt; 0.03 * SUMIF(B:B, "BT", E:E)), "ITA-D", ""))</f>
        <v/>
      </c>
    </row>
    <row r="538" spans="1:10" x14ac:dyDescent="0.3">
      <c r="A538" s="18">
        <v>537</v>
      </c>
      <c r="B538" s="24" t="s">
        <v>39</v>
      </c>
      <c r="C538" s="25">
        <v>45796</v>
      </c>
      <c r="D538" s="25" t="s">
        <v>260</v>
      </c>
      <c r="E538" s="26">
        <v>5000</v>
      </c>
      <c r="F538" s="26"/>
      <c r="G538" s="26">
        <v>112364.3</v>
      </c>
      <c r="H538" s="28" t="s">
        <v>12</v>
      </c>
      <c r="I538" s="27" t="s">
        <v>12</v>
      </c>
      <c r="J538" s="17" t="str">
        <f>IF(AND(B538="BT", F538 &gt; 0.03 * SUMIF(B:B, "BT", F:F)), "ITA-C", IF(AND(B538="BT", E538 &gt; 0.03 * SUMIF(B:B, "BT", E:E)), "ITA-D", ""))</f>
        <v/>
      </c>
    </row>
    <row r="539" spans="1:10" x14ac:dyDescent="0.3">
      <c r="A539" s="18">
        <v>538</v>
      </c>
      <c r="B539" s="19" t="s">
        <v>41</v>
      </c>
      <c r="C539" s="20">
        <v>45797</v>
      </c>
      <c r="D539" s="20" t="s">
        <v>221</v>
      </c>
      <c r="E539" s="21"/>
      <c r="F539" s="21">
        <v>138800</v>
      </c>
      <c r="G539" s="21">
        <v>251164.3</v>
      </c>
      <c r="H539" s="23" t="s">
        <v>5</v>
      </c>
      <c r="I539" s="22" t="s">
        <v>5</v>
      </c>
      <c r="J539" s="17" t="str">
        <f>IF(AND(B539="BT", F539 &gt; 0.03 * SUMIF(B:B, "BT", F:F)), "ITA-C", IF(AND(B539="BT", E539 &gt; 0.03 * SUMIF(B:B, "BT", E:E)), "ITA-D", ""))</f>
        <v/>
      </c>
    </row>
    <row r="540" spans="1:10" x14ac:dyDescent="0.3">
      <c r="A540" s="153">
        <v>539</v>
      </c>
      <c r="B540" s="35" t="s">
        <v>48</v>
      </c>
      <c r="C540" s="36">
        <v>45797</v>
      </c>
      <c r="D540" s="36" t="s">
        <v>271</v>
      </c>
      <c r="E540" s="37"/>
      <c r="F540" s="37">
        <v>35000</v>
      </c>
      <c r="G540" s="37">
        <v>286164.3</v>
      </c>
      <c r="H540" s="39" t="s">
        <v>10</v>
      </c>
      <c r="I540" s="38" t="s">
        <v>10</v>
      </c>
      <c r="J540" s="17" t="str">
        <f>IF(AND(B540="BT", F540 &gt; 0.03 * SUMIF(B:B, "BT", F:F)), "ITA-C", IF(AND(B540="BT", E540 &gt; 0.03 * SUMIF(B:B, "BT", E:E)), "ITA-D", ""))</f>
        <v/>
      </c>
    </row>
    <row r="541" spans="1:10" x14ac:dyDescent="0.3">
      <c r="A541" s="18">
        <v>540</v>
      </c>
      <c r="B541" s="19" t="s">
        <v>41</v>
      </c>
      <c r="C541" s="20">
        <v>45797</v>
      </c>
      <c r="D541" s="20" t="s">
        <v>231</v>
      </c>
      <c r="E541" s="21">
        <v>36902</v>
      </c>
      <c r="F541" s="21"/>
      <c r="G541" s="21">
        <v>249262.3</v>
      </c>
      <c r="H541" s="23" t="s">
        <v>13</v>
      </c>
      <c r="I541" s="22" t="s">
        <v>13</v>
      </c>
      <c r="J541" s="17" t="str">
        <f>IF(AND(B541="BT", F541 &gt; 0.03 * SUMIF(B:B, "BT", F:F)), "ITA-C", IF(AND(B541="BT", E541 &gt; 0.03 * SUMIF(B:B, "BT", E:E)), "ITA-D", ""))</f>
        <v/>
      </c>
    </row>
    <row r="542" spans="1:10" x14ac:dyDescent="0.3">
      <c r="A542" s="18">
        <v>541</v>
      </c>
      <c r="B542" s="19" t="s">
        <v>41</v>
      </c>
      <c r="C542" s="20">
        <v>45797</v>
      </c>
      <c r="D542" s="20" t="s">
        <v>215</v>
      </c>
      <c r="E542" s="21">
        <v>117119</v>
      </c>
      <c r="F542" s="21"/>
      <c r="G542" s="21">
        <v>132143.29999999999</v>
      </c>
      <c r="H542" s="23" t="s">
        <v>13</v>
      </c>
      <c r="I542" s="22" t="s">
        <v>13</v>
      </c>
      <c r="J542" s="17" t="str">
        <f>IF(AND(B542="BT", F542 &gt; 0.03 * SUMIF(B:B, "BT", F:F)), "ITA-C", IF(AND(B542="BT", E542 &gt; 0.03 * SUMIF(B:B, "BT", E:E)), "ITA-D", ""))</f>
        <v/>
      </c>
    </row>
    <row r="543" spans="1:10" x14ac:dyDescent="0.3">
      <c r="A543" s="18">
        <v>542</v>
      </c>
      <c r="B543" s="19" t="s">
        <v>41</v>
      </c>
      <c r="C543" s="20">
        <v>45797</v>
      </c>
      <c r="D543" s="20" t="s">
        <v>193</v>
      </c>
      <c r="E543" s="21"/>
      <c r="F543" s="21">
        <v>500000</v>
      </c>
      <c r="G543" s="21">
        <v>632143.30000000005</v>
      </c>
      <c r="H543" s="23" t="s">
        <v>7</v>
      </c>
      <c r="I543" s="22" t="s">
        <v>7</v>
      </c>
      <c r="J543" s="17" t="str">
        <f>IF(AND(B543="BT", F543 &gt; 0.03 * SUMIF(B:B, "BT", F:F)), "ITA-C", IF(AND(B543="BT", E543 &gt; 0.03 * SUMIF(B:B, "BT", E:E)), "ITA-D", ""))</f>
        <v/>
      </c>
    </row>
    <row r="544" spans="1:10" x14ac:dyDescent="0.3">
      <c r="A544" s="153">
        <v>543</v>
      </c>
      <c r="B544" s="35" t="s">
        <v>48</v>
      </c>
      <c r="C544" s="36">
        <v>45797</v>
      </c>
      <c r="D544" s="36" t="s">
        <v>270</v>
      </c>
      <c r="E544" s="37">
        <v>500000</v>
      </c>
      <c r="F544" s="37"/>
      <c r="G544" s="37">
        <v>132143.29999999999</v>
      </c>
      <c r="H544" s="39" t="s">
        <v>9</v>
      </c>
      <c r="I544" s="38" t="s">
        <v>9</v>
      </c>
      <c r="J544" s="17" t="str">
        <f>IF(AND(B544="BT", F544 &gt; 0.03 * SUMIF(B:B, "BT", F:F)), "ITA-C", IF(AND(B544="BT", E544 &gt; 0.03 * SUMIF(B:B, "BT", E:E)), "ITA-D", ""))</f>
        <v/>
      </c>
    </row>
    <row r="545" spans="1:10" x14ac:dyDescent="0.3">
      <c r="A545" s="153">
        <v>544</v>
      </c>
      <c r="B545" s="35" t="s">
        <v>48</v>
      </c>
      <c r="C545" s="36">
        <v>45797</v>
      </c>
      <c r="D545" s="36" t="s">
        <v>276</v>
      </c>
      <c r="E545" s="37">
        <v>8000</v>
      </c>
      <c r="F545" s="37"/>
      <c r="G545" s="37">
        <v>124143.3</v>
      </c>
      <c r="H545" s="39" t="s">
        <v>6</v>
      </c>
      <c r="I545" s="38" t="s">
        <v>6</v>
      </c>
      <c r="J545" s="17" t="str">
        <f>IF(AND(B545="BT", F545 &gt; 0.03 * SUMIF(B:B, "BT", F:F)), "ITA-C", IF(AND(B545="BT", E545 &gt; 0.03 * SUMIF(B:B, "BT", E:E)), "ITA-D", ""))</f>
        <v/>
      </c>
    </row>
    <row r="546" spans="1:10" x14ac:dyDescent="0.3">
      <c r="A546" s="18">
        <v>545</v>
      </c>
      <c r="B546" s="19" t="s">
        <v>41</v>
      </c>
      <c r="C546" s="20">
        <v>45797</v>
      </c>
      <c r="D546" s="20" t="s">
        <v>52</v>
      </c>
      <c r="E546" s="21"/>
      <c r="F546" s="21">
        <v>1</v>
      </c>
      <c r="G546" s="21">
        <v>124144.3</v>
      </c>
      <c r="H546" s="23" t="s">
        <v>10</v>
      </c>
      <c r="I546" s="22" t="s">
        <v>10</v>
      </c>
      <c r="J546" s="177" t="str">
        <f>IF(AND(B546="BT", F546 &gt; 0.03 * SUMIF(B:B, "BT", F:F)), "ITA-C", IF(AND(B546="BT", E546 &gt; 0.03 * SUMIF(B:B, "BT", E:E)), "ITA-D", ""))</f>
        <v/>
      </c>
    </row>
    <row r="547" spans="1:10" x14ac:dyDescent="0.3">
      <c r="A547" s="133">
        <v>546</v>
      </c>
      <c r="B547" s="40" t="s">
        <v>47</v>
      </c>
      <c r="C547" s="41">
        <v>45798</v>
      </c>
      <c r="D547" s="41" t="s">
        <v>246</v>
      </c>
      <c r="E547" s="42"/>
      <c r="F547" s="42">
        <v>713</v>
      </c>
      <c r="G547" s="42">
        <v>124857.3</v>
      </c>
      <c r="H547" s="44" t="s">
        <v>5</v>
      </c>
      <c r="I547" s="43" t="s">
        <v>5</v>
      </c>
      <c r="J547" s="17" t="str">
        <f>IF(AND(B547="BT", F547 &gt; 0.03 * SUMIF(B:B, "BT", F:F)), "ITA-C", IF(AND(B547="BT", E547 &gt; 0.03 * SUMIF(B:B, "BT", E:E)), "ITA-D", ""))</f>
        <v/>
      </c>
    </row>
    <row r="548" spans="1:10" x14ac:dyDescent="0.3">
      <c r="A548" s="153">
        <v>547</v>
      </c>
      <c r="B548" s="35" t="s">
        <v>48</v>
      </c>
      <c r="C548" s="36">
        <v>45798</v>
      </c>
      <c r="D548" s="36" t="s">
        <v>271</v>
      </c>
      <c r="E548" s="37">
        <v>4000</v>
      </c>
      <c r="F548" s="37"/>
      <c r="G548" s="37">
        <v>120857.3</v>
      </c>
      <c r="H548" s="39" t="s">
        <v>25</v>
      </c>
      <c r="I548" s="38" t="s">
        <v>25</v>
      </c>
      <c r="J548" s="17" t="str">
        <f>IF(AND(B548="BT", F548 &gt; 0.03 * SUMIF(B:B, "BT", F:F)), "ITA-C", IF(AND(B548="BT", E548 &gt; 0.03 * SUMIF(B:B, "BT", E:E)), "ITA-D", ""))</f>
        <v/>
      </c>
    </row>
    <row r="549" spans="1:10" x14ac:dyDescent="0.3">
      <c r="A549" s="18">
        <v>548</v>
      </c>
      <c r="B549" s="19" t="s">
        <v>41</v>
      </c>
      <c r="C549" s="20">
        <v>45799</v>
      </c>
      <c r="D549" s="20" t="s">
        <v>221</v>
      </c>
      <c r="E549" s="21"/>
      <c r="F549" s="21">
        <v>100000</v>
      </c>
      <c r="G549" s="21">
        <v>220857.3</v>
      </c>
      <c r="H549" s="23" t="s">
        <v>5</v>
      </c>
      <c r="I549" s="22" t="s">
        <v>5</v>
      </c>
      <c r="J549" s="17" t="str">
        <f>IF(AND(B549="BT", F549 &gt; 0.03 * SUMIF(B:B, "BT", F:F)), "ITA-C", IF(AND(B549="BT", E549 &gt; 0.03 * SUMIF(B:B, "BT", E:E)), "ITA-D", ""))</f>
        <v/>
      </c>
    </row>
    <row r="550" spans="1:10" x14ac:dyDescent="0.3">
      <c r="A550" s="18">
        <v>549</v>
      </c>
      <c r="B550" s="19" t="s">
        <v>41</v>
      </c>
      <c r="C550" s="20">
        <v>45799</v>
      </c>
      <c r="D550" s="20" t="s">
        <v>40</v>
      </c>
      <c r="E550" s="21"/>
      <c r="F550" s="21">
        <v>131000</v>
      </c>
      <c r="G550" s="21">
        <v>351857.3</v>
      </c>
      <c r="H550" s="23" t="s">
        <v>30</v>
      </c>
      <c r="I550" s="22" t="s">
        <v>30</v>
      </c>
      <c r="J550" s="17" t="str">
        <f>IF(AND(B550="BT", F550 &gt; 0.03 * SUMIF(B:B, "BT", F:F)), "ITA-C", IF(AND(B550="BT", E550 &gt; 0.03 * SUMIF(B:B, "BT", E:E)), "ITA-D", ""))</f>
        <v/>
      </c>
    </row>
    <row r="551" spans="1:10" x14ac:dyDescent="0.3">
      <c r="A551" s="18">
        <v>550</v>
      </c>
      <c r="B551" s="24" t="s">
        <v>39</v>
      </c>
      <c r="C551" s="25">
        <v>45799</v>
      </c>
      <c r="D551" s="6" t="s">
        <v>258</v>
      </c>
      <c r="E551" s="26">
        <v>5.9</v>
      </c>
      <c r="F551" s="26"/>
      <c r="G551" s="26">
        <v>351851.4</v>
      </c>
      <c r="H551" s="28" t="s">
        <v>24</v>
      </c>
      <c r="I551" s="27" t="s">
        <v>24</v>
      </c>
      <c r="J551" s="17" t="str">
        <f>IF(AND(B551="BT", F551 &gt; 0.03 * SUMIF(B:B, "BT", F:F)), "ITA-C", IF(AND(B551="BT", E551 &gt; 0.03 * SUMIF(B:B, "BT", E:E)), "ITA-D", ""))</f>
        <v/>
      </c>
    </row>
    <row r="552" spans="1:10" x14ac:dyDescent="0.3">
      <c r="A552" s="18">
        <v>551</v>
      </c>
      <c r="B552" s="24" t="s">
        <v>39</v>
      </c>
      <c r="C552" s="25">
        <v>45799</v>
      </c>
      <c r="D552" s="6" t="s">
        <v>258</v>
      </c>
      <c r="E552" s="26">
        <v>5.9</v>
      </c>
      <c r="F552" s="26"/>
      <c r="G552" s="26">
        <v>351845.5</v>
      </c>
      <c r="H552" s="28" t="s">
        <v>24</v>
      </c>
      <c r="I552" s="27" t="s">
        <v>24</v>
      </c>
      <c r="J552" s="17" t="str">
        <f>IF(AND(B552="BT", F552 &gt; 0.03 * SUMIF(B:B, "BT", F:F)), "ITA-C", IF(AND(B552="BT", E552 &gt; 0.03 * SUMIF(B:B, "BT", E:E)), "ITA-D", ""))</f>
        <v/>
      </c>
    </row>
    <row r="553" spans="1:10" x14ac:dyDescent="0.3">
      <c r="A553" s="18">
        <v>552</v>
      </c>
      <c r="B553" s="19" t="s">
        <v>41</v>
      </c>
      <c r="C553" s="20">
        <v>45799</v>
      </c>
      <c r="D553" s="20" t="s">
        <v>52</v>
      </c>
      <c r="E553" s="21">
        <v>5350</v>
      </c>
      <c r="F553" s="21"/>
      <c r="G553" s="21">
        <v>346495.5</v>
      </c>
      <c r="H553" s="23" t="s">
        <v>13</v>
      </c>
      <c r="I553" s="22" t="s">
        <v>13</v>
      </c>
      <c r="J553" s="177" t="str">
        <f>IF(AND(B553="BT", F553 &gt; 0.03 * SUMIF(B:B, "BT", F:F)), "ITA-C", IF(AND(B553="BT", E553 &gt; 0.03 * SUMIF(B:B, "BT", E:E)), "ITA-D", ""))</f>
        <v/>
      </c>
    </row>
    <row r="554" spans="1:10" x14ac:dyDescent="0.3">
      <c r="A554" s="18">
        <v>553</v>
      </c>
      <c r="B554" s="19" t="s">
        <v>41</v>
      </c>
      <c r="C554" s="20">
        <v>45799</v>
      </c>
      <c r="D554" s="20" t="s">
        <v>228</v>
      </c>
      <c r="E554" s="21"/>
      <c r="F554" s="21">
        <v>42000</v>
      </c>
      <c r="G554" s="21">
        <v>388495.5</v>
      </c>
      <c r="H554" s="23" t="s">
        <v>5</v>
      </c>
      <c r="I554" s="22" t="s">
        <v>5</v>
      </c>
      <c r="J554" s="17" t="str">
        <f>IF(AND(B554="BT", F554 &gt; 0.03 * SUMIF(B:B, "BT", F:F)), "ITA-C", IF(AND(B554="BT", E554 &gt; 0.03 * SUMIF(B:B, "BT", E:E)), "ITA-D", ""))</f>
        <v/>
      </c>
    </row>
    <row r="555" spans="1:10" x14ac:dyDescent="0.3">
      <c r="A555" s="18">
        <v>554</v>
      </c>
      <c r="B555" s="19" t="s">
        <v>41</v>
      </c>
      <c r="C555" s="20">
        <v>45799</v>
      </c>
      <c r="D555" s="20" t="s">
        <v>193</v>
      </c>
      <c r="E555" s="21"/>
      <c r="F555" s="21">
        <v>500000</v>
      </c>
      <c r="G555" s="21">
        <v>888495.5</v>
      </c>
      <c r="H555" s="23" t="s">
        <v>7</v>
      </c>
      <c r="I555" s="22" t="s">
        <v>7</v>
      </c>
      <c r="J555" s="17" t="str">
        <f>IF(AND(B555="BT", F555 &gt; 0.03 * SUMIF(B:B, "BT", F:F)), "ITA-C", IF(AND(B555="BT", E555 &gt; 0.03 * SUMIF(B:B, "BT", E:E)), "ITA-D", ""))</f>
        <v/>
      </c>
    </row>
    <row r="556" spans="1:10" x14ac:dyDescent="0.3">
      <c r="A556" s="153">
        <v>555</v>
      </c>
      <c r="B556" s="35" t="s">
        <v>48</v>
      </c>
      <c r="C556" s="36">
        <v>45799</v>
      </c>
      <c r="D556" s="36" t="s">
        <v>270</v>
      </c>
      <c r="E556" s="37">
        <v>500000</v>
      </c>
      <c r="F556" s="37"/>
      <c r="G556" s="37">
        <v>388495.5</v>
      </c>
      <c r="H556" s="39" t="s">
        <v>9</v>
      </c>
      <c r="I556" s="38" t="s">
        <v>9</v>
      </c>
      <c r="J556" s="17" t="str">
        <f>IF(AND(B556="BT", F556 &gt; 0.03 * SUMIF(B:B, "BT", F:F)), "ITA-C", IF(AND(B556="BT", E556 &gt; 0.03 * SUMIF(B:B, "BT", E:E)), "ITA-D", ""))</f>
        <v/>
      </c>
    </row>
    <row r="557" spans="1:10" x14ac:dyDescent="0.3">
      <c r="A557" s="18">
        <v>556</v>
      </c>
      <c r="B557" s="19" t="s">
        <v>41</v>
      </c>
      <c r="C557" s="20">
        <v>45799</v>
      </c>
      <c r="D557" s="20" t="s">
        <v>216</v>
      </c>
      <c r="E557" s="21">
        <v>50000</v>
      </c>
      <c r="F557" s="21"/>
      <c r="G557" s="21">
        <v>338495.5</v>
      </c>
      <c r="H557" s="23" t="s">
        <v>13</v>
      </c>
      <c r="I557" s="22" t="s">
        <v>13</v>
      </c>
      <c r="J557" s="17" t="str">
        <f>IF(AND(B557="BT", F557 &gt; 0.03 * SUMIF(B:B, "BT", F:F)), "ITA-C", IF(AND(B557="BT", E557 &gt; 0.03 * SUMIF(B:B, "BT", E:E)), "ITA-D", ""))</f>
        <v/>
      </c>
    </row>
    <row r="558" spans="1:10" x14ac:dyDescent="0.3">
      <c r="A558" s="18">
        <v>557</v>
      </c>
      <c r="B558" s="19" t="s">
        <v>41</v>
      </c>
      <c r="C558" s="20">
        <v>45799</v>
      </c>
      <c r="D558" s="20" t="s">
        <v>205</v>
      </c>
      <c r="E558" s="21"/>
      <c r="F558" s="21">
        <v>54992</v>
      </c>
      <c r="G558" s="21">
        <v>393487.5</v>
      </c>
      <c r="H558" s="23" t="s">
        <v>28</v>
      </c>
      <c r="I558" s="22" t="s">
        <v>28</v>
      </c>
      <c r="J558" s="17" t="str">
        <f>IF(AND(B558="BT", F558 &gt; 0.03 * SUMIF(B:B, "BT", F:F)), "ITA-C", IF(AND(B558="BT", E558 &gt; 0.03 * SUMIF(B:B, "BT", E:E)), "ITA-D", ""))</f>
        <v/>
      </c>
    </row>
    <row r="559" spans="1:10" x14ac:dyDescent="0.3">
      <c r="A559" s="18">
        <v>558</v>
      </c>
      <c r="B559" s="19" t="s">
        <v>41</v>
      </c>
      <c r="C559" s="20">
        <v>45799</v>
      </c>
      <c r="D559" s="20" t="s">
        <v>227</v>
      </c>
      <c r="E559" s="21"/>
      <c r="F559" s="21">
        <v>161700</v>
      </c>
      <c r="G559" s="21">
        <v>555187.5</v>
      </c>
      <c r="H559" s="23" t="s">
        <v>5</v>
      </c>
      <c r="I559" s="22" t="s">
        <v>5</v>
      </c>
      <c r="J559" s="17" t="str">
        <f>IF(AND(B559="BT", F559 &gt; 0.03 * SUMIF(B:B, "BT", F:F)), "ITA-C", IF(AND(B559="BT", E559 &gt; 0.03 * SUMIF(B:B, "BT", E:E)), "ITA-D", ""))</f>
        <v/>
      </c>
    </row>
    <row r="560" spans="1:10" x14ac:dyDescent="0.3">
      <c r="A560" s="153">
        <v>559</v>
      </c>
      <c r="B560" s="35" t="s">
        <v>48</v>
      </c>
      <c r="C560" s="36">
        <v>45800</v>
      </c>
      <c r="D560" s="36" t="s">
        <v>270</v>
      </c>
      <c r="E560" s="37">
        <v>100000</v>
      </c>
      <c r="F560" s="37"/>
      <c r="G560" s="37">
        <v>455187.5</v>
      </c>
      <c r="H560" s="39" t="s">
        <v>13</v>
      </c>
      <c r="I560" s="38" t="s">
        <v>13</v>
      </c>
      <c r="J560" s="17" t="str">
        <f>IF(AND(B560="BT", F560 &gt; 0.03 * SUMIF(B:B, "BT", F:F)), "ITA-C", IF(AND(B560="BT", E560 &gt; 0.03 * SUMIF(B:B, "BT", E:E)), "ITA-D", ""))</f>
        <v/>
      </c>
    </row>
    <row r="561" spans="1:10" x14ac:dyDescent="0.3">
      <c r="A561" s="18">
        <v>560</v>
      </c>
      <c r="B561" s="24" t="s">
        <v>39</v>
      </c>
      <c r="C561" s="25">
        <v>45800</v>
      </c>
      <c r="D561" s="25" t="s">
        <v>265</v>
      </c>
      <c r="E561" s="26">
        <v>1532.82</v>
      </c>
      <c r="F561" s="26"/>
      <c r="G561" s="26">
        <v>453654.68</v>
      </c>
      <c r="H561" s="28" t="s">
        <v>16</v>
      </c>
      <c r="I561" s="27" t="s">
        <v>16</v>
      </c>
      <c r="J561" s="17" t="str">
        <f>IF(AND(B561="BT", F561 &gt; 0.03 * SUMIF(B:B, "BT", F:F)), "ITA-C", IF(AND(B561="BT", E561 &gt; 0.03 * SUMIF(B:B, "BT", E:E)), "ITA-D", ""))</f>
        <v/>
      </c>
    </row>
    <row r="562" spans="1:10" x14ac:dyDescent="0.3">
      <c r="A562" s="18">
        <v>561</v>
      </c>
      <c r="B562" s="19" t="s">
        <v>41</v>
      </c>
      <c r="C562" s="20">
        <v>45800</v>
      </c>
      <c r="D562" s="20" t="s">
        <v>223</v>
      </c>
      <c r="E562" s="21">
        <v>50400</v>
      </c>
      <c r="F562" s="21"/>
      <c r="G562" s="21">
        <v>403254.68</v>
      </c>
      <c r="H562" s="23" t="s">
        <v>6</v>
      </c>
      <c r="I562" s="22" t="s">
        <v>6</v>
      </c>
      <c r="J562" s="17" t="str">
        <f>IF(AND(B562="BT", F562 &gt; 0.03 * SUMIF(B:B, "BT", F:F)), "ITA-C", IF(AND(B562="BT", E562 &gt; 0.03 * SUMIF(B:B, "BT", E:E)), "ITA-D", ""))</f>
        <v/>
      </c>
    </row>
    <row r="563" spans="1:10" x14ac:dyDescent="0.3">
      <c r="A563" s="153">
        <v>562</v>
      </c>
      <c r="B563" s="35" t="s">
        <v>48</v>
      </c>
      <c r="C563" s="36">
        <v>45801</v>
      </c>
      <c r="D563" s="36" t="s">
        <v>270</v>
      </c>
      <c r="E563" s="37"/>
      <c r="F563" s="37">
        <v>100000</v>
      </c>
      <c r="G563" s="37">
        <v>503254.68</v>
      </c>
      <c r="H563" s="39" t="s">
        <v>10</v>
      </c>
      <c r="I563" s="38" t="s">
        <v>10</v>
      </c>
      <c r="J563" s="17" t="str">
        <f>IF(AND(B563="BT", F563 &gt; 0.03 * SUMIF(B:B, "BT", F:F)), "ITA-C", IF(AND(B563="BT", E563 &gt; 0.03 * SUMIF(B:B, "BT", E:E)), "ITA-D", ""))</f>
        <v/>
      </c>
    </row>
    <row r="564" spans="1:10" x14ac:dyDescent="0.3">
      <c r="A564" s="18">
        <v>563</v>
      </c>
      <c r="B564" s="19" t="s">
        <v>41</v>
      </c>
      <c r="C564" s="20">
        <v>45801</v>
      </c>
      <c r="D564" s="20" t="s">
        <v>198</v>
      </c>
      <c r="E564" s="21"/>
      <c r="F564" s="21">
        <v>46000</v>
      </c>
      <c r="G564" s="21">
        <v>549254.68000000005</v>
      </c>
      <c r="H564" s="23" t="s">
        <v>5</v>
      </c>
      <c r="I564" s="22" t="s">
        <v>5</v>
      </c>
      <c r="J564" s="17" t="str">
        <f>IF(AND(B564="BT", F564 &gt; 0.03 * SUMIF(B:B, "BT", F:F)), "ITA-C", IF(AND(B564="BT", E564 &gt; 0.03 * SUMIF(B:B, "BT", E:E)), "ITA-D", ""))</f>
        <v/>
      </c>
    </row>
    <row r="565" spans="1:10" x14ac:dyDescent="0.3">
      <c r="A565" s="153">
        <v>564</v>
      </c>
      <c r="B565" s="35" t="s">
        <v>48</v>
      </c>
      <c r="C565" s="36">
        <v>45802</v>
      </c>
      <c r="D565" s="36" t="s">
        <v>271</v>
      </c>
      <c r="E565" s="37">
        <v>5000</v>
      </c>
      <c r="F565" s="37"/>
      <c r="G565" s="37">
        <v>544254.68000000005</v>
      </c>
      <c r="H565" s="39" t="s">
        <v>25</v>
      </c>
      <c r="I565" s="38" t="s">
        <v>25</v>
      </c>
      <c r="J565" s="17" t="str">
        <f>IF(AND(B565="BT", F565 &gt; 0.03 * SUMIF(B:B, "BT", F:F)), "ITA-C", IF(AND(B565="BT", E565 &gt; 0.03 * SUMIF(B:B, "BT", E:E)), "ITA-D", ""))</f>
        <v/>
      </c>
    </row>
    <row r="566" spans="1:10" x14ac:dyDescent="0.3">
      <c r="A566" s="18">
        <v>565</v>
      </c>
      <c r="B566" s="19" t="s">
        <v>41</v>
      </c>
      <c r="C566" s="20">
        <v>45803</v>
      </c>
      <c r="D566" s="20" t="s">
        <v>197</v>
      </c>
      <c r="E566" s="21">
        <v>50400</v>
      </c>
      <c r="F566" s="21"/>
      <c r="G566" s="21">
        <v>493854.68</v>
      </c>
      <c r="H566" s="23" t="s">
        <v>26</v>
      </c>
      <c r="I566" s="22" t="s">
        <v>26</v>
      </c>
      <c r="J566" s="17" t="str">
        <f>IF(AND(B566="BT", F566 &gt; 0.03 * SUMIF(B:B, "BT", F:F)), "ITA-C", IF(AND(B566="BT", E566 &gt; 0.03 * SUMIF(B:B, "BT", E:E)), "ITA-D", ""))</f>
        <v/>
      </c>
    </row>
    <row r="567" spans="1:10" x14ac:dyDescent="0.3">
      <c r="A567" s="133">
        <v>566</v>
      </c>
      <c r="B567" s="40" t="s">
        <v>44</v>
      </c>
      <c r="C567" s="41">
        <v>45803</v>
      </c>
      <c r="D567" s="41" t="s">
        <v>252</v>
      </c>
      <c r="E567" s="42">
        <v>100000</v>
      </c>
      <c r="F567" s="42"/>
      <c r="G567" s="42">
        <v>393854.68</v>
      </c>
      <c r="H567" s="44" t="s">
        <v>26</v>
      </c>
      <c r="I567" s="43" t="s">
        <v>26</v>
      </c>
      <c r="J567" s="17" t="str">
        <f>IF(AND(B567="BT", F567 &gt; 0.03 * SUMIF(B:B, "BT", F:F)), "ITA-C", IF(AND(B567="BT", E567 &gt; 0.03 * SUMIF(B:B, "BT", E:E)), "ITA-D", ""))</f>
        <v/>
      </c>
    </row>
    <row r="568" spans="1:10" x14ac:dyDescent="0.3">
      <c r="A568" s="133">
        <v>567</v>
      </c>
      <c r="B568" s="40" t="s">
        <v>44</v>
      </c>
      <c r="C568" s="41">
        <v>45803</v>
      </c>
      <c r="D568" s="41" t="s">
        <v>257</v>
      </c>
      <c r="E568" s="42">
        <v>150000</v>
      </c>
      <c r="F568" s="42"/>
      <c r="G568" s="42">
        <v>243854.68</v>
      </c>
      <c r="H568" s="44" t="s">
        <v>26</v>
      </c>
      <c r="I568" s="43" t="s">
        <v>26</v>
      </c>
      <c r="J568" s="17" t="str">
        <f>IF(AND(B568="BT", F568 &gt; 0.03 * SUMIF(B:B, "BT", F:F)), "ITA-C", IF(AND(B568="BT", E568 &gt; 0.03 * SUMIF(B:B, "BT", E:E)), "ITA-D", ""))</f>
        <v/>
      </c>
    </row>
    <row r="569" spans="1:10" x14ac:dyDescent="0.3">
      <c r="A569" s="153">
        <v>568</v>
      </c>
      <c r="B569" s="35" t="s">
        <v>48</v>
      </c>
      <c r="C569" s="36">
        <v>45803</v>
      </c>
      <c r="D569" s="36" t="s">
        <v>270</v>
      </c>
      <c r="E569" s="37">
        <v>100000</v>
      </c>
      <c r="F569" s="37"/>
      <c r="G569" s="37">
        <v>143854.68</v>
      </c>
      <c r="H569" s="39" t="s">
        <v>25</v>
      </c>
      <c r="I569" s="38" t="s">
        <v>25</v>
      </c>
      <c r="J569" s="17" t="str">
        <f>IF(AND(B569="BT", F569 &gt; 0.03 * SUMIF(B:B, "BT", F:F)), "ITA-C", IF(AND(B569="BT", E569 &gt; 0.03 * SUMIF(B:B, "BT", E:E)), "ITA-D", ""))</f>
        <v/>
      </c>
    </row>
    <row r="570" spans="1:10" x14ac:dyDescent="0.3">
      <c r="A570" s="18">
        <v>569</v>
      </c>
      <c r="B570" s="19" t="s">
        <v>41</v>
      </c>
      <c r="C570" s="20">
        <v>45803</v>
      </c>
      <c r="D570" s="20" t="s">
        <v>198</v>
      </c>
      <c r="E570" s="21"/>
      <c r="F570" s="21">
        <v>17115</v>
      </c>
      <c r="G570" s="21">
        <v>160969.68</v>
      </c>
      <c r="H570" s="23" t="s">
        <v>5</v>
      </c>
      <c r="I570" s="22" t="s">
        <v>5</v>
      </c>
      <c r="J570" s="17" t="str">
        <f>IF(AND(B570="BT", F570 &gt; 0.03 * SUMIF(B:B, "BT", F:F)), "ITA-C", IF(AND(B570="BT", E570 &gt; 0.03 * SUMIF(B:B, "BT", E:E)), "ITA-D", ""))</f>
        <v/>
      </c>
    </row>
    <row r="571" spans="1:10" x14ac:dyDescent="0.3">
      <c r="A571" s="18">
        <v>570</v>
      </c>
      <c r="B571" s="19" t="s">
        <v>41</v>
      </c>
      <c r="C571" s="20">
        <v>45803</v>
      </c>
      <c r="D571" s="20" t="s">
        <v>198</v>
      </c>
      <c r="E571" s="21"/>
      <c r="F571" s="21">
        <v>7403</v>
      </c>
      <c r="G571" s="21">
        <v>168372.68</v>
      </c>
      <c r="H571" s="23" t="s">
        <v>5</v>
      </c>
      <c r="I571" s="22" t="s">
        <v>5</v>
      </c>
      <c r="J571" s="17" t="str">
        <f>IF(AND(B571="BT", F571 &gt; 0.03 * SUMIF(B:B, "BT", F:F)), "ITA-C", IF(AND(B571="BT", E571 &gt; 0.03 * SUMIF(B:B, "BT", E:E)), "ITA-D", ""))</f>
        <v/>
      </c>
    </row>
    <row r="572" spans="1:10" x14ac:dyDescent="0.3">
      <c r="A572" s="18">
        <v>571</v>
      </c>
      <c r="B572" s="19" t="s">
        <v>41</v>
      </c>
      <c r="C572" s="20">
        <v>45803</v>
      </c>
      <c r="D572" s="20" t="s">
        <v>40</v>
      </c>
      <c r="E572" s="21"/>
      <c r="F572" s="21">
        <v>54300</v>
      </c>
      <c r="G572" s="21">
        <v>222672.68</v>
      </c>
      <c r="H572" s="23" t="s">
        <v>30</v>
      </c>
      <c r="I572" s="22" t="s">
        <v>30</v>
      </c>
      <c r="J572" s="17" t="str">
        <f>IF(AND(B572="BT", F572 &gt; 0.03 * SUMIF(B:B, "BT", F:F)), "ITA-C", IF(AND(B572="BT", E572 &gt; 0.03 * SUMIF(B:B, "BT", E:E)), "ITA-D", ""))</f>
        <v/>
      </c>
    </row>
    <row r="573" spans="1:10" x14ac:dyDescent="0.3">
      <c r="A573" s="18">
        <v>572</v>
      </c>
      <c r="B573" s="19" t="s">
        <v>41</v>
      </c>
      <c r="C573" s="20">
        <v>45803</v>
      </c>
      <c r="D573" s="20" t="s">
        <v>193</v>
      </c>
      <c r="E573" s="21"/>
      <c r="F573" s="21">
        <v>500000</v>
      </c>
      <c r="G573" s="21">
        <v>722672.68</v>
      </c>
      <c r="H573" s="23" t="s">
        <v>7</v>
      </c>
      <c r="I573" s="22" t="s">
        <v>7</v>
      </c>
      <c r="J573" s="17" t="str">
        <f>IF(AND(B573="BT", F573 &gt; 0.03 * SUMIF(B:B, "BT", F:F)), "ITA-C", IF(AND(B573="BT", E573 &gt; 0.03 * SUMIF(B:B, "BT", E:E)), "ITA-D", ""))</f>
        <v/>
      </c>
    </row>
    <row r="574" spans="1:10" x14ac:dyDescent="0.3">
      <c r="A574" s="18">
        <v>573</v>
      </c>
      <c r="B574" s="19" t="s">
        <v>41</v>
      </c>
      <c r="C574" s="20">
        <v>45803</v>
      </c>
      <c r="D574" s="20" t="s">
        <v>227</v>
      </c>
      <c r="E574" s="21"/>
      <c r="F574" s="21">
        <v>384300</v>
      </c>
      <c r="G574" s="21">
        <v>1106972.68</v>
      </c>
      <c r="H574" s="23" t="s">
        <v>5</v>
      </c>
      <c r="I574" s="22" t="s">
        <v>5</v>
      </c>
      <c r="J574" s="17" t="str">
        <f>IF(AND(B574="BT", F574 &gt; 0.03 * SUMIF(B:B, "BT", F:F)), "ITA-C", IF(AND(B574="BT", E574 &gt; 0.03 * SUMIF(B:B, "BT", E:E)), "ITA-D", ""))</f>
        <v/>
      </c>
    </row>
    <row r="575" spans="1:10" x14ac:dyDescent="0.3">
      <c r="A575" s="18">
        <v>574</v>
      </c>
      <c r="B575" s="19" t="s">
        <v>41</v>
      </c>
      <c r="C575" s="20">
        <v>45803</v>
      </c>
      <c r="D575" s="20" t="s">
        <v>226</v>
      </c>
      <c r="E575" s="21">
        <v>401625</v>
      </c>
      <c r="F575" s="21"/>
      <c r="G575" s="21">
        <v>705347.68</v>
      </c>
      <c r="H575" s="23" t="s">
        <v>9</v>
      </c>
      <c r="I575" s="22" t="s">
        <v>9</v>
      </c>
      <c r="J575" s="17" t="str">
        <f>IF(AND(B575="BT", F575 &gt; 0.03 * SUMIF(B:B, "BT", F:F)), "ITA-C", IF(AND(B575="BT", E575 &gt; 0.03 * SUMIF(B:B, "BT", E:E)), "ITA-D", ""))</f>
        <v/>
      </c>
    </row>
    <row r="576" spans="1:10" x14ac:dyDescent="0.3">
      <c r="A576" s="18">
        <v>575</v>
      </c>
      <c r="B576" s="19" t="s">
        <v>41</v>
      </c>
      <c r="C576" s="20">
        <v>45803</v>
      </c>
      <c r="D576" s="20" t="s">
        <v>204</v>
      </c>
      <c r="E576" s="21">
        <v>64000</v>
      </c>
      <c r="F576" s="21"/>
      <c r="G576" s="21">
        <v>641347.68000000005</v>
      </c>
      <c r="H576" s="23" t="s">
        <v>6</v>
      </c>
      <c r="I576" s="22" t="s">
        <v>6</v>
      </c>
      <c r="J576" s="17" t="str">
        <f>IF(AND(B576="BT", F576 &gt; 0.03 * SUMIF(B:B, "BT", F:F)), "ITA-C", IF(AND(B576="BT", E576 &gt; 0.03 * SUMIF(B:B, "BT", E:E)), "ITA-D", ""))</f>
        <v/>
      </c>
    </row>
    <row r="577" spans="1:10" x14ac:dyDescent="0.3">
      <c r="A577" s="153">
        <v>576</v>
      </c>
      <c r="B577" s="35" t="s">
        <v>48</v>
      </c>
      <c r="C577" s="36">
        <v>45803</v>
      </c>
      <c r="D577" s="36" t="s">
        <v>271</v>
      </c>
      <c r="E577" s="37">
        <v>5000</v>
      </c>
      <c r="F577" s="37"/>
      <c r="G577" s="37">
        <v>636347.68000000005</v>
      </c>
      <c r="H577" s="39" t="s">
        <v>25</v>
      </c>
      <c r="I577" s="38" t="s">
        <v>25</v>
      </c>
      <c r="J577" s="17" t="str">
        <f>IF(AND(B577="BT", F577 &gt; 0.03 * SUMIF(B:B, "BT", F:F)), "ITA-C", IF(AND(B577="BT", E577 &gt; 0.03 * SUMIF(B:B, "BT", E:E)), "ITA-D", ""))</f>
        <v/>
      </c>
    </row>
    <row r="578" spans="1:10" x14ac:dyDescent="0.3">
      <c r="A578" s="18">
        <v>577</v>
      </c>
      <c r="B578" s="19" t="s">
        <v>41</v>
      </c>
      <c r="C578" s="20">
        <v>45804</v>
      </c>
      <c r="D578" s="20" t="s">
        <v>222</v>
      </c>
      <c r="E578" s="21">
        <v>245340</v>
      </c>
      <c r="F578" s="21"/>
      <c r="G578" s="21">
        <v>391007.68</v>
      </c>
      <c r="H578" s="23" t="s">
        <v>26</v>
      </c>
      <c r="I578" s="22" t="s">
        <v>26</v>
      </c>
      <c r="J578" s="17" t="str">
        <f>IF(AND(B578="BT", F578 &gt; 0.03 * SUMIF(B:B, "BT", F:F)), "ITA-C", IF(AND(B578="BT", E578 &gt; 0.03 * SUMIF(B:B, "BT", E:E)), "ITA-D", ""))</f>
        <v/>
      </c>
    </row>
    <row r="579" spans="1:10" x14ac:dyDescent="0.3">
      <c r="A579" s="18">
        <v>578</v>
      </c>
      <c r="B579" s="19" t="s">
        <v>41</v>
      </c>
      <c r="C579" s="20">
        <v>45804</v>
      </c>
      <c r="D579" s="20" t="s">
        <v>196</v>
      </c>
      <c r="E579" s="21">
        <v>61072</v>
      </c>
      <c r="F579" s="21"/>
      <c r="G579" s="21">
        <v>329935.68</v>
      </c>
      <c r="H579" s="23" t="s">
        <v>26</v>
      </c>
      <c r="I579" s="22" t="s">
        <v>26</v>
      </c>
      <c r="J579" s="17" t="str">
        <f>IF(AND(B579="BT", F579 &gt; 0.03 * SUMIF(B:B, "BT", F:F)), "ITA-C", IF(AND(B579="BT", E579 &gt; 0.03 * SUMIF(B:B, "BT", E:E)), "ITA-D", ""))</f>
        <v/>
      </c>
    </row>
    <row r="580" spans="1:10" x14ac:dyDescent="0.3">
      <c r="A580" s="18">
        <v>579</v>
      </c>
      <c r="B580" s="19" t="s">
        <v>41</v>
      </c>
      <c r="C580" s="20">
        <v>45804</v>
      </c>
      <c r="D580" s="20" t="s">
        <v>233</v>
      </c>
      <c r="E580" s="21">
        <v>33211</v>
      </c>
      <c r="F580" s="21"/>
      <c r="G580" s="21">
        <v>296724.68</v>
      </c>
      <c r="H580" s="23" t="s">
        <v>13</v>
      </c>
      <c r="I580" s="22" t="s">
        <v>13</v>
      </c>
      <c r="J580" s="17" t="str">
        <f>IF(AND(B580="BT", F580 &gt; 0.03 * SUMIF(B:B, "BT", F:F)), "ITA-C", IF(AND(B580="BT", E580 &gt; 0.03 * SUMIF(B:B, "BT", E:E)), "ITA-D", ""))</f>
        <v/>
      </c>
    </row>
    <row r="581" spans="1:10" x14ac:dyDescent="0.3">
      <c r="A581" s="18">
        <v>580</v>
      </c>
      <c r="B581" s="19" t="s">
        <v>41</v>
      </c>
      <c r="C581" s="20">
        <v>45804</v>
      </c>
      <c r="D581" s="20" t="s">
        <v>193</v>
      </c>
      <c r="E581" s="21"/>
      <c r="F581" s="21">
        <v>284029</v>
      </c>
      <c r="G581" s="21">
        <v>580753.68000000005</v>
      </c>
      <c r="H581" s="23" t="s">
        <v>7</v>
      </c>
      <c r="I581" s="22" t="s">
        <v>7</v>
      </c>
      <c r="J581" s="17" t="str">
        <f>IF(AND(B581="BT", F581 &gt; 0.03 * SUMIF(B:B, "BT", F:F)), "ITA-C", IF(AND(B581="BT", E581 &gt; 0.03 * SUMIF(B:B, "BT", E:E)), "ITA-D", ""))</f>
        <v/>
      </c>
    </row>
    <row r="582" spans="1:10" x14ac:dyDescent="0.3">
      <c r="A582" s="153">
        <v>581</v>
      </c>
      <c r="B582" s="35" t="s">
        <v>48</v>
      </c>
      <c r="C582" s="36">
        <v>45804</v>
      </c>
      <c r="D582" s="36" t="s">
        <v>270</v>
      </c>
      <c r="E582" s="37">
        <v>400000</v>
      </c>
      <c r="F582" s="37"/>
      <c r="G582" s="37">
        <v>180753.68</v>
      </c>
      <c r="H582" s="39" t="s">
        <v>9</v>
      </c>
      <c r="I582" s="38" t="s">
        <v>9</v>
      </c>
      <c r="J582" s="17" t="str">
        <f>IF(AND(B582="BT", F582 &gt; 0.03 * SUMIF(B:B, "BT", F:F)), "ITA-C", IF(AND(B582="BT", E582 &gt; 0.03 * SUMIF(B:B, "BT", E:E)), "ITA-D", ""))</f>
        <v/>
      </c>
    </row>
    <row r="583" spans="1:10" x14ac:dyDescent="0.3">
      <c r="A583" s="18">
        <v>582</v>
      </c>
      <c r="B583" s="19" t="s">
        <v>41</v>
      </c>
      <c r="C583" s="20">
        <v>45804</v>
      </c>
      <c r="D583" s="20" t="s">
        <v>193</v>
      </c>
      <c r="E583" s="21"/>
      <c r="F583" s="21">
        <v>104369</v>
      </c>
      <c r="G583" s="21">
        <v>285122.68</v>
      </c>
      <c r="H583" s="23" t="s">
        <v>5</v>
      </c>
      <c r="I583" s="22" t="s">
        <v>5</v>
      </c>
      <c r="J583" s="17" t="str">
        <f>IF(AND(B583="BT", F583 &gt; 0.03 * SUMIF(B:B, "BT", F:F)), "ITA-C", IF(AND(B583="BT", E583 &gt; 0.03 * SUMIF(B:B, "BT", E:E)), "ITA-D", ""))</f>
        <v/>
      </c>
    </row>
    <row r="584" spans="1:10" x14ac:dyDescent="0.3">
      <c r="A584" s="153">
        <v>583</v>
      </c>
      <c r="B584" s="35" t="s">
        <v>48</v>
      </c>
      <c r="C584" s="36">
        <v>45805</v>
      </c>
      <c r="D584" s="36" t="s">
        <v>271</v>
      </c>
      <c r="E584" s="37"/>
      <c r="F584" s="37">
        <v>11000</v>
      </c>
      <c r="G584" s="37">
        <v>296122.68</v>
      </c>
      <c r="H584" s="39" t="s">
        <v>21</v>
      </c>
      <c r="I584" s="38" t="s">
        <v>5</v>
      </c>
      <c r="J584" s="17" t="str">
        <f>IF(AND(B584="BT", F584 &gt; 0.03 * SUMIF(B:B, "BT", F:F)), "ITA-C", IF(AND(B584="BT", E584 &gt; 0.03 * SUMIF(B:B, "BT", E:E)), "ITA-D", ""))</f>
        <v/>
      </c>
    </row>
    <row r="585" spans="1:10" x14ac:dyDescent="0.3">
      <c r="A585" s="18">
        <v>584</v>
      </c>
      <c r="B585" s="19" t="s">
        <v>41</v>
      </c>
      <c r="C585" s="20">
        <v>45805</v>
      </c>
      <c r="D585" s="20" t="s">
        <v>239</v>
      </c>
      <c r="E585" s="21"/>
      <c r="F585" s="21">
        <v>16000</v>
      </c>
      <c r="G585" s="21">
        <v>312122.68</v>
      </c>
      <c r="H585" s="23" t="s">
        <v>19</v>
      </c>
      <c r="I585" s="22" t="s">
        <v>19</v>
      </c>
      <c r="J585" s="17" t="str">
        <f>IF(AND(B585="BT", F585 &gt; 0.03 * SUMIF(B:B, "BT", F:F)), "ITA-C", IF(AND(B585="BT", E585 &gt; 0.03 * SUMIF(B:B, "BT", E:E)), "ITA-D", ""))</f>
        <v/>
      </c>
    </row>
    <row r="586" spans="1:10" x14ac:dyDescent="0.3">
      <c r="A586" s="18">
        <v>585</v>
      </c>
      <c r="B586" s="19" t="s">
        <v>41</v>
      </c>
      <c r="C586" s="20">
        <v>45805</v>
      </c>
      <c r="D586" s="20" t="s">
        <v>40</v>
      </c>
      <c r="E586" s="21">
        <v>18000</v>
      </c>
      <c r="F586" s="21"/>
      <c r="G586" s="21">
        <v>294122.68</v>
      </c>
      <c r="H586" s="23" t="s">
        <v>11</v>
      </c>
      <c r="I586" s="22" t="s">
        <v>11</v>
      </c>
      <c r="J586" s="17" t="str">
        <f>IF(AND(B586="BT", F586 &gt; 0.03 * SUMIF(B:B, "BT", F:F)), "ITA-C", IF(AND(B586="BT", E586 &gt; 0.03 * SUMIF(B:B, "BT", E:E)), "ITA-D", ""))</f>
        <v/>
      </c>
    </row>
    <row r="587" spans="1:10" x14ac:dyDescent="0.3">
      <c r="A587" s="18">
        <v>586</v>
      </c>
      <c r="B587" s="19" t="s">
        <v>41</v>
      </c>
      <c r="C587" s="20">
        <v>45805</v>
      </c>
      <c r="D587" s="20" t="s">
        <v>234</v>
      </c>
      <c r="E587" s="21">
        <v>50000</v>
      </c>
      <c r="F587" s="21"/>
      <c r="G587" s="21">
        <v>244122.68</v>
      </c>
      <c r="H587" s="23" t="s">
        <v>6</v>
      </c>
      <c r="I587" s="22" t="s">
        <v>6</v>
      </c>
      <c r="J587" s="17" t="str">
        <f>IF(AND(B587="BT", F587 &gt; 0.03 * SUMIF(B:B, "BT", F:F)), "ITA-C", IF(AND(B587="BT", E587 &gt; 0.03 * SUMIF(B:B, "BT", E:E)), "ITA-D", ""))</f>
        <v/>
      </c>
    </row>
    <row r="588" spans="1:10" x14ac:dyDescent="0.3">
      <c r="A588" s="18">
        <v>587</v>
      </c>
      <c r="B588" s="19" t="s">
        <v>41</v>
      </c>
      <c r="C588" s="20">
        <v>45805</v>
      </c>
      <c r="D588" s="20" t="s">
        <v>221</v>
      </c>
      <c r="E588" s="21"/>
      <c r="F588" s="21">
        <v>136698</v>
      </c>
      <c r="G588" s="21">
        <v>380820.68</v>
      </c>
      <c r="H588" s="23" t="s">
        <v>5</v>
      </c>
      <c r="I588" s="22" t="s">
        <v>5</v>
      </c>
      <c r="J588" s="17" t="str">
        <f>IF(AND(B588="BT", F588 &gt; 0.03 * SUMIF(B:B, "BT", F:F)), "ITA-C", IF(AND(B588="BT", E588 &gt; 0.03 * SUMIF(B:B, "BT", E:E)), "ITA-D", ""))</f>
        <v/>
      </c>
    </row>
    <row r="589" spans="1:10" x14ac:dyDescent="0.3">
      <c r="A589" s="18">
        <v>588</v>
      </c>
      <c r="B589" s="19" t="s">
        <v>41</v>
      </c>
      <c r="C589" s="20">
        <v>45806</v>
      </c>
      <c r="D589" s="20" t="s">
        <v>193</v>
      </c>
      <c r="E589" s="21"/>
      <c r="F589" s="21">
        <v>157121</v>
      </c>
      <c r="G589" s="21">
        <v>537941.68000000005</v>
      </c>
      <c r="H589" s="23" t="s">
        <v>5</v>
      </c>
      <c r="I589" s="22" t="s">
        <v>5</v>
      </c>
      <c r="J589" s="17" t="str">
        <f>IF(AND(B589="BT", F589 &gt; 0.03 * SUMIF(B:B, "BT", F:F)), "ITA-C", IF(AND(B589="BT", E589 &gt; 0.03 * SUMIF(B:B, "BT", E:E)), "ITA-D", ""))</f>
        <v/>
      </c>
    </row>
    <row r="590" spans="1:10" x14ac:dyDescent="0.3">
      <c r="A590" s="18">
        <v>589</v>
      </c>
      <c r="B590" s="24" t="s">
        <v>39</v>
      </c>
      <c r="C590" s="25">
        <v>45806</v>
      </c>
      <c r="D590" s="6" t="s">
        <v>258</v>
      </c>
      <c r="E590" s="26">
        <v>5.9</v>
      </c>
      <c r="F590" s="26"/>
      <c r="G590" s="26">
        <v>537935.78</v>
      </c>
      <c r="H590" s="28" t="s">
        <v>24</v>
      </c>
      <c r="I590" s="27" t="s">
        <v>24</v>
      </c>
      <c r="J590" s="17" t="str">
        <f>IF(AND(B590="BT", F590 &gt; 0.03 * SUMIF(B:B, "BT", F:F)), "ITA-C", IF(AND(B590="BT", E590 &gt; 0.03 * SUMIF(B:B, "BT", E:E)), "ITA-D", ""))</f>
        <v/>
      </c>
    </row>
    <row r="591" spans="1:10" x14ac:dyDescent="0.3">
      <c r="A591" s="18">
        <v>590</v>
      </c>
      <c r="B591" s="19" t="s">
        <v>41</v>
      </c>
      <c r="C591" s="20">
        <v>45806</v>
      </c>
      <c r="D591" s="20" t="s">
        <v>226</v>
      </c>
      <c r="E591" s="21">
        <v>309250</v>
      </c>
      <c r="F591" s="21"/>
      <c r="G591" s="21">
        <v>228685.78</v>
      </c>
      <c r="H591" s="23" t="s">
        <v>9</v>
      </c>
      <c r="I591" s="22" t="s">
        <v>9</v>
      </c>
      <c r="J591" s="17" t="str">
        <f>IF(AND(B591="BT", F591 &gt; 0.03 * SUMIF(B:B, "BT", F:F)), "ITA-C", IF(AND(B591="BT", E591 &gt; 0.03 * SUMIF(B:B, "BT", E:E)), "ITA-D", ""))</f>
        <v/>
      </c>
    </row>
    <row r="592" spans="1:10" x14ac:dyDescent="0.3">
      <c r="A592" s="18">
        <v>591</v>
      </c>
      <c r="B592" s="24" t="s">
        <v>39</v>
      </c>
      <c r="C592" s="25">
        <v>45806</v>
      </c>
      <c r="D592" s="6" t="s">
        <v>258</v>
      </c>
      <c r="E592" s="26">
        <v>5.9</v>
      </c>
      <c r="F592" s="26"/>
      <c r="G592" s="26">
        <v>228679.88</v>
      </c>
      <c r="H592" s="28" t="s">
        <v>24</v>
      </c>
      <c r="I592" s="27" t="s">
        <v>24</v>
      </c>
      <c r="J592" s="17" t="str">
        <f>IF(AND(B592="BT", F592 &gt; 0.03 * SUMIF(B:B, "BT", F:F)), "ITA-C", IF(AND(B592="BT", E592 &gt; 0.03 * SUMIF(B:B, "BT", E:E)), "ITA-D", ""))</f>
        <v/>
      </c>
    </row>
    <row r="593" spans="1:10" x14ac:dyDescent="0.3">
      <c r="A593" s="153">
        <v>592</v>
      </c>
      <c r="B593" s="35" t="s">
        <v>48</v>
      </c>
      <c r="C593" s="36">
        <v>45806</v>
      </c>
      <c r="D593" s="36" t="s">
        <v>271</v>
      </c>
      <c r="E593" s="37">
        <v>12000</v>
      </c>
      <c r="F593" s="37"/>
      <c r="G593" s="37">
        <v>216679.88</v>
      </c>
      <c r="H593" s="39" t="s">
        <v>25</v>
      </c>
      <c r="I593" s="38" t="s">
        <v>25</v>
      </c>
      <c r="J593" s="17" t="str">
        <f>IF(AND(B593="BT", F593 &gt; 0.03 * SUMIF(B:B, "BT", F:F)), "ITA-C", IF(AND(B593="BT", E593 &gt; 0.03 * SUMIF(B:B, "BT", E:E)), "ITA-D", ""))</f>
        <v/>
      </c>
    </row>
    <row r="594" spans="1:10" x14ac:dyDescent="0.3">
      <c r="A594" s="18">
        <v>593</v>
      </c>
      <c r="B594" s="19" t="s">
        <v>41</v>
      </c>
      <c r="C594" s="20">
        <v>45806</v>
      </c>
      <c r="D594" s="20" t="s">
        <v>52</v>
      </c>
      <c r="E594" s="21"/>
      <c r="F594" s="21">
        <v>1</v>
      </c>
      <c r="G594" s="21">
        <v>216680.88</v>
      </c>
      <c r="H594" s="23" t="s">
        <v>10</v>
      </c>
      <c r="I594" s="22" t="s">
        <v>10</v>
      </c>
      <c r="J594" s="177" t="str">
        <f>IF(AND(B594="BT", F594 &gt; 0.03 * SUMIF(B:B, "BT", F:F)), "ITA-C", IF(AND(B594="BT", E594 &gt; 0.03 * SUMIF(B:B, "BT", E:E)), "ITA-D", ""))</f>
        <v/>
      </c>
    </row>
    <row r="595" spans="1:10" x14ac:dyDescent="0.3">
      <c r="A595" s="18">
        <v>594</v>
      </c>
      <c r="B595" s="19" t="s">
        <v>41</v>
      </c>
      <c r="C595" s="20">
        <v>45806</v>
      </c>
      <c r="D595" s="20" t="s">
        <v>193</v>
      </c>
      <c r="E595" s="21"/>
      <c r="F595" s="21">
        <v>350000</v>
      </c>
      <c r="G595" s="21">
        <v>566680.88</v>
      </c>
      <c r="H595" s="23" t="s">
        <v>7</v>
      </c>
      <c r="I595" s="22" t="s">
        <v>7</v>
      </c>
      <c r="J595" s="17" t="str">
        <f>IF(AND(B595="BT", F595 &gt; 0.03 * SUMIF(B:B, "BT", F:F)), "ITA-C", IF(AND(B595="BT", E595 &gt; 0.03 * SUMIF(B:B, "BT", E:E)), "ITA-D", ""))</f>
        <v/>
      </c>
    </row>
    <row r="596" spans="1:10" x14ac:dyDescent="0.3">
      <c r="A596" s="18">
        <v>595</v>
      </c>
      <c r="B596" s="19" t="s">
        <v>41</v>
      </c>
      <c r="C596" s="20">
        <v>45807</v>
      </c>
      <c r="D596" s="20" t="s">
        <v>225</v>
      </c>
      <c r="E596" s="21">
        <v>25000</v>
      </c>
      <c r="F596" s="21"/>
      <c r="G596" s="21">
        <v>541680.88</v>
      </c>
      <c r="H596" s="23" t="s">
        <v>13</v>
      </c>
      <c r="I596" s="22" t="s">
        <v>13</v>
      </c>
      <c r="J596" s="17" t="str">
        <f>IF(AND(B596="BT", F596 &gt; 0.03 * SUMIF(B:B, "BT", F:F)), "ITA-C", IF(AND(B596="BT", E596 &gt; 0.03 * SUMIF(B:B, "BT", E:E)), "ITA-D", ""))</f>
        <v/>
      </c>
    </row>
    <row r="597" spans="1:10" x14ac:dyDescent="0.3">
      <c r="A597" s="153">
        <v>596</v>
      </c>
      <c r="B597" s="35" t="s">
        <v>48</v>
      </c>
      <c r="C597" s="36">
        <v>45807</v>
      </c>
      <c r="D597" s="36" t="s">
        <v>270</v>
      </c>
      <c r="E597" s="37">
        <v>200000</v>
      </c>
      <c r="F597" s="37"/>
      <c r="G597" s="37">
        <v>341680.88</v>
      </c>
      <c r="H597" s="39" t="s">
        <v>25</v>
      </c>
      <c r="I597" s="38" t="s">
        <v>25</v>
      </c>
      <c r="J597" s="17" t="str">
        <f>IF(AND(B597="BT", F597 &gt; 0.03 * SUMIF(B:B, "BT", F:F)), "ITA-C", IF(AND(B597="BT", E597 &gt; 0.03 * SUMIF(B:B, "BT", E:E)), "ITA-D", ""))</f>
        <v/>
      </c>
    </row>
    <row r="598" spans="1:10" x14ac:dyDescent="0.3">
      <c r="A598" s="153">
        <v>597</v>
      </c>
      <c r="B598" s="154" t="s">
        <v>48</v>
      </c>
      <c r="C598" s="36">
        <v>45807</v>
      </c>
      <c r="D598" s="36" t="s">
        <v>275</v>
      </c>
      <c r="E598" s="37">
        <v>65331</v>
      </c>
      <c r="F598" s="37"/>
      <c r="G598" s="37">
        <v>276349.88</v>
      </c>
      <c r="H598" s="39" t="s">
        <v>13</v>
      </c>
      <c r="I598" s="38" t="s">
        <v>13</v>
      </c>
      <c r="J598" s="17" t="str">
        <f>IF(AND(B598="BT", F598 &gt; 0.03 * SUMIF(B:B, "BT", F:F)), "ITA-C", IF(AND(B598="BT", E598 &gt; 0.03 * SUMIF(B:B, "BT", E:E)), "ITA-D", ""))</f>
        <v/>
      </c>
    </row>
    <row r="599" spans="1:10" x14ac:dyDescent="0.3">
      <c r="A599" s="18">
        <v>598</v>
      </c>
      <c r="B599" s="19" t="s">
        <v>41</v>
      </c>
      <c r="C599" s="20">
        <v>45807</v>
      </c>
      <c r="D599" s="20" t="s">
        <v>227</v>
      </c>
      <c r="E599" s="21"/>
      <c r="F599" s="21">
        <v>226800</v>
      </c>
      <c r="G599" s="21">
        <v>503149.88</v>
      </c>
      <c r="H599" s="23" t="s">
        <v>5</v>
      </c>
      <c r="I599" s="22" t="s">
        <v>5</v>
      </c>
      <c r="J599" s="17" t="str">
        <f>IF(AND(B599="BT", F599 &gt; 0.03 * SUMIF(B:B, "BT", F:F)), "ITA-C", IF(AND(B599="BT", E599 &gt; 0.03 * SUMIF(B:B, "BT", E:E)), "ITA-D", ""))</f>
        <v/>
      </c>
    </row>
    <row r="600" spans="1:10" x14ac:dyDescent="0.3">
      <c r="A600" s="133">
        <v>599</v>
      </c>
      <c r="B600" s="40" t="s">
        <v>44</v>
      </c>
      <c r="C600" s="41">
        <v>45808</v>
      </c>
      <c r="D600" s="41" t="s">
        <v>252</v>
      </c>
      <c r="E600" s="42">
        <v>100000</v>
      </c>
      <c r="F600" s="42"/>
      <c r="G600" s="42">
        <v>403149.88</v>
      </c>
      <c r="H600" s="44" t="s">
        <v>26</v>
      </c>
      <c r="I600" s="43" t="s">
        <v>26</v>
      </c>
      <c r="J600" s="17" t="str">
        <f>IF(AND(B600="BT", F600 &gt; 0.03 * SUMIF(B:B, "BT", F:F)), "ITA-C", IF(AND(B600="BT", E600 &gt; 0.03 * SUMIF(B:B, "BT", E:E)), "ITA-D", ""))</f>
        <v/>
      </c>
    </row>
    <row r="601" spans="1:10" x14ac:dyDescent="0.3">
      <c r="A601" s="133">
        <v>600</v>
      </c>
      <c r="B601" s="40" t="s">
        <v>44</v>
      </c>
      <c r="C601" s="41">
        <v>45808</v>
      </c>
      <c r="D601" s="41" t="s">
        <v>257</v>
      </c>
      <c r="E601" s="42">
        <v>150000</v>
      </c>
      <c r="F601" s="42"/>
      <c r="G601" s="42">
        <v>253149.88</v>
      </c>
      <c r="H601" s="44" t="s">
        <v>26</v>
      </c>
      <c r="I601" s="43" t="s">
        <v>26</v>
      </c>
      <c r="J601" s="17" t="str">
        <f>IF(AND(B601="BT", F601 &gt; 0.03 * SUMIF(B:B, "BT", F:F)), "ITA-C", IF(AND(B601="BT", E601 &gt; 0.03 * SUMIF(B:B, "BT", E:E)), "ITA-D", ""))</f>
        <v/>
      </c>
    </row>
    <row r="602" spans="1:10" x14ac:dyDescent="0.3">
      <c r="A602" s="18">
        <v>601</v>
      </c>
      <c r="B602" s="19" t="s">
        <v>41</v>
      </c>
      <c r="C602" s="20">
        <v>45808</v>
      </c>
      <c r="D602" s="20" t="s">
        <v>222</v>
      </c>
      <c r="E602" s="21">
        <v>88200</v>
      </c>
      <c r="F602" s="21"/>
      <c r="G602" s="21">
        <v>164949.88</v>
      </c>
      <c r="H602" s="23" t="s">
        <v>26</v>
      </c>
      <c r="I602" s="22" t="s">
        <v>26</v>
      </c>
      <c r="J602" s="17" t="str">
        <f>IF(AND(B602="BT", F602 &gt; 0.03 * SUMIF(B:B, "BT", F:F)), "ITA-C", IF(AND(B602="BT", E602 &gt; 0.03 * SUMIF(B:B, "BT", E:E)), "ITA-D", ""))</f>
        <v/>
      </c>
    </row>
    <row r="603" spans="1:10" x14ac:dyDescent="0.3">
      <c r="A603" s="18">
        <v>602</v>
      </c>
      <c r="B603" s="19" t="s">
        <v>41</v>
      </c>
      <c r="C603" s="20">
        <v>45808</v>
      </c>
      <c r="D603" s="20" t="s">
        <v>229</v>
      </c>
      <c r="E603" s="21"/>
      <c r="F603" s="21">
        <v>7140</v>
      </c>
      <c r="G603" s="21">
        <v>172089.88</v>
      </c>
      <c r="H603" s="23" t="s">
        <v>5</v>
      </c>
      <c r="I603" s="22" t="s">
        <v>5</v>
      </c>
      <c r="J603" s="17" t="str">
        <f>IF(AND(B603="BT", F603 &gt; 0.03 * SUMIF(B:B, "BT", F:F)), "ITA-C", IF(AND(B603="BT", E603 &gt; 0.03 * SUMIF(B:B, "BT", E:E)), "ITA-D", ""))</f>
        <v/>
      </c>
    </row>
    <row r="604" spans="1:10" x14ac:dyDescent="0.3">
      <c r="A604" s="153">
        <v>603</v>
      </c>
      <c r="B604" s="35" t="s">
        <v>48</v>
      </c>
      <c r="C604" s="36">
        <v>45808</v>
      </c>
      <c r="D604" s="36" t="s">
        <v>276</v>
      </c>
      <c r="E604" s="37">
        <v>120000</v>
      </c>
      <c r="F604" s="37"/>
      <c r="G604" s="37">
        <v>52089.88</v>
      </c>
      <c r="H604" s="39" t="s">
        <v>6</v>
      </c>
      <c r="I604" s="38" t="s">
        <v>6</v>
      </c>
      <c r="J604" s="17" t="str">
        <f>IF(AND(B604="BT", F604 &gt; 0.03 * SUMIF(B:B, "BT", F:F)), "ITA-C", IF(AND(B604="BT", E604 &gt; 0.03 * SUMIF(B:B, "BT", E:E)), "ITA-D", ""))</f>
        <v/>
      </c>
    </row>
    <row r="605" spans="1:10" x14ac:dyDescent="0.3">
      <c r="A605" s="18">
        <v>604</v>
      </c>
      <c r="B605" s="19" t="s">
        <v>41</v>
      </c>
      <c r="C605" s="20">
        <v>45808</v>
      </c>
      <c r="D605" s="20" t="s">
        <v>227</v>
      </c>
      <c r="E605" s="21"/>
      <c r="F605" s="21">
        <v>362250</v>
      </c>
      <c r="G605" s="21">
        <v>414339.88</v>
      </c>
      <c r="H605" s="23" t="s">
        <v>5</v>
      </c>
      <c r="I605" s="22" t="s">
        <v>5</v>
      </c>
      <c r="J605" s="17" t="str">
        <f>IF(AND(B605="BT", F605 &gt; 0.03 * SUMIF(B:B, "BT", F:F)), "ITA-C", IF(AND(B605="BT", E605 &gt; 0.03 * SUMIF(B:B, "BT", E:E)), "ITA-D", ""))</f>
        <v/>
      </c>
    </row>
    <row r="606" spans="1:10" x14ac:dyDescent="0.3">
      <c r="A606" s="18">
        <v>605</v>
      </c>
      <c r="B606" s="24" t="s">
        <v>39</v>
      </c>
      <c r="C606" s="25">
        <v>45808</v>
      </c>
      <c r="D606" s="6" t="s">
        <v>264</v>
      </c>
      <c r="E606" s="26">
        <v>90000</v>
      </c>
      <c r="F606" s="26"/>
      <c r="G606" s="26">
        <v>324339.88</v>
      </c>
      <c r="H606" s="28" t="s">
        <v>14</v>
      </c>
      <c r="I606" s="27" t="s">
        <v>14</v>
      </c>
      <c r="J606" s="17" t="str">
        <f>IF(AND(B606="BT", F606 &gt; 0.03 * SUMIF(B:B, "BT", F:F)), "ITA-C", IF(AND(B606="BT", E606 &gt; 0.03 * SUMIF(B:B, "BT", E:E)), "ITA-D", ""))</f>
        <v/>
      </c>
    </row>
    <row r="607" spans="1:10" x14ac:dyDescent="0.3">
      <c r="A607" s="153">
        <v>606</v>
      </c>
      <c r="B607" s="35" t="s">
        <v>48</v>
      </c>
      <c r="C607" s="36">
        <v>45808</v>
      </c>
      <c r="D607" s="36" t="s">
        <v>270</v>
      </c>
      <c r="E607" s="37">
        <v>200000</v>
      </c>
      <c r="F607" s="37"/>
      <c r="G607" s="37">
        <v>124339.88</v>
      </c>
      <c r="H607" s="39" t="s">
        <v>9</v>
      </c>
      <c r="I607" s="38" t="s">
        <v>9</v>
      </c>
      <c r="J607" s="17" t="str">
        <f>IF(AND(B607="BT", F607 &gt; 0.03 * SUMIF(B:B, "BT", F:F)), "ITA-C", IF(AND(B607="BT", E607 &gt; 0.03 * SUMIF(B:B, "BT", E:E)), "ITA-D", ""))</f>
        <v/>
      </c>
    </row>
    <row r="608" spans="1:10" x14ac:dyDescent="0.3">
      <c r="A608" s="153">
        <v>607</v>
      </c>
      <c r="B608" s="35" t="s">
        <v>48</v>
      </c>
      <c r="C608" s="36">
        <v>45808</v>
      </c>
      <c r="D608" s="36" t="s">
        <v>271</v>
      </c>
      <c r="E608" s="37">
        <v>10000</v>
      </c>
      <c r="F608" s="37"/>
      <c r="G608" s="37">
        <v>114339.88</v>
      </c>
      <c r="H608" s="39" t="s">
        <v>25</v>
      </c>
      <c r="I608" s="38" t="s">
        <v>25</v>
      </c>
      <c r="J608" s="17" t="str">
        <f>IF(AND(B608="BT", F608 &gt; 0.03 * SUMIF(B:B, "BT", F:F)), "ITA-C", IF(AND(B608="BT", E608 &gt; 0.03 * SUMIF(B:B, "BT", E:E)), "ITA-D", ""))</f>
        <v/>
      </c>
    </row>
    <row r="609" spans="1:10" x14ac:dyDescent="0.3">
      <c r="A609" s="153">
        <v>608</v>
      </c>
      <c r="B609" s="35" t="s">
        <v>48</v>
      </c>
      <c r="C609" s="36">
        <v>45809</v>
      </c>
      <c r="D609" s="36" t="s">
        <v>271</v>
      </c>
      <c r="E609" s="37">
        <v>5000</v>
      </c>
      <c r="F609" s="37"/>
      <c r="G609" s="37">
        <v>109339.88</v>
      </c>
      <c r="H609" s="39" t="s">
        <v>25</v>
      </c>
      <c r="I609" s="38" t="s">
        <v>25</v>
      </c>
      <c r="J609" s="17" t="str">
        <f>IF(AND(B609="BT", F609 &gt; 0.03 * SUMIF(B:B, "BT", F:F)), "ITA-C", IF(AND(B609="BT", E609 &gt; 0.03 * SUMIF(B:B, "BT", E:E)), "ITA-D", ""))</f>
        <v/>
      </c>
    </row>
    <row r="610" spans="1:10" x14ac:dyDescent="0.3">
      <c r="A610" s="18">
        <v>609</v>
      </c>
      <c r="B610" s="19" t="s">
        <v>41</v>
      </c>
      <c r="C610" s="20">
        <v>45810</v>
      </c>
      <c r="D610" s="20" t="s">
        <v>239</v>
      </c>
      <c r="E610" s="21"/>
      <c r="F610" s="21">
        <v>17250</v>
      </c>
      <c r="G610" s="21">
        <v>126589.88</v>
      </c>
      <c r="H610" s="23" t="s">
        <v>19</v>
      </c>
      <c r="I610" s="22" t="s">
        <v>19</v>
      </c>
      <c r="J610" s="17" t="str">
        <f>IF(AND(B610="BT", F610 &gt; 0.03 * SUMIF(B:B, "BT", F:F)), "ITA-C", IF(AND(B610="BT", E610 &gt; 0.03 * SUMIF(B:B, "BT", E:E)), "ITA-D", ""))</f>
        <v/>
      </c>
    </row>
    <row r="611" spans="1:10" x14ac:dyDescent="0.3">
      <c r="A611" s="18">
        <v>610</v>
      </c>
      <c r="B611" s="19" t="s">
        <v>41</v>
      </c>
      <c r="C611" s="20">
        <v>45811</v>
      </c>
      <c r="D611" s="20" t="s">
        <v>222</v>
      </c>
      <c r="E611" s="21">
        <v>55440</v>
      </c>
      <c r="F611" s="21"/>
      <c r="G611" s="21">
        <v>71149.88</v>
      </c>
      <c r="H611" s="23" t="s">
        <v>26</v>
      </c>
      <c r="I611" s="22" t="s">
        <v>26</v>
      </c>
      <c r="J611" s="17" t="str">
        <f>IF(AND(B611="BT", F611 &gt; 0.03 * SUMIF(B:B, "BT", F:F)), "ITA-C", IF(AND(B611="BT", E611 &gt; 0.03 * SUMIF(B:B, "BT", E:E)), "ITA-D", ""))</f>
        <v/>
      </c>
    </row>
    <row r="612" spans="1:10" x14ac:dyDescent="0.3">
      <c r="A612" s="18">
        <v>611</v>
      </c>
      <c r="B612" s="19" t="s">
        <v>41</v>
      </c>
      <c r="C612" s="20">
        <v>45811</v>
      </c>
      <c r="D612" s="20" t="s">
        <v>193</v>
      </c>
      <c r="E612" s="21"/>
      <c r="F612" s="21">
        <v>500000</v>
      </c>
      <c r="G612" s="21">
        <v>571149.88</v>
      </c>
      <c r="H612" s="23" t="s">
        <v>7</v>
      </c>
      <c r="I612" s="22" t="s">
        <v>7</v>
      </c>
      <c r="J612" s="17" t="str">
        <f>IF(AND(B612="BT", F612 &gt; 0.03 * SUMIF(B:B, "BT", F:F)), "ITA-C", IF(AND(B612="BT", E612 &gt; 0.03 * SUMIF(B:B, "BT", E:E)), "ITA-D", ""))</f>
        <v/>
      </c>
    </row>
    <row r="613" spans="1:10" x14ac:dyDescent="0.3">
      <c r="A613" s="18">
        <v>612</v>
      </c>
      <c r="B613" s="19" t="s">
        <v>41</v>
      </c>
      <c r="C613" s="20">
        <v>45811</v>
      </c>
      <c r="D613" s="20" t="s">
        <v>216</v>
      </c>
      <c r="E613" s="21">
        <v>50000</v>
      </c>
      <c r="F613" s="21"/>
      <c r="G613" s="21">
        <v>521149.88</v>
      </c>
      <c r="H613" s="23" t="s">
        <v>13</v>
      </c>
      <c r="I613" s="22" t="s">
        <v>13</v>
      </c>
      <c r="J613" s="17" t="str">
        <f>IF(AND(B613="BT", F613 &gt; 0.03 * SUMIF(B:B, "BT", F:F)), "ITA-C", IF(AND(B613="BT", E613 &gt; 0.03 * SUMIF(B:B, "BT", E:E)), "ITA-D", ""))</f>
        <v/>
      </c>
    </row>
    <row r="614" spans="1:10" x14ac:dyDescent="0.3">
      <c r="A614" s="153">
        <v>613</v>
      </c>
      <c r="B614" s="35" t="s">
        <v>48</v>
      </c>
      <c r="C614" s="36">
        <v>45811</v>
      </c>
      <c r="D614" s="36" t="s">
        <v>270</v>
      </c>
      <c r="E614" s="37">
        <v>400000</v>
      </c>
      <c r="F614" s="37"/>
      <c r="G614" s="37">
        <v>121149.88</v>
      </c>
      <c r="H614" s="39" t="s">
        <v>25</v>
      </c>
      <c r="I614" s="38" t="s">
        <v>25</v>
      </c>
      <c r="J614" s="17" t="str">
        <f>IF(AND(B614="BT", F614 &gt; 0.03 * SUMIF(B:B, "BT", F:F)), "ITA-C", IF(AND(B614="BT", E614 &gt; 0.03 * SUMIF(B:B, "BT", E:E)), "ITA-D", ""))</f>
        <v/>
      </c>
    </row>
    <row r="615" spans="1:10" x14ac:dyDescent="0.3">
      <c r="A615" s="133">
        <v>614</v>
      </c>
      <c r="B615" s="40" t="s">
        <v>47</v>
      </c>
      <c r="C615" s="41">
        <v>45811</v>
      </c>
      <c r="D615" s="41" t="s">
        <v>246</v>
      </c>
      <c r="E615" s="42">
        <v>53817</v>
      </c>
      <c r="F615" s="42"/>
      <c r="G615" s="42">
        <v>67332.88</v>
      </c>
      <c r="H615" s="44" t="s">
        <v>18</v>
      </c>
      <c r="I615" s="43" t="s">
        <v>18</v>
      </c>
      <c r="J615" s="17" t="str">
        <f>IF(AND(B615="BT", F615 &gt; 0.03 * SUMIF(B:B, "BT", F:F)), "ITA-C", IF(AND(B615="BT", E615 &gt; 0.03 * SUMIF(B:B, "BT", E:E)), "ITA-D", ""))</f>
        <v/>
      </c>
    </row>
    <row r="616" spans="1:10" x14ac:dyDescent="0.3">
      <c r="A616" s="153">
        <v>615</v>
      </c>
      <c r="B616" s="35" t="s">
        <v>48</v>
      </c>
      <c r="C616" s="36">
        <v>45811</v>
      </c>
      <c r="D616" s="36" t="s">
        <v>276</v>
      </c>
      <c r="E616" s="37">
        <v>7000</v>
      </c>
      <c r="F616" s="37"/>
      <c r="G616" s="37">
        <v>60332.88</v>
      </c>
      <c r="H616" s="39" t="s">
        <v>6</v>
      </c>
      <c r="I616" s="38" t="s">
        <v>6</v>
      </c>
      <c r="J616" s="17" t="str">
        <f>IF(AND(B616="BT", F616 &gt; 0.03 * SUMIF(B:B, "BT", F:F)), "ITA-C", IF(AND(B616="BT", E616 &gt; 0.03 * SUMIF(B:B, "BT", E:E)), "ITA-D", ""))</f>
        <v/>
      </c>
    </row>
    <row r="617" spans="1:10" x14ac:dyDescent="0.3">
      <c r="A617" s="18">
        <v>616</v>
      </c>
      <c r="B617" s="19" t="s">
        <v>41</v>
      </c>
      <c r="C617" s="20">
        <v>45811</v>
      </c>
      <c r="D617" s="20" t="s">
        <v>227</v>
      </c>
      <c r="E617" s="21"/>
      <c r="F617" s="21">
        <v>360007</v>
      </c>
      <c r="G617" s="21">
        <v>420339.88</v>
      </c>
      <c r="H617" s="23" t="s">
        <v>5</v>
      </c>
      <c r="I617" s="22" t="s">
        <v>5</v>
      </c>
      <c r="J617" s="17" t="str">
        <f>IF(AND(B617="BT", F617 &gt; 0.03 * SUMIF(B:B, "BT", F:F)), "ITA-C", IF(AND(B617="BT", E617 &gt; 0.03 * SUMIF(B:B, "BT", E:E)), "ITA-D", ""))</f>
        <v/>
      </c>
    </row>
    <row r="618" spans="1:10" x14ac:dyDescent="0.3">
      <c r="A618" s="18">
        <v>617</v>
      </c>
      <c r="B618" s="19" t="s">
        <v>41</v>
      </c>
      <c r="C618" s="20">
        <v>45811</v>
      </c>
      <c r="D618" s="20" t="s">
        <v>226</v>
      </c>
      <c r="E618" s="21">
        <v>297990</v>
      </c>
      <c r="F618" s="21"/>
      <c r="G618" s="21">
        <v>122349.88</v>
      </c>
      <c r="H618" s="23" t="s">
        <v>9</v>
      </c>
      <c r="I618" s="22" t="s">
        <v>9</v>
      </c>
      <c r="J618" s="17" t="str">
        <f>IF(AND(B618="BT", F618 &gt; 0.03 * SUMIF(B:B, "BT", F:F)), "ITA-C", IF(AND(B618="BT", E618 &gt; 0.03 * SUMIF(B:B, "BT", E:E)), "ITA-D", ""))</f>
        <v/>
      </c>
    </row>
    <row r="619" spans="1:10" x14ac:dyDescent="0.3">
      <c r="A619" s="18">
        <v>618</v>
      </c>
      <c r="B619" s="19" t="s">
        <v>41</v>
      </c>
      <c r="C619" s="20">
        <v>45811</v>
      </c>
      <c r="D619" s="20" t="s">
        <v>52</v>
      </c>
      <c r="E619" s="21">
        <v>1497.78</v>
      </c>
      <c r="F619" s="21"/>
      <c r="G619" s="21">
        <v>120852.1</v>
      </c>
      <c r="H619" s="23" t="s">
        <v>6</v>
      </c>
      <c r="I619" s="22" t="s">
        <v>6</v>
      </c>
      <c r="J619" s="177" t="str">
        <f>IF(AND(B619="BT", F619 &gt; 0.03 * SUMIF(B:B, "BT", F:F)), "ITA-C", IF(AND(B619="BT", E619 &gt; 0.03 * SUMIF(B:B, "BT", E:E)), "ITA-D", ""))</f>
        <v/>
      </c>
    </row>
    <row r="620" spans="1:10" x14ac:dyDescent="0.3">
      <c r="A620" s="153">
        <v>619</v>
      </c>
      <c r="B620" s="35" t="s">
        <v>48</v>
      </c>
      <c r="C620" s="36">
        <v>45811</v>
      </c>
      <c r="D620" s="36" t="s">
        <v>271</v>
      </c>
      <c r="E620" s="37">
        <v>5000</v>
      </c>
      <c r="F620" s="37"/>
      <c r="G620" s="37">
        <v>115852.1</v>
      </c>
      <c r="H620" s="39" t="s">
        <v>25</v>
      </c>
      <c r="I620" s="38" t="s">
        <v>25</v>
      </c>
      <c r="J620" s="17" t="str">
        <f>IF(AND(B620="BT", F620 &gt; 0.03 * SUMIF(B:B, "BT", F:F)), "ITA-C", IF(AND(B620="BT", E620 &gt; 0.03 * SUMIF(B:B, "BT", E:E)), "ITA-D", ""))</f>
        <v/>
      </c>
    </row>
    <row r="621" spans="1:10" x14ac:dyDescent="0.3">
      <c r="A621" s="153">
        <v>620</v>
      </c>
      <c r="B621" s="35" t="s">
        <v>48</v>
      </c>
      <c r="C621" s="36">
        <v>45812</v>
      </c>
      <c r="D621" s="36" t="s">
        <v>271</v>
      </c>
      <c r="E621" s="37"/>
      <c r="F621" s="37">
        <v>55000</v>
      </c>
      <c r="G621" s="37">
        <v>170852.1</v>
      </c>
      <c r="H621" s="39" t="s">
        <v>21</v>
      </c>
      <c r="I621" s="38" t="s">
        <v>5</v>
      </c>
      <c r="J621" s="17" t="str">
        <f>IF(AND(B621="BT", F621 &gt; 0.03 * SUMIF(B:B, "BT", F:F)), "ITA-C", IF(AND(B621="BT", E621 &gt; 0.03 * SUMIF(B:B, "BT", E:E)), "ITA-D", ""))</f>
        <v/>
      </c>
    </row>
    <row r="622" spans="1:10" x14ac:dyDescent="0.3">
      <c r="A622" s="153">
        <v>621</v>
      </c>
      <c r="B622" s="35" t="s">
        <v>48</v>
      </c>
      <c r="C622" s="36">
        <v>45812</v>
      </c>
      <c r="D622" s="36" t="s">
        <v>270</v>
      </c>
      <c r="E622" s="37"/>
      <c r="F622" s="37">
        <v>600000</v>
      </c>
      <c r="G622" s="37">
        <v>770852.1</v>
      </c>
      <c r="H622" s="39" t="s">
        <v>7</v>
      </c>
      <c r="I622" s="38" t="s">
        <v>7</v>
      </c>
      <c r="J622" s="17" t="str">
        <f>IF(AND(B622="BT", F622 &gt; 0.03 * SUMIF(B:B, "BT", F:F)), "ITA-C", IF(AND(B622="BT", E622 &gt; 0.03 * SUMIF(B:B, "BT", E:E)), "ITA-D", ""))</f>
        <v/>
      </c>
    </row>
    <row r="623" spans="1:10" x14ac:dyDescent="0.3">
      <c r="A623" s="18">
        <v>622</v>
      </c>
      <c r="B623" s="19" t="s">
        <v>41</v>
      </c>
      <c r="C623" s="20">
        <v>45812</v>
      </c>
      <c r="D623" s="20" t="s">
        <v>190</v>
      </c>
      <c r="E623" s="21">
        <v>10000</v>
      </c>
      <c r="F623" s="21"/>
      <c r="G623" s="21">
        <v>760852.1</v>
      </c>
      <c r="H623" s="23" t="s">
        <v>6</v>
      </c>
      <c r="I623" s="22" t="s">
        <v>6</v>
      </c>
      <c r="J623" s="17" t="str">
        <f>IF(AND(B623="BT", F623 &gt; 0.03 * SUMIF(B:B, "BT", F:F)), "ITA-C", IF(AND(B623="BT", E623 &gt; 0.03 * SUMIF(B:B, "BT", E:E)), "ITA-D", ""))</f>
        <v/>
      </c>
    </row>
    <row r="624" spans="1:10" x14ac:dyDescent="0.3">
      <c r="A624" s="18">
        <v>623</v>
      </c>
      <c r="B624" s="19" t="s">
        <v>41</v>
      </c>
      <c r="C624" s="20">
        <v>45812</v>
      </c>
      <c r="D624" s="20" t="s">
        <v>193</v>
      </c>
      <c r="E624" s="21"/>
      <c r="F624" s="21">
        <v>500000</v>
      </c>
      <c r="G624" s="21">
        <v>1260852.1000000001</v>
      </c>
      <c r="H624" s="23" t="s">
        <v>7</v>
      </c>
      <c r="I624" s="22" t="s">
        <v>7</v>
      </c>
      <c r="J624" s="17" t="str">
        <f>IF(AND(B624="BT", F624 &gt; 0.03 * SUMIF(B:B, "BT", F:F)), "ITA-C", IF(AND(B624="BT", E624 &gt; 0.03 * SUMIF(B:B, "BT", E:E)), "ITA-D", ""))</f>
        <v/>
      </c>
    </row>
    <row r="625" spans="1:10" x14ac:dyDescent="0.3">
      <c r="A625" s="153">
        <v>624</v>
      </c>
      <c r="B625" s="35" t="s">
        <v>48</v>
      </c>
      <c r="C625" s="36">
        <v>45812</v>
      </c>
      <c r="D625" s="36" t="s">
        <v>270</v>
      </c>
      <c r="E625" s="37">
        <v>1100000</v>
      </c>
      <c r="F625" s="37"/>
      <c r="G625" s="37">
        <v>160852.1</v>
      </c>
      <c r="H625" s="39" t="s">
        <v>9</v>
      </c>
      <c r="I625" s="38" t="s">
        <v>9</v>
      </c>
      <c r="J625" s="17" t="str">
        <f>IF(AND(B625="BT", F625 &gt; 0.03 * SUMIF(B:B, "BT", F:F)), "ITA-C", IF(AND(B625="BT", E625 &gt; 0.03 * SUMIF(B:B, "BT", E:E)), "ITA-D", ""))</f>
        <v/>
      </c>
    </row>
    <row r="626" spans="1:10" x14ac:dyDescent="0.3">
      <c r="A626" s="153">
        <v>625</v>
      </c>
      <c r="B626" s="35" t="s">
        <v>48</v>
      </c>
      <c r="C626" s="36">
        <v>45812</v>
      </c>
      <c r="D626" s="36" t="s">
        <v>270</v>
      </c>
      <c r="E626" s="37"/>
      <c r="F626" s="37">
        <v>992332</v>
      </c>
      <c r="G626" s="37">
        <v>1153184.1000000001</v>
      </c>
      <c r="H626" s="39" t="s">
        <v>7</v>
      </c>
      <c r="I626" s="38" t="s">
        <v>7</v>
      </c>
      <c r="J626" s="17" t="str">
        <f>IF(AND(B626="BT", F626 &gt; 0.03 * SUMIF(B:B, "BT", F:F)), "ITA-C", IF(AND(B626="BT", E626 &gt; 0.03 * SUMIF(B:B, "BT", E:E)), "ITA-D", ""))</f>
        <v/>
      </c>
    </row>
    <row r="627" spans="1:10" x14ac:dyDescent="0.3">
      <c r="A627" s="153">
        <v>626</v>
      </c>
      <c r="B627" s="35" t="s">
        <v>48</v>
      </c>
      <c r="C627" s="36">
        <v>45812</v>
      </c>
      <c r="D627" s="36" t="s">
        <v>270</v>
      </c>
      <c r="E627" s="37">
        <v>985280</v>
      </c>
      <c r="F627" s="37"/>
      <c r="G627" s="37">
        <v>167904.1</v>
      </c>
      <c r="H627" s="39" t="s">
        <v>9</v>
      </c>
      <c r="I627" s="38" t="s">
        <v>9</v>
      </c>
      <c r="J627" s="17" t="str">
        <f>IF(AND(B627="BT", F627 &gt; 0.03 * SUMIF(B:B, "BT", F:F)), "ITA-C", IF(AND(B627="BT", E627 &gt; 0.03 * SUMIF(B:B, "BT", E:E)), "ITA-D", ""))</f>
        <v/>
      </c>
    </row>
    <row r="628" spans="1:10" x14ac:dyDescent="0.3">
      <c r="A628" s="153">
        <v>627</v>
      </c>
      <c r="B628" s="35" t="s">
        <v>48</v>
      </c>
      <c r="C628" s="36">
        <v>45812</v>
      </c>
      <c r="D628" s="36" t="s">
        <v>270</v>
      </c>
      <c r="E628" s="37"/>
      <c r="F628" s="37">
        <v>880057</v>
      </c>
      <c r="G628" s="37">
        <v>1047961.1</v>
      </c>
      <c r="H628" s="39" t="s">
        <v>7</v>
      </c>
      <c r="I628" s="38" t="s">
        <v>7</v>
      </c>
      <c r="J628" s="17" t="str">
        <f>IF(AND(B628="BT", F628 &gt; 0.03 * SUMIF(B:B, "BT", F:F)), "ITA-C", IF(AND(B628="BT", E628 &gt; 0.03 * SUMIF(B:B, "BT", E:E)), "ITA-D", ""))</f>
        <v/>
      </c>
    </row>
    <row r="629" spans="1:10" x14ac:dyDescent="0.3">
      <c r="A629" s="153">
        <v>628</v>
      </c>
      <c r="B629" s="35" t="s">
        <v>48</v>
      </c>
      <c r="C629" s="36">
        <v>45812</v>
      </c>
      <c r="D629" s="36" t="s">
        <v>270</v>
      </c>
      <c r="E629" s="37">
        <v>888654</v>
      </c>
      <c r="F629" s="37"/>
      <c r="G629" s="37">
        <v>159307.1</v>
      </c>
      <c r="H629" s="39" t="s">
        <v>9</v>
      </c>
      <c r="I629" s="38" t="s">
        <v>9</v>
      </c>
      <c r="J629" s="17" t="str">
        <f>IF(AND(B629="BT", F629 &gt; 0.03 * SUMIF(B:B, "BT", F:F)), "ITA-C", IF(AND(B629="BT", E629 &gt; 0.03 * SUMIF(B:B, "BT", E:E)), "ITA-D", ""))</f>
        <v/>
      </c>
    </row>
    <row r="630" spans="1:10" x14ac:dyDescent="0.3">
      <c r="A630" s="133">
        <v>629</v>
      </c>
      <c r="B630" s="40" t="s">
        <v>47</v>
      </c>
      <c r="C630" s="41">
        <v>45813</v>
      </c>
      <c r="D630" s="41" t="s">
        <v>243</v>
      </c>
      <c r="E630" s="42">
        <v>37200</v>
      </c>
      <c r="F630" s="42"/>
      <c r="G630" s="42">
        <v>122107.1</v>
      </c>
      <c r="H630" s="44" t="s">
        <v>18</v>
      </c>
      <c r="I630" s="43" t="s">
        <v>18</v>
      </c>
      <c r="J630" s="17" t="str">
        <f>IF(AND(B630="BT", F630 &gt; 0.03 * SUMIF(B:B, "BT", F:F)), "ITA-C", IF(AND(B630="BT", E630 &gt; 0.03 * SUMIF(B:B, "BT", E:E)), "ITA-D", ""))</f>
        <v/>
      </c>
    </row>
    <row r="631" spans="1:10" x14ac:dyDescent="0.3">
      <c r="A631" s="18">
        <v>630</v>
      </c>
      <c r="B631" s="24" t="s">
        <v>39</v>
      </c>
      <c r="C631" s="25">
        <v>45813</v>
      </c>
      <c r="D631" s="25" t="s">
        <v>260</v>
      </c>
      <c r="E631" s="26">
        <v>5000</v>
      </c>
      <c r="F631" s="26"/>
      <c r="G631" s="26">
        <v>117107.1</v>
      </c>
      <c r="H631" s="28" t="s">
        <v>12</v>
      </c>
      <c r="I631" s="27" t="s">
        <v>12</v>
      </c>
      <c r="J631" s="17" t="str">
        <f>IF(AND(B631="BT", F631 &gt; 0.03 * SUMIF(B:B, "BT", F:F)), "ITA-C", IF(AND(B631="BT", E631 &gt; 0.03 * SUMIF(B:B, "BT", E:E)), "ITA-D", ""))</f>
        <v/>
      </c>
    </row>
    <row r="632" spans="1:10" x14ac:dyDescent="0.3">
      <c r="A632" s="18">
        <v>631</v>
      </c>
      <c r="B632" s="19" t="s">
        <v>41</v>
      </c>
      <c r="C632" s="20">
        <v>45813</v>
      </c>
      <c r="D632" s="20" t="s">
        <v>198</v>
      </c>
      <c r="E632" s="21"/>
      <c r="F632" s="21">
        <v>36015</v>
      </c>
      <c r="G632" s="21">
        <v>153122.1</v>
      </c>
      <c r="H632" s="23" t="s">
        <v>5</v>
      </c>
      <c r="I632" s="22" t="s">
        <v>5</v>
      </c>
      <c r="J632" s="17" t="str">
        <f>IF(AND(B632="BT", F632 &gt; 0.03 * SUMIF(B:B, "BT", F:F)), "ITA-C", IF(AND(B632="BT", E632 &gt; 0.03 * SUMIF(B:B, "BT", E:E)), "ITA-D", ""))</f>
        <v/>
      </c>
    </row>
    <row r="633" spans="1:10" x14ac:dyDescent="0.3">
      <c r="A633" s="133">
        <v>632</v>
      </c>
      <c r="B633" s="40" t="s">
        <v>44</v>
      </c>
      <c r="C633" s="41">
        <v>45813</v>
      </c>
      <c r="D633" s="134" t="s">
        <v>249</v>
      </c>
      <c r="E633" s="42"/>
      <c r="F633" s="42">
        <v>2400000</v>
      </c>
      <c r="G633" s="42">
        <v>2553122.1</v>
      </c>
      <c r="H633" s="44" t="s">
        <v>7</v>
      </c>
      <c r="I633" s="43" t="s">
        <v>7</v>
      </c>
      <c r="J633" s="17" t="str">
        <f>IF(AND(B633="BT", F633 &gt; 0.03 * SUMIF(B:B, "BT", F:F)), "ITA-C", IF(AND(B633="BT", E633 &gt; 0.03 * SUMIF(B:B, "BT", E:E)), "ITA-D", ""))</f>
        <v/>
      </c>
    </row>
    <row r="634" spans="1:10" x14ac:dyDescent="0.3">
      <c r="A634" s="18">
        <v>633</v>
      </c>
      <c r="B634" s="19" t="s">
        <v>41</v>
      </c>
      <c r="C634" s="20">
        <v>45813</v>
      </c>
      <c r="D634" s="20" t="s">
        <v>225</v>
      </c>
      <c r="E634" s="21">
        <v>55387.5</v>
      </c>
      <c r="F634" s="21"/>
      <c r="G634" s="21">
        <v>2497734.6</v>
      </c>
      <c r="H634" s="23" t="s">
        <v>13</v>
      </c>
      <c r="I634" s="22" t="s">
        <v>13</v>
      </c>
      <c r="J634" s="17" t="str">
        <f>IF(AND(B634="BT", F634 &gt; 0.03 * SUMIF(B:B, "BT", F:F)), "ITA-C", IF(AND(B634="BT", E634 &gt; 0.03 * SUMIF(B:B, "BT", E:E)), "ITA-D", ""))</f>
        <v/>
      </c>
    </row>
    <row r="635" spans="1:10" x14ac:dyDescent="0.3">
      <c r="A635" s="153">
        <v>634</v>
      </c>
      <c r="B635" s="154" t="s">
        <v>48</v>
      </c>
      <c r="C635" s="36">
        <v>45813</v>
      </c>
      <c r="D635" s="36" t="s">
        <v>275</v>
      </c>
      <c r="E635" s="37">
        <v>51240</v>
      </c>
      <c r="F635" s="37"/>
      <c r="G635" s="37">
        <v>2446494.6</v>
      </c>
      <c r="H635" s="39" t="s">
        <v>13</v>
      </c>
      <c r="I635" s="38" t="s">
        <v>13</v>
      </c>
      <c r="J635" s="17" t="str">
        <f>IF(AND(B635="BT", F635 &gt; 0.03 * SUMIF(B:B, "BT", F:F)), "ITA-C", IF(AND(B635="BT", E635 &gt; 0.03 * SUMIF(B:B, "BT", E:E)), "ITA-D", ""))</f>
        <v/>
      </c>
    </row>
    <row r="636" spans="1:10" x14ac:dyDescent="0.3">
      <c r="A636" s="18">
        <v>635</v>
      </c>
      <c r="B636" s="19" t="s">
        <v>41</v>
      </c>
      <c r="C636" s="20">
        <v>45813</v>
      </c>
      <c r="D636" s="20" t="s">
        <v>190</v>
      </c>
      <c r="E636" s="21">
        <v>48000</v>
      </c>
      <c r="F636" s="21"/>
      <c r="G636" s="21">
        <v>2398494.6</v>
      </c>
      <c r="H636" s="23" t="s">
        <v>6</v>
      </c>
      <c r="I636" s="22" t="s">
        <v>6</v>
      </c>
      <c r="J636" s="17" t="str">
        <f>IF(AND(B636="BT", F636 &gt; 0.03 * SUMIF(B:B, "BT", F:F)), "ITA-C", IF(AND(B636="BT", E636 &gt; 0.03 * SUMIF(B:B, "BT", E:E)), "ITA-D", ""))</f>
        <v/>
      </c>
    </row>
    <row r="637" spans="1:10" x14ac:dyDescent="0.3">
      <c r="A637" s="18">
        <v>636</v>
      </c>
      <c r="B637" s="19" t="s">
        <v>41</v>
      </c>
      <c r="C637" s="20">
        <v>45813</v>
      </c>
      <c r="D637" s="20" t="s">
        <v>52</v>
      </c>
      <c r="E637" s="21"/>
      <c r="F637" s="21">
        <v>1</v>
      </c>
      <c r="G637" s="21">
        <v>2398495.6</v>
      </c>
      <c r="H637" s="23" t="s">
        <v>10</v>
      </c>
      <c r="I637" s="22" t="s">
        <v>10</v>
      </c>
      <c r="J637" s="177" t="str">
        <f>IF(AND(B637="BT", F637 &gt; 0.03 * SUMIF(B:B, "BT", F:F)), "ITA-C", IF(AND(B637="BT", E637 &gt; 0.03 * SUMIF(B:B, "BT", E:E)), "ITA-D", ""))</f>
        <v/>
      </c>
    </row>
    <row r="638" spans="1:10" x14ac:dyDescent="0.3">
      <c r="A638" s="18">
        <v>637</v>
      </c>
      <c r="B638" s="19" t="s">
        <v>41</v>
      </c>
      <c r="C638" s="20">
        <v>45813</v>
      </c>
      <c r="D638" s="20" t="s">
        <v>216</v>
      </c>
      <c r="E638" s="21">
        <v>50000</v>
      </c>
      <c r="F638" s="21"/>
      <c r="G638" s="21">
        <v>2348495.6</v>
      </c>
      <c r="H638" s="23" t="s">
        <v>13</v>
      </c>
      <c r="I638" s="22" t="s">
        <v>13</v>
      </c>
      <c r="J638" s="17" t="str">
        <f>IF(AND(B638="BT", F638 &gt; 0.03 * SUMIF(B:B, "BT", F:F)), "ITA-C", IF(AND(B638="BT", E638 &gt; 0.03 * SUMIF(B:B, "BT", E:E)), "ITA-D", ""))</f>
        <v/>
      </c>
    </row>
    <row r="639" spans="1:10" x14ac:dyDescent="0.3">
      <c r="A639" s="153">
        <v>638</v>
      </c>
      <c r="B639" s="35" t="s">
        <v>48</v>
      </c>
      <c r="C639" s="36">
        <v>45813</v>
      </c>
      <c r="D639" s="36" t="s">
        <v>270</v>
      </c>
      <c r="E639" s="37">
        <v>500000</v>
      </c>
      <c r="F639" s="37"/>
      <c r="G639" s="37">
        <v>1848495.6</v>
      </c>
      <c r="H639" s="39" t="s">
        <v>9</v>
      </c>
      <c r="I639" s="38" t="s">
        <v>9</v>
      </c>
      <c r="J639" s="17" t="str">
        <f>IF(AND(B639="BT", F639 &gt; 0.03 * SUMIF(B:B, "BT", F:F)), "ITA-C", IF(AND(B639="BT", E639 &gt; 0.03 * SUMIF(B:B, "BT", E:E)), "ITA-D", ""))</f>
        <v/>
      </c>
    </row>
    <row r="640" spans="1:10" x14ac:dyDescent="0.3">
      <c r="A640" s="18">
        <v>639</v>
      </c>
      <c r="B640" s="19" t="s">
        <v>41</v>
      </c>
      <c r="C640" s="20">
        <v>45814</v>
      </c>
      <c r="D640" s="20" t="s">
        <v>229</v>
      </c>
      <c r="E640" s="21"/>
      <c r="F640" s="21">
        <v>12825</v>
      </c>
      <c r="G640" s="21">
        <v>1861320.6</v>
      </c>
      <c r="H640" s="23" t="s">
        <v>5</v>
      </c>
      <c r="I640" s="22" t="s">
        <v>5</v>
      </c>
      <c r="J640" s="17" t="str">
        <f>IF(AND(B640="BT", F640 &gt; 0.03 * SUMIF(B:B, "BT", F:F)), "ITA-C", IF(AND(B640="BT", E640 &gt; 0.03 * SUMIF(B:B, "BT", E:E)), "ITA-D", ""))</f>
        <v/>
      </c>
    </row>
    <row r="641" spans="1:10" x14ac:dyDescent="0.3">
      <c r="A641" s="18">
        <v>640</v>
      </c>
      <c r="B641" s="19" t="s">
        <v>41</v>
      </c>
      <c r="C641" s="20">
        <v>45814</v>
      </c>
      <c r="D641" s="20" t="s">
        <v>219</v>
      </c>
      <c r="E641" s="21">
        <v>50000</v>
      </c>
      <c r="F641" s="21"/>
      <c r="G641" s="21">
        <v>1811320.6</v>
      </c>
      <c r="H641" s="23" t="s">
        <v>13</v>
      </c>
      <c r="I641" s="22" t="s">
        <v>13</v>
      </c>
      <c r="J641" s="17" t="str">
        <f>IF(AND(B641="BT", F641 &gt; 0.03 * SUMIF(B:B, "BT", F:F)), "ITA-C", IF(AND(B641="BT", E641 &gt; 0.03 * SUMIF(B:B, "BT", E:E)), "ITA-D", ""))</f>
        <v/>
      </c>
    </row>
    <row r="642" spans="1:10" x14ac:dyDescent="0.3">
      <c r="A642" s="18">
        <v>641</v>
      </c>
      <c r="B642" s="19" t="s">
        <v>41</v>
      </c>
      <c r="C642" s="20">
        <v>45814</v>
      </c>
      <c r="D642" s="20" t="s">
        <v>191</v>
      </c>
      <c r="E642" s="21">
        <v>61836</v>
      </c>
      <c r="F642" s="21"/>
      <c r="G642" s="21">
        <v>1749484.6</v>
      </c>
      <c r="H642" s="23" t="s">
        <v>13</v>
      </c>
      <c r="I642" s="22" t="s">
        <v>13</v>
      </c>
      <c r="J642" s="17" t="str">
        <f>IF(AND(B642="BT", F642 &gt; 0.03 * SUMIF(B:B, "BT", F:F)), "ITA-C", IF(AND(B642="BT", E642 &gt; 0.03 * SUMIF(B:B, "BT", E:E)), "ITA-D", ""))</f>
        <v/>
      </c>
    </row>
    <row r="643" spans="1:10" x14ac:dyDescent="0.3">
      <c r="A643" s="18">
        <v>642</v>
      </c>
      <c r="B643" s="19" t="s">
        <v>41</v>
      </c>
      <c r="C643" s="20">
        <v>45814</v>
      </c>
      <c r="D643" s="20" t="s">
        <v>199</v>
      </c>
      <c r="E643" s="21">
        <v>542160</v>
      </c>
      <c r="F643" s="21"/>
      <c r="G643" s="21">
        <v>1207324.6000000001</v>
      </c>
      <c r="H643" s="23" t="s">
        <v>9</v>
      </c>
      <c r="I643" s="22" t="s">
        <v>9</v>
      </c>
      <c r="J643" s="17" t="str">
        <f>IF(AND(B643="BT", F643 &gt; 0.03 * SUMIF(B:B, "BT", F:F)), "ITA-C", IF(AND(B643="BT", E643 &gt; 0.03 * SUMIF(B:B, "BT", E:E)), "ITA-D", ""))</f>
        <v/>
      </c>
    </row>
    <row r="644" spans="1:10" x14ac:dyDescent="0.3">
      <c r="A644" s="18">
        <v>643</v>
      </c>
      <c r="B644" s="19" t="s">
        <v>41</v>
      </c>
      <c r="C644" s="20">
        <v>45814</v>
      </c>
      <c r="D644" s="20" t="s">
        <v>230</v>
      </c>
      <c r="E644" s="21"/>
      <c r="F644" s="21">
        <v>134848</v>
      </c>
      <c r="G644" s="21">
        <v>1342172.6000000001</v>
      </c>
      <c r="H644" s="23" t="s">
        <v>5</v>
      </c>
      <c r="I644" s="22" t="s">
        <v>5</v>
      </c>
      <c r="J644" s="17" t="str">
        <f>IF(AND(B644="BT", F644 &gt; 0.03 * SUMIF(B:B, "BT", F:F)), "ITA-C", IF(AND(B644="BT", E644 &gt; 0.03 * SUMIF(B:B, "BT", E:E)), "ITA-D", ""))</f>
        <v/>
      </c>
    </row>
    <row r="645" spans="1:10" x14ac:dyDescent="0.3">
      <c r="A645" s="18">
        <v>644</v>
      </c>
      <c r="B645" s="19" t="s">
        <v>41</v>
      </c>
      <c r="C645" s="20">
        <v>45814</v>
      </c>
      <c r="D645" s="20" t="s">
        <v>193</v>
      </c>
      <c r="E645" s="21"/>
      <c r="F645" s="21">
        <v>611800</v>
      </c>
      <c r="G645" s="21">
        <v>1953972.6</v>
      </c>
      <c r="H645" s="23" t="s">
        <v>7</v>
      </c>
      <c r="I645" s="22" t="s">
        <v>7</v>
      </c>
      <c r="J645" s="17" t="str">
        <f>IF(AND(B645="BT", F645 &gt; 0.03 * SUMIF(B:B, "BT", F:F)), "ITA-C", IF(AND(B645="BT", E645 &gt; 0.03 * SUMIF(B:B, "BT", E:E)), "ITA-D", ""))</f>
        <v/>
      </c>
    </row>
    <row r="646" spans="1:10" x14ac:dyDescent="0.3">
      <c r="A646" s="18">
        <v>645</v>
      </c>
      <c r="B646" s="19" t="s">
        <v>41</v>
      </c>
      <c r="C646" s="20">
        <v>45814</v>
      </c>
      <c r="D646" s="20" t="s">
        <v>216</v>
      </c>
      <c r="E646" s="21">
        <v>42340</v>
      </c>
      <c r="F646" s="21"/>
      <c r="G646" s="21">
        <v>1911632.6</v>
      </c>
      <c r="H646" s="23" t="s">
        <v>13</v>
      </c>
      <c r="I646" s="22" t="s">
        <v>13</v>
      </c>
      <c r="J646" s="17" t="str">
        <f>IF(AND(B646="BT", F646 &gt; 0.03 * SUMIF(B:B, "BT", F:F)), "ITA-C", IF(AND(B646="BT", E646 &gt; 0.03 * SUMIF(B:B, "BT", E:E)), "ITA-D", ""))</f>
        <v/>
      </c>
    </row>
    <row r="647" spans="1:10" x14ac:dyDescent="0.3">
      <c r="A647" s="153">
        <v>646</v>
      </c>
      <c r="B647" s="35" t="s">
        <v>48</v>
      </c>
      <c r="C647" s="36">
        <v>45814</v>
      </c>
      <c r="D647" s="36" t="s">
        <v>276</v>
      </c>
      <c r="E647" s="37">
        <v>7000</v>
      </c>
      <c r="F647" s="37"/>
      <c r="G647" s="37">
        <v>1904632.6</v>
      </c>
      <c r="H647" s="39" t="s">
        <v>6</v>
      </c>
      <c r="I647" s="38" t="s">
        <v>6</v>
      </c>
      <c r="J647" s="17" t="str">
        <f>IF(AND(B647="BT", F647 &gt; 0.03 * SUMIF(B:B, "BT", F:F)), "ITA-C", IF(AND(B647="BT", E647 &gt; 0.03 * SUMIF(B:B, "BT", E:E)), "ITA-D", ""))</f>
        <v/>
      </c>
    </row>
    <row r="648" spans="1:10" x14ac:dyDescent="0.3">
      <c r="A648" s="18">
        <v>647</v>
      </c>
      <c r="B648" s="19" t="s">
        <v>41</v>
      </c>
      <c r="C648" s="20">
        <v>45814</v>
      </c>
      <c r="D648" s="20" t="s">
        <v>226</v>
      </c>
      <c r="E648" s="21">
        <v>127008</v>
      </c>
      <c r="F648" s="21"/>
      <c r="G648" s="21">
        <v>1777624.6</v>
      </c>
      <c r="H648" s="23" t="s">
        <v>13</v>
      </c>
      <c r="I648" s="22" t="s">
        <v>13</v>
      </c>
      <c r="J648" s="17" t="str">
        <f>IF(AND(B648="BT", F648 &gt; 0.03 * SUMIF(B:B, "BT", F:F)), "ITA-C", IF(AND(B648="BT", E648 &gt; 0.03 * SUMIF(B:B, "BT", E:E)), "ITA-D", ""))</f>
        <v/>
      </c>
    </row>
    <row r="649" spans="1:10" x14ac:dyDescent="0.3">
      <c r="A649" s="133">
        <v>648</v>
      </c>
      <c r="B649" s="40" t="s">
        <v>44</v>
      </c>
      <c r="C649" s="41">
        <v>45815</v>
      </c>
      <c r="D649" s="41" t="s">
        <v>252</v>
      </c>
      <c r="E649" s="42">
        <v>100000</v>
      </c>
      <c r="F649" s="42"/>
      <c r="G649" s="42">
        <v>1677624.6</v>
      </c>
      <c r="H649" s="44" t="s">
        <v>26</v>
      </c>
      <c r="I649" s="43" t="s">
        <v>26</v>
      </c>
      <c r="J649" s="17" t="str">
        <f>IF(AND(B649="BT", F649 &gt; 0.03 * SUMIF(B:B, "BT", F:F)), "ITA-C", IF(AND(B649="BT", E649 &gt; 0.03 * SUMIF(B:B, "BT", E:E)), "ITA-D", ""))</f>
        <v/>
      </c>
    </row>
    <row r="650" spans="1:10" x14ac:dyDescent="0.3">
      <c r="A650" s="133">
        <v>649</v>
      </c>
      <c r="B650" s="40" t="s">
        <v>44</v>
      </c>
      <c r="C650" s="41">
        <v>45815</v>
      </c>
      <c r="D650" s="41" t="s">
        <v>257</v>
      </c>
      <c r="E650" s="42">
        <v>150000</v>
      </c>
      <c r="F650" s="42"/>
      <c r="G650" s="42">
        <v>1527624.6</v>
      </c>
      <c r="H650" s="44" t="s">
        <v>26</v>
      </c>
      <c r="I650" s="43" t="s">
        <v>26</v>
      </c>
      <c r="J650" s="17" t="str">
        <f>IF(AND(B650="BT", F650 &gt; 0.03 * SUMIF(B:B, "BT", F:F)), "ITA-C", IF(AND(B650="BT", E650 &gt; 0.03 * SUMIF(B:B, "BT", E:E)), "ITA-D", ""))</f>
        <v/>
      </c>
    </row>
    <row r="651" spans="1:10" x14ac:dyDescent="0.3">
      <c r="A651" s="18">
        <v>650</v>
      </c>
      <c r="B651" s="19" t="s">
        <v>41</v>
      </c>
      <c r="C651" s="20">
        <v>45815</v>
      </c>
      <c r="D651" s="20" t="s">
        <v>203</v>
      </c>
      <c r="E651" s="21">
        <v>400000</v>
      </c>
      <c r="F651" s="21"/>
      <c r="G651" s="21">
        <v>1127624.6000000001</v>
      </c>
      <c r="H651" s="23" t="s">
        <v>9</v>
      </c>
      <c r="I651" s="22" t="s">
        <v>9</v>
      </c>
      <c r="J651" s="17" t="str">
        <f>IF(AND(B651="BT", F651 &gt; 0.03 * SUMIF(B:B, "BT", F:F)), "ITA-C", IF(AND(B651="BT", E651 &gt; 0.03 * SUMIF(B:B, "BT", E:E)), "ITA-D", ""))</f>
        <v/>
      </c>
    </row>
    <row r="652" spans="1:10" x14ac:dyDescent="0.3">
      <c r="A652" s="153">
        <v>651</v>
      </c>
      <c r="B652" s="35" t="s">
        <v>48</v>
      </c>
      <c r="C652" s="36">
        <v>45815</v>
      </c>
      <c r="D652" s="36" t="s">
        <v>270</v>
      </c>
      <c r="E652" s="37">
        <v>200000</v>
      </c>
      <c r="F652" s="37"/>
      <c r="G652" s="37">
        <v>927624.6</v>
      </c>
      <c r="H652" s="39" t="s">
        <v>25</v>
      </c>
      <c r="I652" s="38" t="s">
        <v>25</v>
      </c>
      <c r="J652" s="17" t="str">
        <f>IF(AND(B652="BT", F652 &gt; 0.03 * SUMIF(B:B, "BT", F:F)), "ITA-C", IF(AND(B652="BT", E652 &gt; 0.03 * SUMIF(B:B, "BT", E:E)), "ITA-D", ""))</f>
        <v/>
      </c>
    </row>
    <row r="653" spans="1:10" x14ac:dyDescent="0.3">
      <c r="A653" s="153">
        <v>652</v>
      </c>
      <c r="B653" s="35" t="s">
        <v>48</v>
      </c>
      <c r="C653" s="36">
        <v>45815</v>
      </c>
      <c r="D653" s="36" t="s">
        <v>276</v>
      </c>
      <c r="E653" s="37">
        <v>20000</v>
      </c>
      <c r="F653" s="37"/>
      <c r="G653" s="37">
        <v>907624.6</v>
      </c>
      <c r="H653" s="39" t="s">
        <v>6</v>
      </c>
      <c r="I653" s="38" t="s">
        <v>6</v>
      </c>
      <c r="J653" s="17" t="str">
        <f>IF(AND(B653="BT", F653 &gt; 0.03 * SUMIF(B:B, "BT", F:F)), "ITA-C", IF(AND(B653="BT", E653 &gt; 0.03 * SUMIF(B:B, "BT", E:E)), "ITA-D", ""))</f>
        <v/>
      </c>
    </row>
    <row r="654" spans="1:10" x14ac:dyDescent="0.3">
      <c r="A654" s="153">
        <v>653</v>
      </c>
      <c r="B654" s="35" t="s">
        <v>48</v>
      </c>
      <c r="C654" s="36">
        <v>45816</v>
      </c>
      <c r="D654" s="36" t="s">
        <v>270</v>
      </c>
      <c r="E654" s="37"/>
      <c r="F654" s="37">
        <v>100000</v>
      </c>
      <c r="G654" s="37">
        <v>1007624.6</v>
      </c>
      <c r="H654" s="39" t="s">
        <v>10</v>
      </c>
      <c r="I654" s="38" t="s">
        <v>10</v>
      </c>
      <c r="J654" s="17" t="str">
        <f>IF(AND(B654="BT", F654 &gt; 0.03 * SUMIF(B:B, "BT", F:F)), "ITA-C", IF(AND(B654="BT", E654 &gt; 0.03 * SUMIF(B:B, "BT", E:E)), "ITA-D", ""))</f>
        <v/>
      </c>
    </row>
    <row r="655" spans="1:10" x14ac:dyDescent="0.3">
      <c r="A655" s="18">
        <v>654</v>
      </c>
      <c r="B655" s="19" t="s">
        <v>41</v>
      </c>
      <c r="C655" s="20">
        <v>45816</v>
      </c>
      <c r="D655" s="20" t="s">
        <v>219</v>
      </c>
      <c r="E655" s="21">
        <v>100000</v>
      </c>
      <c r="F655" s="21"/>
      <c r="G655" s="21">
        <v>907624.6</v>
      </c>
      <c r="H655" s="23" t="s">
        <v>13</v>
      </c>
      <c r="I655" s="22" t="s">
        <v>13</v>
      </c>
      <c r="J655" s="17" t="str">
        <f>IF(AND(B655="BT", F655 &gt; 0.03 * SUMIF(B:B, "BT", F:F)), "ITA-C", IF(AND(B655="BT", E655 &gt; 0.03 * SUMIF(B:B, "BT", E:E)), "ITA-D", ""))</f>
        <v/>
      </c>
    </row>
    <row r="656" spans="1:10" x14ac:dyDescent="0.3">
      <c r="A656" s="18">
        <v>655</v>
      </c>
      <c r="B656" s="19" t="s">
        <v>41</v>
      </c>
      <c r="C656" s="20">
        <v>45817</v>
      </c>
      <c r="D656" s="20" t="s">
        <v>193</v>
      </c>
      <c r="E656" s="21"/>
      <c r="F656" s="21">
        <v>300000</v>
      </c>
      <c r="G656" s="21">
        <v>1207624.6000000001</v>
      </c>
      <c r="H656" s="23" t="s">
        <v>7</v>
      </c>
      <c r="I656" s="22" t="s">
        <v>7</v>
      </c>
      <c r="J656" s="17" t="str">
        <f>IF(AND(B656="BT", F656 &gt; 0.03 * SUMIF(B:B, "BT", F:F)), "ITA-C", IF(AND(B656="BT", E656 &gt; 0.03 * SUMIF(B:B, "BT", E:E)), "ITA-D", ""))</f>
        <v/>
      </c>
    </row>
    <row r="657" spans="1:10" x14ac:dyDescent="0.3">
      <c r="A657" s="18">
        <v>656</v>
      </c>
      <c r="B657" s="19" t="s">
        <v>41</v>
      </c>
      <c r="C657" s="20">
        <v>45817</v>
      </c>
      <c r="D657" s="20" t="s">
        <v>233</v>
      </c>
      <c r="E657" s="21">
        <v>78848</v>
      </c>
      <c r="F657" s="21"/>
      <c r="G657" s="21">
        <v>1128776.6000000001</v>
      </c>
      <c r="H657" s="23" t="s">
        <v>26</v>
      </c>
      <c r="I657" s="22" t="s">
        <v>26</v>
      </c>
      <c r="J657" s="17" t="str">
        <f>IF(AND(B657="BT", F657 &gt; 0.03 * SUMIF(B:B, "BT", F:F)), "ITA-C", IF(AND(B657="BT", E657 &gt; 0.03 * SUMIF(B:B, "BT", E:E)), "ITA-D", ""))</f>
        <v/>
      </c>
    </row>
    <row r="658" spans="1:10" x14ac:dyDescent="0.3">
      <c r="A658" s="18">
        <v>657</v>
      </c>
      <c r="B658" s="19" t="s">
        <v>41</v>
      </c>
      <c r="C658" s="20">
        <v>45817</v>
      </c>
      <c r="D658" s="20" t="s">
        <v>224</v>
      </c>
      <c r="E658" s="21">
        <v>20000</v>
      </c>
      <c r="F658" s="21"/>
      <c r="G658" s="21">
        <v>1108776.6000000001</v>
      </c>
      <c r="H658" s="23" t="s">
        <v>13</v>
      </c>
      <c r="I658" s="22" t="s">
        <v>13</v>
      </c>
      <c r="J658" s="17" t="str">
        <f>IF(AND(B658="BT", F658 &gt; 0.03 * SUMIF(B:B, "BT", F:F)), "ITA-C", IF(AND(B658="BT", E658 &gt; 0.03 * SUMIF(B:B, "BT", E:E)), "ITA-D", ""))</f>
        <v/>
      </c>
    </row>
    <row r="659" spans="1:10" x14ac:dyDescent="0.3">
      <c r="A659" s="18">
        <v>658</v>
      </c>
      <c r="B659" s="19" t="s">
        <v>41</v>
      </c>
      <c r="C659" s="20">
        <v>45817</v>
      </c>
      <c r="D659" s="20" t="s">
        <v>40</v>
      </c>
      <c r="E659" s="21"/>
      <c r="F659" s="21">
        <v>212000</v>
      </c>
      <c r="G659" s="21">
        <v>1320776.6000000001</v>
      </c>
      <c r="H659" s="23" t="s">
        <v>30</v>
      </c>
      <c r="I659" s="22" t="s">
        <v>30</v>
      </c>
      <c r="J659" s="17" t="str">
        <f>IF(AND(B659="BT", F659 &gt; 0.03 * SUMIF(B:B, "BT", F:F)), "ITA-C", IF(AND(B659="BT", E659 &gt; 0.03 * SUMIF(B:B, "BT", E:E)), "ITA-D", ""))</f>
        <v/>
      </c>
    </row>
    <row r="660" spans="1:10" x14ac:dyDescent="0.3">
      <c r="A660" s="18">
        <v>659</v>
      </c>
      <c r="B660" s="19" t="s">
        <v>41</v>
      </c>
      <c r="C660" s="20">
        <v>45817</v>
      </c>
      <c r="D660" s="20" t="s">
        <v>209</v>
      </c>
      <c r="E660" s="21">
        <v>100000</v>
      </c>
      <c r="F660" s="21"/>
      <c r="G660" s="21">
        <v>1220776.6000000001</v>
      </c>
      <c r="H660" s="23" t="s">
        <v>13</v>
      </c>
      <c r="I660" s="22" t="s">
        <v>13</v>
      </c>
      <c r="J660" s="17" t="str">
        <f>IF(AND(B660="BT", F660 &gt; 0.03 * SUMIF(B:B, "BT", F:F)), "ITA-C", IF(AND(B660="BT", E660 &gt; 0.03 * SUMIF(B:B, "BT", E:E)), "ITA-D", ""))</f>
        <v/>
      </c>
    </row>
    <row r="661" spans="1:10" x14ac:dyDescent="0.3">
      <c r="A661" s="18">
        <v>660</v>
      </c>
      <c r="B661" s="19" t="s">
        <v>41</v>
      </c>
      <c r="C661" s="20">
        <v>45818</v>
      </c>
      <c r="D661" s="20" t="s">
        <v>222</v>
      </c>
      <c r="E661" s="21">
        <v>191520</v>
      </c>
      <c r="F661" s="21"/>
      <c r="G661" s="21">
        <v>1029256.6</v>
      </c>
      <c r="H661" s="23" t="s">
        <v>26</v>
      </c>
      <c r="I661" s="22" t="s">
        <v>26</v>
      </c>
      <c r="J661" s="17" t="str">
        <f>IF(AND(B661="BT", F661 &gt; 0.03 * SUMIF(B:B, "BT", F:F)), "ITA-C", IF(AND(B661="BT", E661 &gt; 0.03 * SUMIF(B:B, "BT", E:E)), "ITA-D", ""))</f>
        <v/>
      </c>
    </row>
    <row r="662" spans="1:10" x14ac:dyDescent="0.3">
      <c r="A662" s="18">
        <v>661</v>
      </c>
      <c r="B662" s="19" t="s">
        <v>41</v>
      </c>
      <c r="C662" s="20">
        <v>45818</v>
      </c>
      <c r="D662" s="20" t="s">
        <v>229</v>
      </c>
      <c r="E662" s="21"/>
      <c r="F662" s="21">
        <v>8925</v>
      </c>
      <c r="G662" s="21">
        <v>1038181.6</v>
      </c>
      <c r="H662" s="23" t="s">
        <v>5</v>
      </c>
      <c r="I662" s="22" t="s">
        <v>5</v>
      </c>
      <c r="J662" s="17" t="str">
        <f>IF(AND(B662="BT", F662 &gt; 0.03 * SUMIF(B:B, "BT", F:F)), "ITA-C", IF(AND(B662="BT", E662 &gt; 0.03 * SUMIF(B:B, "BT", E:E)), "ITA-D", ""))</f>
        <v/>
      </c>
    </row>
    <row r="663" spans="1:10" x14ac:dyDescent="0.3">
      <c r="A663" s="153">
        <v>662</v>
      </c>
      <c r="B663" s="35" t="s">
        <v>48</v>
      </c>
      <c r="C663" s="36">
        <v>45818</v>
      </c>
      <c r="D663" s="36" t="s">
        <v>270</v>
      </c>
      <c r="E663" s="37">
        <v>500000</v>
      </c>
      <c r="F663" s="37"/>
      <c r="G663" s="37">
        <v>538181.6</v>
      </c>
      <c r="H663" s="39" t="s">
        <v>9</v>
      </c>
      <c r="I663" s="38" t="s">
        <v>9</v>
      </c>
      <c r="J663" s="17" t="str">
        <f>IF(AND(B663="BT", F663 &gt; 0.03 * SUMIF(B:B, "BT", F:F)), "ITA-C", IF(AND(B663="BT", E663 &gt; 0.03 * SUMIF(B:B, "BT", E:E)), "ITA-D", ""))</f>
        <v/>
      </c>
    </row>
    <row r="664" spans="1:10" x14ac:dyDescent="0.3">
      <c r="A664" s="18">
        <v>663</v>
      </c>
      <c r="B664" s="19" t="s">
        <v>41</v>
      </c>
      <c r="C664" s="20">
        <v>45819</v>
      </c>
      <c r="D664" s="20" t="s">
        <v>197</v>
      </c>
      <c r="E664" s="21">
        <v>61009</v>
      </c>
      <c r="F664" s="21"/>
      <c r="G664" s="21">
        <v>477172.6</v>
      </c>
      <c r="H664" s="23" t="s">
        <v>26</v>
      </c>
      <c r="I664" s="22" t="s">
        <v>26</v>
      </c>
      <c r="J664" s="17" t="str">
        <f>IF(AND(B664="BT", F664 &gt; 0.03 * SUMIF(B:B, "BT", F:F)), "ITA-C", IF(AND(B664="BT", E664 &gt; 0.03 * SUMIF(B:B, "BT", E:E)), "ITA-D", ""))</f>
        <v/>
      </c>
    </row>
    <row r="665" spans="1:10" x14ac:dyDescent="0.3">
      <c r="A665" s="18">
        <v>664</v>
      </c>
      <c r="B665" s="24" t="s">
        <v>39</v>
      </c>
      <c r="C665" s="25">
        <v>45819</v>
      </c>
      <c r="D665" s="6" t="s">
        <v>258</v>
      </c>
      <c r="E665" s="26">
        <v>5.9</v>
      </c>
      <c r="F665" s="26"/>
      <c r="G665" s="26">
        <v>477166.7</v>
      </c>
      <c r="H665" s="28" t="s">
        <v>24</v>
      </c>
      <c r="I665" s="27" t="s">
        <v>24</v>
      </c>
      <c r="J665" s="17" t="str">
        <f>IF(AND(B665="BT", F665 &gt; 0.03 * SUMIF(B:B, "BT", F:F)), "ITA-C", IF(AND(B665="BT", E665 &gt; 0.03 * SUMIF(B:B, "BT", E:E)), "ITA-D", ""))</f>
        <v/>
      </c>
    </row>
    <row r="666" spans="1:10" x14ac:dyDescent="0.3">
      <c r="A666" s="18">
        <v>665</v>
      </c>
      <c r="B666" s="24" t="s">
        <v>39</v>
      </c>
      <c r="C666" s="25">
        <v>45819</v>
      </c>
      <c r="D666" s="6" t="s">
        <v>258</v>
      </c>
      <c r="E666" s="26">
        <v>5.9</v>
      </c>
      <c r="F666" s="26"/>
      <c r="G666" s="26">
        <v>477160.8</v>
      </c>
      <c r="H666" s="28" t="s">
        <v>24</v>
      </c>
      <c r="I666" s="27" t="s">
        <v>24</v>
      </c>
      <c r="J666" s="17" t="str">
        <f>IF(AND(B666="BT", F666 &gt; 0.03 * SUMIF(B:B, "BT", F:F)), "ITA-C", IF(AND(B666="BT", E666 &gt; 0.03 * SUMIF(B:B, "BT", E:E)), "ITA-D", ""))</f>
        <v/>
      </c>
    </row>
    <row r="667" spans="1:10" x14ac:dyDescent="0.3">
      <c r="A667" s="18">
        <v>666</v>
      </c>
      <c r="B667" s="24" t="s">
        <v>39</v>
      </c>
      <c r="C667" s="25">
        <v>45819</v>
      </c>
      <c r="D667" s="6" t="s">
        <v>258</v>
      </c>
      <c r="E667" s="26">
        <v>5.9</v>
      </c>
      <c r="F667" s="26"/>
      <c r="G667" s="26">
        <v>477154.9</v>
      </c>
      <c r="H667" s="28" t="s">
        <v>24</v>
      </c>
      <c r="I667" s="27" t="s">
        <v>24</v>
      </c>
      <c r="J667" s="17" t="str">
        <f>IF(AND(B667="BT", F667 &gt; 0.03 * SUMIF(B:B, "BT", F:F)), "ITA-C", IF(AND(B667="BT", E667 &gt; 0.03 * SUMIF(B:B, "BT", E:E)), "ITA-D", ""))</f>
        <v/>
      </c>
    </row>
    <row r="668" spans="1:10" x14ac:dyDescent="0.3">
      <c r="A668" s="153">
        <v>667</v>
      </c>
      <c r="B668" s="35" t="s">
        <v>48</v>
      </c>
      <c r="C668" s="36">
        <v>45819</v>
      </c>
      <c r="D668" s="36" t="s">
        <v>270</v>
      </c>
      <c r="E668" s="37">
        <v>300000</v>
      </c>
      <c r="F668" s="37"/>
      <c r="G668" s="37">
        <v>177154.9</v>
      </c>
      <c r="H668" s="39" t="s">
        <v>25</v>
      </c>
      <c r="I668" s="38" t="s">
        <v>25</v>
      </c>
      <c r="J668" s="17" t="str">
        <f>IF(AND(B668="BT", F668 &gt; 0.03 * SUMIF(B:B, "BT", F:F)), "ITA-C", IF(AND(B668="BT", E668 &gt; 0.03 * SUMIF(B:B, "BT", E:E)), "ITA-D", ""))</f>
        <v/>
      </c>
    </row>
    <row r="669" spans="1:10" x14ac:dyDescent="0.3">
      <c r="A669" s="153">
        <v>668</v>
      </c>
      <c r="B669" s="35" t="s">
        <v>48</v>
      </c>
      <c r="C669" s="36">
        <v>45819</v>
      </c>
      <c r="D669" s="36" t="s">
        <v>271</v>
      </c>
      <c r="E669" s="37"/>
      <c r="F669" s="37">
        <v>46000</v>
      </c>
      <c r="G669" s="37">
        <v>223154.9</v>
      </c>
      <c r="H669" s="39" t="s">
        <v>21</v>
      </c>
      <c r="I669" s="38" t="s">
        <v>5</v>
      </c>
      <c r="J669" s="17" t="str">
        <f>IF(AND(B669="BT", F669 &gt; 0.03 * SUMIF(B:B, "BT", F:F)), "ITA-C", IF(AND(B669="BT", E669 &gt; 0.03 * SUMIF(B:B, "BT", E:E)), "ITA-D", ""))</f>
        <v/>
      </c>
    </row>
    <row r="670" spans="1:10" x14ac:dyDescent="0.3">
      <c r="A670" s="18">
        <v>669</v>
      </c>
      <c r="B670" s="24" t="s">
        <v>39</v>
      </c>
      <c r="C670" s="25">
        <v>45819</v>
      </c>
      <c r="D670" s="6" t="s">
        <v>258</v>
      </c>
      <c r="E670" s="26">
        <v>17.7</v>
      </c>
      <c r="F670" s="26"/>
      <c r="G670" s="26">
        <v>223137.2</v>
      </c>
      <c r="H670" s="28" t="s">
        <v>24</v>
      </c>
      <c r="I670" s="27" t="s">
        <v>24</v>
      </c>
      <c r="J670" s="17" t="str">
        <f>IF(AND(B670="BT", F670 &gt; 0.03 * SUMIF(B:B, "BT", F:F)), "ITA-C", IF(AND(B670="BT", E670 &gt; 0.03 * SUMIF(B:B, "BT", E:E)), "ITA-D", ""))</f>
        <v/>
      </c>
    </row>
    <row r="671" spans="1:10" x14ac:dyDescent="0.3">
      <c r="A671" s="18">
        <v>670</v>
      </c>
      <c r="B671" s="19" t="s">
        <v>41</v>
      </c>
      <c r="C671" s="20">
        <v>45819</v>
      </c>
      <c r="D671" s="20" t="s">
        <v>213</v>
      </c>
      <c r="E671" s="21">
        <v>50000</v>
      </c>
      <c r="F671" s="21"/>
      <c r="G671" s="21">
        <v>173137.2</v>
      </c>
      <c r="H671" s="23" t="s">
        <v>13</v>
      </c>
      <c r="I671" s="22" t="s">
        <v>13</v>
      </c>
      <c r="J671" s="17" t="str">
        <f>IF(AND(B671="BT", F671 &gt; 0.03 * SUMIF(B:B, "BT", F:F)), "ITA-C", IF(AND(B671="BT", E671 &gt; 0.03 * SUMIF(B:B, "BT", E:E)), "ITA-D", ""))</f>
        <v/>
      </c>
    </row>
    <row r="672" spans="1:10" x14ac:dyDescent="0.3">
      <c r="A672" s="18">
        <v>671</v>
      </c>
      <c r="B672" s="19" t="s">
        <v>41</v>
      </c>
      <c r="C672" s="20">
        <v>45819</v>
      </c>
      <c r="D672" s="20" t="s">
        <v>194</v>
      </c>
      <c r="E672" s="21"/>
      <c r="F672" s="21">
        <v>57750</v>
      </c>
      <c r="G672" s="21">
        <v>230887.2</v>
      </c>
      <c r="H672" s="23" t="s">
        <v>28</v>
      </c>
      <c r="I672" s="22" t="s">
        <v>28</v>
      </c>
      <c r="J672" s="17" t="str">
        <f>IF(AND(B672="BT", F672 &gt; 0.03 * SUMIF(B:B, "BT", F:F)), "ITA-C", IF(AND(B672="BT", E672 &gt; 0.03 * SUMIF(B:B, "BT", E:E)), "ITA-D", ""))</f>
        <v/>
      </c>
    </row>
    <row r="673" spans="1:10" x14ac:dyDescent="0.3">
      <c r="A673" s="153">
        <v>672</v>
      </c>
      <c r="B673" s="35" t="s">
        <v>48</v>
      </c>
      <c r="C673" s="36">
        <v>45820</v>
      </c>
      <c r="D673" s="36" t="s">
        <v>271</v>
      </c>
      <c r="E673" s="51"/>
      <c r="F673" s="37">
        <v>300000</v>
      </c>
      <c r="G673" s="37">
        <v>530887.19999999995</v>
      </c>
      <c r="H673" s="39" t="s">
        <v>10</v>
      </c>
      <c r="I673" s="38" t="s">
        <v>10</v>
      </c>
      <c r="J673" s="17" t="str">
        <f>IF(AND(B673="BT", F673 &gt; 0.03 * SUMIF(B:B, "BT", F:F)), "ITA-C", IF(AND(B673="BT", E673 &gt; 0.03 * SUMIF(B:B, "BT", E:E)), "ITA-D", ""))</f>
        <v/>
      </c>
    </row>
    <row r="674" spans="1:10" x14ac:dyDescent="0.3">
      <c r="A674" s="153">
        <v>673</v>
      </c>
      <c r="B674" s="154" t="s">
        <v>48</v>
      </c>
      <c r="C674" s="36">
        <v>45820</v>
      </c>
      <c r="D674" s="36" t="s">
        <v>275</v>
      </c>
      <c r="E674" s="37">
        <v>77595</v>
      </c>
      <c r="F674" s="37"/>
      <c r="G674" s="37">
        <v>453292.2</v>
      </c>
      <c r="H674" s="39" t="s">
        <v>13</v>
      </c>
      <c r="I674" s="38" t="s">
        <v>13</v>
      </c>
      <c r="J674" s="17" t="str">
        <f>IF(AND(B674="BT", F674 &gt; 0.03 * SUMIF(B:B, "BT", F:F)), "ITA-C", IF(AND(B674="BT", E674 &gt; 0.03 * SUMIF(B:B, "BT", E:E)), "ITA-D", ""))</f>
        <v/>
      </c>
    </row>
    <row r="675" spans="1:10" x14ac:dyDescent="0.3">
      <c r="A675" s="18">
        <v>674</v>
      </c>
      <c r="B675" s="19" t="s">
        <v>41</v>
      </c>
      <c r="C675" s="20">
        <v>45820</v>
      </c>
      <c r="D675" s="20" t="s">
        <v>216</v>
      </c>
      <c r="E675" s="21">
        <v>50000</v>
      </c>
      <c r="F675" s="21"/>
      <c r="G675" s="21">
        <v>403292.2</v>
      </c>
      <c r="H675" s="23" t="s">
        <v>13</v>
      </c>
      <c r="I675" s="22" t="s">
        <v>13</v>
      </c>
      <c r="J675" s="17" t="str">
        <f>IF(AND(B675="BT", F675 &gt; 0.03 * SUMIF(B:B, "BT", F:F)), "ITA-C", IF(AND(B675="BT", E675 &gt; 0.03 * SUMIF(B:B, "BT", E:E)), "ITA-D", ""))</f>
        <v/>
      </c>
    </row>
    <row r="676" spans="1:10" x14ac:dyDescent="0.3">
      <c r="A676" s="153">
        <v>675</v>
      </c>
      <c r="B676" s="35" t="s">
        <v>48</v>
      </c>
      <c r="C676" s="36">
        <v>45821</v>
      </c>
      <c r="D676" s="36" t="s">
        <v>276</v>
      </c>
      <c r="E676" s="37"/>
      <c r="F676" s="37">
        <v>5000</v>
      </c>
      <c r="G676" s="37">
        <v>408292.2</v>
      </c>
      <c r="H676" s="39" t="s">
        <v>8</v>
      </c>
      <c r="I676" s="38" t="s">
        <v>8</v>
      </c>
      <c r="J676" s="17" t="str">
        <f>IF(AND(B676="BT", F676 &gt; 0.03 * SUMIF(B:B, "BT", F:F)), "ITA-C", IF(AND(B676="BT", E676 &gt; 0.03 * SUMIF(B:B, "BT", E:E)), "ITA-D", ""))</f>
        <v/>
      </c>
    </row>
    <row r="677" spans="1:10" x14ac:dyDescent="0.3">
      <c r="A677" s="18">
        <v>676</v>
      </c>
      <c r="B677" s="19" t="s">
        <v>41</v>
      </c>
      <c r="C677" s="20">
        <v>45821</v>
      </c>
      <c r="D677" s="20" t="s">
        <v>222</v>
      </c>
      <c r="E677" s="21">
        <v>302400</v>
      </c>
      <c r="F677" s="21"/>
      <c r="G677" s="21">
        <v>105892.2</v>
      </c>
      <c r="H677" s="23" t="s">
        <v>26</v>
      </c>
      <c r="I677" s="22" t="s">
        <v>26</v>
      </c>
      <c r="J677" s="17" t="str">
        <f>IF(AND(B677="BT", F677 &gt; 0.03 * SUMIF(B:B, "BT", F:F)), "ITA-C", IF(AND(B677="BT", E677 &gt; 0.03 * SUMIF(B:B, "BT", E:E)), "ITA-D", ""))</f>
        <v/>
      </c>
    </row>
    <row r="678" spans="1:10" x14ac:dyDescent="0.3">
      <c r="A678" s="18">
        <v>677</v>
      </c>
      <c r="B678" s="24" t="s">
        <v>39</v>
      </c>
      <c r="C678" s="25">
        <v>45821</v>
      </c>
      <c r="D678" s="25" t="s">
        <v>265</v>
      </c>
      <c r="E678" s="26">
        <v>3910.62</v>
      </c>
      <c r="F678" s="26"/>
      <c r="G678" s="26">
        <v>101981.58</v>
      </c>
      <c r="H678" s="28" t="s">
        <v>16</v>
      </c>
      <c r="I678" s="27" t="s">
        <v>16</v>
      </c>
      <c r="J678" s="17" t="str">
        <f>IF(AND(B678="BT", F678 &gt; 0.03 * SUMIF(B:B, "BT", F:F)), "ITA-C", IF(AND(B678="BT", E678 &gt; 0.03 * SUMIF(B:B, "BT", E:E)), "ITA-D", ""))</f>
        <v/>
      </c>
    </row>
    <row r="679" spans="1:10" x14ac:dyDescent="0.3">
      <c r="A679" s="18">
        <v>678</v>
      </c>
      <c r="B679" s="19" t="s">
        <v>41</v>
      </c>
      <c r="C679" s="20">
        <v>45821</v>
      </c>
      <c r="D679" s="20" t="s">
        <v>193</v>
      </c>
      <c r="E679" s="21"/>
      <c r="F679" s="21">
        <v>500000</v>
      </c>
      <c r="G679" s="21">
        <v>601981.57999999996</v>
      </c>
      <c r="H679" s="23" t="s">
        <v>7</v>
      </c>
      <c r="I679" s="22" t="s">
        <v>7</v>
      </c>
      <c r="J679" s="17" t="str">
        <f>IF(AND(B679="BT", F679 &gt; 0.03 * SUMIF(B:B, "BT", F:F)), "ITA-C", IF(AND(B679="BT", E679 &gt; 0.03 * SUMIF(B:B, "BT", E:E)), "ITA-D", ""))</f>
        <v/>
      </c>
    </row>
    <row r="680" spans="1:10" x14ac:dyDescent="0.3">
      <c r="A680" s="18">
        <v>679</v>
      </c>
      <c r="B680" s="19" t="s">
        <v>41</v>
      </c>
      <c r="C680" s="20">
        <v>45821</v>
      </c>
      <c r="D680" s="20" t="s">
        <v>199</v>
      </c>
      <c r="E680" s="21">
        <v>286139</v>
      </c>
      <c r="F680" s="21"/>
      <c r="G680" s="21">
        <v>315842.58</v>
      </c>
      <c r="H680" s="23" t="s">
        <v>9</v>
      </c>
      <c r="I680" s="22" t="s">
        <v>9</v>
      </c>
      <c r="J680" s="17" t="str">
        <f>IF(AND(B680="BT", F680 &gt; 0.03 * SUMIF(B:B, "BT", F:F)), "ITA-C", IF(AND(B680="BT", E680 &gt; 0.03 * SUMIF(B:B, "BT", E:E)), "ITA-D", ""))</f>
        <v/>
      </c>
    </row>
    <row r="681" spans="1:10" x14ac:dyDescent="0.3">
      <c r="A681" s="18">
        <v>680</v>
      </c>
      <c r="B681" s="19" t="s">
        <v>41</v>
      </c>
      <c r="C681" s="20">
        <v>45821</v>
      </c>
      <c r="D681" s="20" t="s">
        <v>224</v>
      </c>
      <c r="E681" s="21">
        <v>10000</v>
      </c>
      <c r="F681" s="21"/>
      <c r="G681" s="21">
        <v>305842.58</v>
      </c>
      <c r="H681" s="23" t="s">
        <v>13</v>
      </c>
      <c r="I681" s="22" t="s">
        <v>13</v>
      </c>
      <c r="J681" s="17" t="str">
        <f>IF(AND(B681="BT", F681 &gt; 0.03 * SUMIF(B:B, "BT", F:F)), "ITA-C", IF(AND(B681="BT", E681 &gt; 0.03 * SUMIF(B:B, "BT", E:E)), "ITA-D", ""))</f>
        <v/>
      </c>
    </row>
    <row r="682" spans="1:10" x14ac:dyDescent="0.3">
      <c r="A682" s="153">
        <v>681</v>
      </c>
      <c r="B682" s="35" t="s">
        <v>48</v>
      </c>
      <c r="C682" s="36">
        <v>45821</v>
      </c>
      <c r="D682" s="36" t="s">
        <v>271</v>
      </c>
      <c r="E682" s="37"/>
      <c r="F682" s="37">
        <v>20000</v>
      </c>
      <c r="G682" s="37">
        <v>325842.58</v>
      </c>
      <c r="H682" s="39" t="s">
        <v>10</v>
      </c>
      <c r="I682" s="38" t="s">
        <v>10</v>
      </c>
      <c r="J682" s="17" t="str">
        <f>IF(AND(B682="BT", F682 &gt; 0.03 * SUMIF(B:B, "BT", F:F)), "ITA-C", IF(AND(B682="BT", E682 &gt; 0.03 * SUMIF(B:B, "BT", E:E)), "ITA-D", ""))</f>
        <v/>
      </c>
    </row>
    <row r="683" spans="1:10" x14ac:dyDescent="0.3">
      <c r="A683" s="153">
        <v>682</v>
      </c>
      <c r="B683" s="35" t="s">
        <v>48</v>
      </c>
      <c r="C683" s="36">
        <v>45821</v>
      </c>
      <c r="D683" s="36" t="s">
        <v>271</v>
      </c>
      <c r="E683" s="37"/>
      <c r="F683" s="37">
        <v>180000</v>
      </c>
      <c r="G683" s="37">
        <v>505842.58</v>
      </c>
      <c r="H683" s="39" t="s">
        <v>10</v>
      </c>
      <c r="I683" s="38" t="s">
        <v>10</v>
      </c>
      <c r="J683" s="17" t="str">
        <f>IF(AND(B683="BT", F683 &gt; 0.03 * SUMIF(B:B, "BT", F:F)), "ITA-C", IF(AND(B683="BT", E683 &gt; 0.03 * SUMIF(B:B, "BT", E:E)), "ITA-D", ""))</f>
        <v/>
      </c>
    </row>
    <row r="684" spans="1:10" x14ac:dyDescent="0.3">
      <c r="A684" s="18">
        <v>683</v>
      </c>
      <c r="B684" s="19" t="s">
        <v>41</v>
      </c>
      <c r="C684" s="20">
        <v>45821</v>
      </c>
      <c r="D684" s="20" t="s">
        <v>215</v>
      </c>
      <c r="E684" s="21">
        <v>195552</v>
      </c>
      <c r="F684" s="21"/>
      <c r="G684" s="21">
        <v>310290.58</v>
      </c>
      <c r="H684" s="23" t="s">
        <v>13</v>
      </c>
      <c r="I684" s="22" t="s">
        <v>13</v>
      </c>
      <c r="J684" s="17" t="str">
        <f>IF(AND(B684="BT", F684 &gt; 0.03 * SUMIF(B:B, "BT", F:F)), "ITA-C", IF(AND(B684="BT", E684 &gt; 0.03 * SUMIF(B:B, "BT", E:E)), "ITA-D", ""))</f>
        <v/>
      </c>
    </row>
    <row r="685" spans="1:10" x14ac:dyDescent="0.3">
      <c r="A685" s="153">
        <v>684</v>
      </c>
      <c r="B685" s="35" t="s">
        <v>48</v>
      </c>
      <c r="C685" s="36">
        <v>45821</v>
      </c>
      <c r="D685" s="36" t="s">
        <v>276</v>
      </c>
      <c r="E685" s="37">
        <v>10000</v>
      </c>
      <c r="F685" s="37"/>
      <c r="G685" s="37">
        <v>300290.58</v>
      </c>
      <c r="H685" s="39" t="s">
        <v>6</v>
      </c>
      <c r="I685" s="38" t="s">
        <v>6</v>
      </c>
      <c r="J685" s="17" t="str">
        <f>IF(AND(B685="BT", F685 &gt; 0.03 * SUMIF(B:B, "BT", F:F)), "ITA-C", IF(AND(B685="BT", E685 &gt; 0.03 * SUMIF(B:B, "BT", E:E)), "ITA-D", ""))</f>
        <v/>
      </c>
    </row>
    <row r="686" spans="1:10" x14ac:dyDescent="0.3">
      <c r="A686" s="133">
        <v>685</v>
      </c>
      <c r="B686" s="135" t="s">
        <v>44</v>
      </c>
      <c r="C686" s="41">
        <v>45822</v>
      </c>
      <c r="D686" s="134" t="s">
        <v>251</v>
      </c>
      <c r="E686" s="42"/>
      <c r="F686" s="42">
        <v>500000</v>
      </c>
      <c r="G686" s="42">
        <v>800290.58</v>
      </c>
      <c r="H686" s="44" t="s">
        <v>10</v>
      </c>
      <c r="I686" s="43" t="s">
        <v>10</v>
      </c>
      <c r="J686" s="17" t="str">
        <f>IF(AND(B686="BT", F686 &gt; 0.03 * SUMIF(B:B, "BT", F:F)), "ITA-C", IF(AND(B686="BT", E686 &gt; 0.03 * SUMIF(B:B, "BT", E:E)), "ITA-D", ""))</f>
        <v/>
      </c>
    </row>
    <row r="687" spans="1:10" x14ac:dyDescent="0.3">
      <c r="A687" s="18">
        <v>686</v>
      </c>
      <c r="B687" s="24" t="s">
        <v>39</v>
      </c>
      <c r="C687" s="25">
        <v>45822</v>
      </c>
      <c r="D687" s="6" t="s">
        <v>264</v>
      </c>
      <c r="E687" s="26">
        <v>16700</v>
      </c>
      <c r="F687" s="26"/>
      <c r="G687" s="26">
        <v>783590.58</v>
      </c>
      <c r="H687" s="28" t="s">
        <v>14</v>
      </c>
      <c r="I687" s="27" t="s">
        <v>14</v>
      </c>
      <c r="J687" s="17" t="str">
        <f>IF(AND(B687="BT", F687 &gt; 0.03 * SUMIF(B:B, "BT", F:F)), "ITA-C", IF(AND(B687="BT", E687 &gt; 0.03 * SUMIF(B:B, "BT", E:E)), "ITA-D", ""))</f>
        <v/>
      </c>
    </row>
    <row r="688" spans="1:10" x14ac:dyDescent="0.3">
      <c r="A688" s="18">
        <v>687</v>
      </c>
      <c r="B688" s="24" t="s">
        <v>39</v>
      </c>
      <c r="C688" s="25">
        <v>45822</v>
      </c>
      <c r="D688" s="25" t="s">
        <v>263</v>
      </c>
      <c r="E688" s="26">
        <v>22000</v>
      </c>
      <c r="F688" s="26"/>
      <c r="G688" s="26">
        <v>761590.58</v>
      </c>
      <c r="H688" s="28" t="s">
        <v>17</v>
      </c>
      <c r="I688" s="27" t="s">
        <v>17</v>
      </c>
      <c r="J688" s="17" t="str">
        <f>IF(AND(B688="BT", F688 &gt; 0.03 * SUMIF(B:B, "BT", F:F)), "ITA-C", IF(AND(B688="BT", E688 &gt; 0.03 * SUMIF(B:B, "BT", E:E)), "ITA-D", ""))</f>
        <v/>
      </c>
    </row>
    <row r="689" spans="1:10" x14ac:dyDescent="0.3">
      <c r="A689" s="18">
        <v>688</v>
      </c>
      <c r="B689" s="24" t="s">
        <v>39</v>
      </c>
      <c r="C689" s="25">
        <v>45822</v>
      </c>
      <c r="D689" s="25" t="s">
        <v>260</v>
      </c>
      <c r="E689" s="26">
        <v>31000</v>
      </c>
      <c r="F689" s="26"/>
      <c r="G689" s="26">
        <v>730590.58</v>
      </c>
      <c r="H689" s="28" t="s">
        <v>12</v>
      </c>
      <c r="I689" s="27" t="s">
        <v>12</v>
      </c>
      <c r="J689" s="17" t="str">
        <f>IF(AND(B689="BT", F689 &gt; 0.03 * SUMIF(B:B, "BT", F:F)), "ITA-C", IF(AND(B689="BT", E689 &gt; 0.03 * SUMIF(B:B, "BT", E:E)), "ITA-D", ""))</f>
        <v/>
      </c>
    </row>
    <row r="690" spans="1:10" x14ac:dyDescent="0.3">
      <c r="A690" s="18">
        <v>689</v>
      </c>
      <c r="B690" s="19" t="s">
        <v>41</v>
      </c>
      <c r="C690" s="20">
        <v>45822</v>
      </c>
      <c r="D690" s="20" t="s">
        <v>225</v>
      </c>
      <c r="E690" s="21">
        <v>45000</v>
      </c>
      <c r="F690" s="21"/>
      <c r="G690" s="21">
        <v>685590.58</v>
      </c>
      <c r="H690" s="23" t="s">
        <v>13</v>
      </c>
      <c r="I690" s="22" t="s">
        <v>13</v>
      </c>
      <c r="J690" s="17" t="str">
        <f>IF(AND(B690="BT", F690 &gt; 0.03 * SUMIF(B:B, "BT", F:F)), "ITA-C", IF(AND(B690="BT", E690 &gt; 0.03 * SUMIF(B:B, "BT", E:E)), "ITA-D", ""))</f>
        <v/>
      </c>
    </row>
    <row r="691" spans="1:10" x14ac:dyDescent="0.3">
      <c r="A691" s="133">
        <v>690</v>
      </c>
      <c r="B691" s="40" t="s">
        <v>47</v>
      </c>
      <c r="C691" s="41">
        <v>45823</v>
      </c>
      <c r="D691" s="41" t="s">
        <v>245</v>
      </c>
      <c r="E691" s="42">
        <v>25420</v>
      </c>
      <c r="F691" s="42"/>
      <c r="G691" s="42">
        <v>660170.57999999996</v>
      </c>
      <c r="H691" s="44" t="s">
        <v>18</v>
      </c>
      <c r="I691" s="43" t="s">
        <v>18</v>
      </c>
      <c r="J691" s="17" t="str">
        <f>IF(AND(B691="BT", F691 &gt; 0.03 * SUMIF(B:B, "BT", F:F)), "ITA-C", IF(AND(B691="BT", E691 &gt; 0.03 * SUMIF(B:B, "BT", E:E)), "ITA-D", ""))</f>
        <v/>
      </c>
    </row>
    <row r="692" spans="1:10" x14ac:dyDescent="0.3">
      <c r="A692" s="18">
        <v>691</v>
      </c>
      <c r="B692" s="19" t="s">
        <v>41</v>
      </c>
      <c r="C692" s="20">
        <v>45823</v>
      </c>
      <c r="D692" s="20" t="s">
        <v>198</v>
      </c>
      <c r="E692" s="21"/>
      <c r="F692" s="21">
        <v>73500</v>
      </c>
      <c r="G692" s="21">
        <v>733670.58</v>
      </c>
      <c r="H692" s="23" t="s">
        <v>5</v>
      </c>
      <c r="I692" s="22" t="s">
        <v>5</v>
      </c>
      <c r="J692" s="17" t="str">
        <f>IF(AND(B692="BT", F692 &gt; 0.03 * SUMIF(B:B, "BT", F:F)), "ITA-C", IF(AND(B692="BT", E692 &gt; 0.03 * SUMIF(B:B, "BT", E:E)), "ITA-D", ""))</f>
        <v/>
      </c>
    </row>
    <row r="693" spans="1:10" x14ac:dyDescent="0.3">
      <c r="A693" s="133">
        <v>692</v>
      </c>
      <c r="B693" s="40" t="s">
        <v>44</v>
      </c>
      <c r="C693" s="41">
        <v>45824</v>
      </c>
      <c r="D693" s="41" t="s">
        <v>252</v>
      </c>
      <c r="E693" s="42">
        <v>100000</v>
      </c>
      <c r="F693" s="42"/>
      <c r="G693" s="42">
        <v>633670.57999999996</v>
      </c>
      <c r="H693" s="44" t="s">
        <v>26</v>
      </c>
      <c r="I693" s="43" t="s">
        <v>26</v>
      </c>
      <c r="J693" s="17" t="str">
        <f>IF(AND(B693="BT", F693 &gt; 0.03 * SUMIF(B:B, "BT", F:F)), "ITA-C", IF(AND(B693="BT", E693 &gt; 0.03 * SUMIF(B:B, "BT", E:E)), "ITA-D", ""))</f>
        <v/>
      </c>
    </row>
    <row r="694" spans="1:10" x14ac:dyDescent="0.3">
      <c r="A694" s="133">
        <v>693</v>
      </c>
      <c r="B694" s="40" t="s">
        <v>44</v>
      </c>
      <c r="C694" s="41">
        <v>45824</v>
      </c>
      <c r="D694" s="41" t="s">
        <v>257</v>
      </c>
      <c r="E694" s="42">
        <v>150000</v>
      </c>
      <c r="F694" s="42"/>
      <c r="G694" s="42">
        <v>483670.58</v>
      </c>
      <c r="H694" s="44" t="s">
        <v>26</v>
      </c>
      <c r="I694" s="43" t="s">
        <v>26</v>
      </c>
      <c r="J694" s="17" t="str">
        <f>IF(AND(B694="BT", F694 &gt; 0.03 * SUMIF(B:B, "BT", F:F)), "ITA-C", IF(AND(B694="BT", E694 &gt; 0.03 * SUMIF(B:B, "BT", E:E)), "ITA-D", ""))</f>
        <v/>
      </c>
    </row>
    <row r="695" spans="1:10" x14ac:dyDescent="0.3">
      <c r="A695" s="18">
        <v>694</v>
      </c>
      <c r="B695" s="19" t="s">
        <v>41</v>
      </c>
      <c r="C695" s="20">
        <v>45824</v>
      </c>
      <c r="D695" s="20" t="s">
        <v>230</v>
      </c>
      <c r="E695" s="21"/>
      <c r="F695" s="21">
        <v>134548</v>
      </c>
      <c r="G695" s="21">
        <v>618218.57999999996</v>
      </c>
      <c r="H695" s="23" t="s">
        <v>5</v>
      </c>
      <c r="I695" s="22" t="s">
        <v>5</v>
      </c>
      <c r="J695" s="17" t="str">
        <f>IF(AND(B695="BT", F695 &gt; 0.03 * SUMIF(B:B, "BT", F:F)), "ITA-C", IF(AND(B695="BT", E695 &gt; 0.03 * SUMIF(B:B, "BT", E:E)), "ITA-D", ""))</f>
        <v/>
      </c>
    </row>
    <row r="696" spans="1:10" x14ac:dyDescent="0.3">
      <c r="A696" s="18">
        <v>695</v>
      </c>
      <c r="B696" s="19" t="s">
        <v>41</v>
      </c>
      <c r="C696" s="20">
        <v>45824</v>
      </c>
      <c r="D696" s="20" t="s">
        <v>230</v>
      </c>
      <c r="E696" s="21"/>
      <c r="F696" s="21">
        <v>80001</v>
      </c>
      <c r="G696" s="21">
        <v>698219.58</v>
      </c>
      <c r="H696" s="23" t="s">
        <v>5</v>
      </c>
      <c r="I696" s="22" t="s">
        <v>5</v>
      </c>
      <c r="J696" s="17" t="str">
        <f>IF(AND(B696="BT", F696 &gt; 0.03 * SUMIF(B:B, "BT", F:F)), "ITA-C", IF(AND(B696="BT", E696 &gt; 0.03 * SUMIF(B:B, "BT", E:E)), "ITA-D", ""))</f>
        <v/>
      </c>
    </row>
    <row r="697" spans="1:10" x14ac:dyDescent="0.3">
      <c r="A697" s="133">
        <v>696</v>
      </c>
      <c r="B697" s="40" t="s">
        <v>44</v>
      </c>
      <c r="C697" s="41">
        <v>45824</v>
      </c>
      <c r="D697" s="134" t="s">
        <v>250</v>
      </c>
      <c r="E697" s="42"/>
      <c r="F697" s="42">
        <v>1000000</v>
      </c>
      <c r="G697" s="42">
        <v>1698219.58</v>
      </c>
      <c r="H697" s="44" t="s">
        <v>7</v>
      </c>
      <c r="I697" s="43" t="s">
        <v>7</v>
      </c>
      <c r="J697" s="17" t="str">
        <f>IF(AND(B697="BT", F697 &gt; 0.03 * SUMIF(B:B, "BT", F:F)), "ITA-C", IF(AND(B697="BT", E697 &gt; 0.03 * SUMIF(B:B, "BT", E:E)), "ITA-D", ""))</f>
        <v/>
      </c>
    </row>
    <row r="698" spans="1:10" x14ac:dyDescent="0.3">
      <c r="A698" s="18">
        <v>697</v>
      </c>
      <c r="B698" s="19" t="s">
        <v>41</v>
      </c>
      <c r="C698" s="20">
        <v>45824</v>
      </c>
      <c r="D698" s="20" t="s">
        <v>227</v>
      </c>
      <c r="E698" s="21"/>
      <c r="F698" s="21">
        <v>300300</v>
      </c>
      <c r="G698" s="21">
        <v>1998519.58</v>
      </c>
      <c r="H698" s="23" t="s">
        <v>5</v>
      </c>
      <c r="I698" s="22" t="s">
        <v>5</v>
      </c>
      <c r="J698" s="17" t="str">
        <f>IF(AND(B698="BT", F698 &gt; 0.03 * SUMIF(B:B, "BT", F:F)), "ITA-C", IF(AND(B698="BT", E698 &gt; 0.03 * SUMIF(B:B, "BT", E:E)), "ITA-D", ""))</f>
        <v/>
      </c>
    </row>
    <row r="699" spans="1:10" x14ac:dyDescent="0.3">
      <c r="A699" s="153">
        <v>698</v>
      </c>
      <c r="B699" s="35" t="s">
        <v>48</v>
      </c>
      <c r="C699" s="36">
        <v>45824</v>
      </c>
      <c r="D699" s="36" t="s">
        <v>270</v>
      </c>
      <c r="E699" s="37">
        <v>1700000</v>
      </c>
      <c r="F699" s="37"/>
      <c r="G699" s="37">
        <v>298519.58</v>
      </c>
      <c r="H699" s="39" t="s">
        <v>9</v>
      </c>
      <c r="I699" s="38" t="s">
        <v>9</v>
      </c>
      <c r="J699" s="17" t="str">
        <f>IF(AND(B699="BT", F699 &gt; 0.03 * SUMIF(B:B, "BT", F:F)), "ITA-C", IF(AND(B699="BT", E699 &gt; 0.03 * SUMIF(B:B, "BT", E:E)), "ITA-D", ""))</f>
        <v/>
      </c>
    </row>
    <row r="700" spans="1:10" x14ac:dyDescent="0.3">
      <c r="A700" s="18">
        <v>699</v>
      </c>
      <c r="B700" s="19" t="s">
        <v>41</v>
      </c>
      <c r="C700" s="20">
        <v>45824</v>
      </c>
      <c r="D700" s="20" t="s">
        <v>221</v>
      </c>
      <c r="E700" s="21"/>
      <c r="F700" s="21">
        <v>45500</v>
      </c>
      <c r="G700" s="21">
        <v>344019.58</v>
      </c>
      <c r="H700" s="23" t="s">
        <v>5</v>
      </c>
      <c r="I700" s="22" t="s">
        <v>5</v>
      </c>
      <c r="J700" s="17" t="str">
        <f>IF(AND(B700="BT", F700 &gt; 0.03 * SUMIF(B:B, "BT", F:F)), "ITA-C", IF(AND(B700="BT", E700 &gt; 0.03 * SUMIF(B:B, "BT", E:E)), "ITA-D", ""))</f>
        <v/>
      </c>
    </row>
    <row r="701" spans="1:10" x14ac:dyDescent="0.3">
      <c r="A701" s="153">
        <v>700</v>
      </c>
      <c r="B701" s="154" t="s">
        <v>48</v>
      </c>
      <c r="C701" s="36">
        <v>45824</v>
      </c>
      <c r="D701" s="36" t="s">
        <v>275</v>
      </c>
      <c r="E701" s="37">
        <v>72030</v>
      </c>
      <c r="F701" s="37"/>
      <c r="G701" s="37">
        <v>271989.58</v>
      </c>
      <c r="H701" s="39" t="s">
        <v>13</v>
      </c>
      <c r="I701" s="38" t="s">
        <v>13</v>
      </c>
      <c r="J701" s="17" t="str">
        <f>IF(AND(B701="BT", F701 &gt; 0.03 * SUMIF(B:B, "BT", F:F)), "ITA-C", IF(AND(B701="BT", E701 &gt; 0.03 * SUMIF(B:B, "BT", E:E)), "ITA-D", ""))</f>
        <v/>
      </c>
    </row>
    <row r="702" spans="1:10" x14ac:dyDescent="0.3">
      <c r="A702" s="133">
        <v>701</v>
      </c>
      <c r="B702" s="40" t="s">
        <v>44</v>
      </c>
      <c r="C702" s="41">
        <v>45824</v>
      </c>
      <c r="D702" s="41" t="s">
        <v>254</v>
      </c>
      <c r="E702" s="42"/>
      <c r="F702" s="42">
        <v>2400000</v>
      </c>
      <c r="G702" s="42">
        <v>2671989.58</v>
      </c>
      <c r="H702" s="44" t="s">
        <v>7</v>
      </c>
      <c r="I702" s="43" t="s">
        <v>7</v>
      </c>
      <c r="J702" s="17" t="str">
        <f>IF(AND(B702="BT", F702 &gt; 0.03 * SUMIF(B:B, "BT", F:F)), "ITA-C", IF(AND(B702="BT", E702 &gt; 0.03 * SUMIF(B:B, "BT", E:E)), "ITA-D", ""))</f>
        <v/>
      </c>
    </row>
    <row r="703" spans="1:10" x14ac:dyDescent="0.3">
      <c r="A703" s="18">
        <v>702</v>
      </c>
      <c r="B703" s="19" t="s">
        <v>41</v>
      </c>
      <c r="C703" s="20">
        <v>45824</v>
      </c>
      <c r="D703" s="20" t="s">
        <v>203</v>
      </c>
      <c r="E703" s="21">
        <v>268200</v>
      </c>
      <c r="F703" s="21"/>
      <c r="G703" s="21">
        <v>2403789.58</v>
      </c>
      <c r="H703" s="23" t="s">
        <v>9</v>
      </c>
      <c r="I703" s="22" t="s">
        <v>9</v>
      </c>
      <c r="J703" s="17" t="str">
        <f>IF(AND(B703="BT", F703 &gt; 0.03 * SUMIF(B:B, "BT", F:F)), "ITA-C", IF(AND(B703="BT", E703 &gt; 0.03 * SUMIF(B:B, "BT", E:E)), "ITA-D", ""))</f>
        <v/>
      </c>
    </row>
    <row r="704" spans="1:10" x14ac:dyDescent="0.3">
      <c r="A704" s="18">
        <v>703</v>
      </c>
      <c r="B704" s="19" t="s">
        <v>41</v>
      </c>
      <c r="C704" s="20">
        <v>45824</v>
      </c>
      <c r="D704" s="20" t="s">
        <v>226</v>
      </c>
      <c r="E704" s="21">
        <v>401625</v>
      </c>
      <c r="F704" s="21"/>
      <c r="G704" s="21">
        <v>2002164.58</v>
      </c>
      <c r="H704" s="23" t="s">
        <v>9</v>
      </c>
      <c r="I704" s="22" t="s">
        <v>9</v>
      </c>
      <c r="J704" s="17" t="str">
        <f>IF(AND(B704="BT", F704 &gt; 0.03 * SUMIF(B:B, "BT", F:F)), "ITA-C", IF(AND(B704="BT", E704 &gt; 0.03 * SUMIF(B:B, "BT", E:E)), "ITA-D", ""))</f>
        <v/>
      </c>
    </row>
    <row r="705" spans="1:10" x14ac:dyDescent="0.3">
      <c r="A705" s="153">
        <v>704</v>
      </c>
      <c r="B705" s="35" t="s">
        <v>48</v>
      </c>
      <c r="C705" s="36">
        <v>45824</v>
      </c>
      <c r="D705" s="36" t="s">
        <v>271</v>
      </c>
      <c r="E705" s="37">
        <v>10000</v>
      </c>
      <c r="F705" s="37"/>
      <c r="G705" s="37">
        <v>1992164.58</v>
      </c>
      <c r="H705" s="39" t="s">
        <v>25</v>
      </c>
      <c r="I705" s="38" t="s">
        <v>25</v>
      </c>
      <c r="J705" s="17" t="str">
        <f>IF(AND(B705="BT", F705 &gt; 0.03 * SUMIF(B:B, "BT", F:F)), "ITA-C", IF(AND(B705="BT", E705 &gt; 0.03 * SUMIF(B:B, "BT", E:E)), "ITA-D", ""))</f>
        <v/>
      </c>
    </row>
    <row r="706" spans="1:10" x14ac:dyDescent="0.3">
      <c r="A706" s="18">
        <v>705</v>
      </c>
      <c r="B706" s="19" t="s">
        <v>41</v>
      </c>
      <c r="C706" s="20">
        <v>45824</v>
      </c>
      <c r="D706" s="20" t="s">
        <v>209</v>
      </c>
      <c r="E706" s="21">
        <v>249600</v>
      </c>
      <c r="F706" s="21"/>
      <c r="G706" s="21">
        <v>1742564.58</v>
      </c>
      <c r="H706" s="23" t="s">
        <v>9</v>
      </c>
      <c r="I706" s="22" t="s">
        <v>9</v>
      </c>
      <c r="J706" s="17" t="str">
        <f>IF(AND(B706="BT", F706 &gt; 0.03 * SUMIF(B:B, "BT", F:F)), "ITA-C", IF(AND(B706="BT", E706 &gt; 0.03 * SUMIF(B:B, "BT", E:E)), "ITA-D", ""))</f>
        <v/>
      </c>
    </row>
    <row r="707" spans="1:10" x14ac:dyDescent="0.3">
      <c r="A707" s="18">
        <v>706</v>
      </c>
      <c r="B707" s="19" t="s">
        <v>41</v>
      </c>
      <c r="C707" s="20">
        <v>45824</v>
      </c>
      <c r="D707" s="20" t="s">
        <v>216</v>
      </c>
      <c r="E707" s="21">
        <v>50000</v>
      </c>
      <c r="F707" s="21"/>
      <c r="G707" s="21">
        <v>1692564.58</v>
      </c>
      <c r="H707" s="23" t="s">
        <v>13</v>
      </c>
      <c r="I707" s="22" t="s">
        <v>13</v>
      </c>
      <c r="J707" s="17" t="str">
        <f>IF(AND(B707="BT", F707 &gt; 0.03 * SUMIF(B:B, "BT", F:F)), "ITA-C", IF(AND(B707="BT", E707 &gt; 0.03 * SUMIF(B:B, "BT", E:E)), "ITA-D", ""))</f>
        <v/>
      </c>
    </row>
    <row r="708" spans="1:10" x14ac:dyDescent="0.3">
      <c r="A708" s="133">
        <v>707</v>
      </c>
      <c r="B708" s="135" t="s">
        <v>44</v>
      </c>
      <c r="C708" s="41">
        <v>45824</v>
      </c>
      <c r="D708" s="134" t="s">
        <v>251</v>
      </c>
      <c r="E708" s="42"/>
      <c r="F708" s="42">
        <v>500000</v>
      </c>
      <c r="G708" s="42">
        <v>2192564.58</v>
      </c>
      <c r="H708" s="44" t="s">
        <v>10</v>
      </c>
      <c r="I708" s="43" t="s">
        <v>10</v>
      </c>
      <c r="J708" s="17" t="str">
        <f>IF(AND(B708="BT", F708 &gt; 0.03 * SUMIF(B:B, "BT", F:F)), "ITA-C", IF(AND(B708="BT", E708 &gt; 0.03 * SUMIF(B:B, "BT", E:E)), "ITA-D", ""))</f>
        <v/>
      </c>
    </row>
    <row r="709" spans="1:10" x14ac:dyDescent="0.3">
      <c r="A709" s="18">
        <v>708</v>
      </c>
      <c r="B709" s="19" t="s">
        <v>41</v>
      </c>
      <c r="C709" s="20">
        <v>45824</v>
      </c>
      <c r="D709" s="20" t="s">
        <v>234</v>
      </c>
      <c r="E709" s="21">
        <v>100000</v>
      </c>
      <c r="F709" s="21"/>
      <c r="G709" s="21">
        <v>2092564.58</v>
      </c>
      <c r="H709" s="23" t="s">
        <v>6</v>
      </c>
      <c r="I709" s="22" t="s">
        <v>6</v>
      </c>
      <c r="J709" s="17" t="str">
        <f>IF(AND(B709="BT", F709 &gt; 0.03 * SUMIF(B:B, "BT", F:F)), "ITA-C", IF(AND(B709="BT", E709 &gt; 0.03 * SUMIF(B:B, "BT", E:E)), "ITA-D", ""))</f>
        <v/>
      </c>
    </row>
    <row r="710" spans="1:10" x14ac:dyDescent="0.3">
      <c r="A710" s="18">
        <v>709</v>
      </c>
      <c r="B710" s="19" t="s">
        <v>41</v>
      </c>
      <c r="C710" s="20">
        <v>45825</v>
      </c>
      <c r="D710" s="20" t="s">
        <v>231</v>
      </c>
      <c r="E710" s="21">
        <v>43425</v>
      </c>
      <c r="F710" s="21"/>
      <c r="G710" s="21">
        <v>2049139.58</v>
      </c>
      <c r="H710" s="23" t="s">
        <v>26</v>
      </c>
      <c r="I710" s="22" t="s">
        <v>26</v>
      </c>
      <c r="J710" s="17" t="str">
        <f>IF(AND(B710="BT", F710 &gt; 0.03 * SUMIF(B:B, "BT", F:F)), "ITA-C", IF(AND(B710="BT", E710 &gt; 0.03 * SUMIF(B:B, "BT", E:E)), "ITA-D", ""))</f>
        <v/>
      </c>
    </row>
    <row r="711" spans="1:10" x14ac:dyDescent="0.3">
      <c r="A711" s="153">
        <v>710</v>
      </c>
      <c r="B711" s="35" t="s">
        <v>48</v>
      </c>
      <c r="C711" s="36">
        <v>45825</v>
      </c>
      <c r="D711" s="36" t="s">
        <v>270</v>
      </c>
      <c r="E711" s="37">
        <v>500000</v>
      </c>
      <c r="F711" s="37"/>
      <c r="G711" s="37">
        <v>1549139.58</v>
      </c>
      <c r="H711" s="39" t="s">
        <v>25</v>
      </c>
      <c r="I711" s="38" t="s">
        <v>25</v>
      </c>
      <c r="J711" s="17" t="str">
        <f>IF(AND(B711="BT", F711 &gt; 0.03 * SUMIF(B:B, "BT", F:F)), "ITA-C", IF(AND(B711="BT", E711 &gt; 0.03 * SUMIF(B:B, "BT", E:E)), "ITA-D", ""))</f>
        <v/>
      </c>
    </row>
    <row r="712" spans="1:10" x14ac:dyDescent="0.3">
      <c r="A712" s="18">
        <v>711</v>
      </c>
      <c r="B712" s="19" t="s">
        <v>41</v>
      </c>
      <c r="C712" s="20">
        <v>45825</v>
      </c>
      <c r="D712" s="20" t="s">
        <v>52</v>
      </c>
      <c r="E712" s="21"/>
      <c r="F712" s="21">
        <v>24000</v>
      </c>
      <c r="G712" s="21">
        <v>1573139.58</v>
      </c>
      <c r="H712" s="23" t="s">
        <v>10</v>
      </c>
      <c r="I712" s="22" t="s">
        <v>10</v>
      </c>
      <c r="J712" s="177" t="str">
        <f>IF(AND(B712="BT", F712 &gt; 0.03 * SUMIF(B:B, "BT", F:F)), "ITA-C", IF(AND(B712="BT", E712 &gt; 0.03 * SUMIF(B:B, "BT", E:E)), "ITA-D", ""))</f>
        <v/>
      </c>
    </row>
    <row r="713" spans="1:10" x14ac:dyDescent="0.3">
      <c r="A713" s="18">
        <v>712</v>
      </c>
      <c r="B713" s="19" t="s">
        <v>41</v>
      </c>
      <c r="C713" s="20">
        <v>45825</v>
      </c>
      <c r="D713" s="20" t="s">
        <v>219</v>
      </c>
      <c r="E713" s="21">
        <v>55000</v>
      </c>
      <c r="F713" s="21"/>
      <c r="G713" s="21">
        <v>1518139.58</v>
      </c>
      <c r="H713" s="23" t="s">
        <v>13</v>
      </c>
      <c r="I713" s="22" t="s">
        <v>13</v>
      </c>
      <c r="J713" s="17" t="str">
        <f>IF(AND(B713="BT", F713 &gt; 0.03 * SUMIF(B:B, "BT", F:F)), "ITA-C", IF(AND(B713="BT", E713 &gt; 0.03 * SUMIF(B:B, "BT", E:E)), "ITA-D", ""))</f>
        <v/>
      </c>
    </row>
    <row r="714" spans="1:10" x14ac:dyDescent="0.3">
      <c r="A714" s="18">
        <v>713</v>
      </c>
      <c r="B714" s="19" t="s">
        <v>41</v>
      </c>
      <c r="C714" s="20">
        <v>45825</v>
      </c>
      <c r="D714" s="20" t="s">
        <v>239</v>
      </c>
      <c r="E714" s="21">
        <v>100000</v>
      </c>
      <c r="F714" s="21"/>
      <c r="G714" s="21">
        <v>1418139.58</v>
      </c>
      <c r="H714" s="23" t="s">
        <v>26</v>
      </c>
      <c r="I714" s="22" t="s">
        <v>26</v>
      </c>
      <c r="J714" s="17" t="str">
        <f>IF(AND(B714="BT", F714 &gt; 0.03 * SUMIF(B:B, "BT", F:F)), "ITA-C", IF(AND(B714="BT", E714 &gt; 0.03 * SUMIF(B:B, "BT", E:E)), "ITA-D", ""))</f>
        <v/>
      </c>
    </row>
    <row r="715" spans="1:10" x14ac:dyDescent="0.3">
      <c r="A715" s="18">
        <v>714</v>
      </c>
      <c r="B715" s="19" t="s">
        <v>41</v>
      </c>
      <c r="C715" s="20">
        <v>45825</v>
      </c>
      <c r="D715" s="20" t="s">
        <v>52</v>
      </c>
      <c r="E715" s="21">
        <v>1200</v>
      </c>
      <c r="F715" s="21"/>
      <c r="G715" s="21">
        <v>1416939.58</v>
      </c>
      <c r="H715" s="23" t="s">
        <v>6</v>
      </c>
      <c r="I715" s="22" t="s">
        <v>6</v>
      </c>
      <c r="J715" s="177" t="str">
        <f>IF(AND(B715="BT", F715 &gt; 0.03 * SUMIF(B:B, "BT", F:F)), "ITA-C", IF(AND(B715="BT", E715 &gt; 0.03 * SUMIF(B:B, "BT", E:E)), "ITA-D", ""))</f>
        <v/>
      </c>
    </row>
    <row r="716" spans="1:10" x14ac:dyDescent="0.3">
      <c r="A716" s="153">
        <v>715</v>
      </c>
      <c r="B716" s="35" t="s">
        <v>48</v>
      </c>
      <c r="C716" s="36">
        <v>45825</v>
      </c>
      <c r="D716" s="36" t="s">
        <v>271</v>
      </c>
      <c r="E716" s="37">
        <v>6000</v>
      </c>
      <c r="F716" s="37"/>
      <c r="G716" s="37">
        <v>1410939.58</v>
      </c>
      <c r="H716" s="39" t="s">
        <v>25</v>
      </c>
      <c r="I716" s="38" t="s">
        <v>25</v>
      </c>
      <c r="J716" s="17" t="str">
        <f>IF(AND(B716="BT", F716 &gt; 0.03 * SUMIF(B:B, "BT", F:F)), "ITA-C", IF(AND(B716="BT", E716 &gt; 0.03 * SUMIF(B:B, "BT", E:E)), "ITA-D", ""))</f>
        <v/>
      </c>
    </row>
    <row r="717" spans="1:10" x14ac:dyDescent="0.3">
      <c r="A717" s="153">
        <v>716</v>
      </c>
      <c r="B717" s="154" t="s">
        <v>48</v>
      </c>
      <c r="C717" s="36">
        <v>45826</v>
      </c>
      <c r="D717" s="36" t="s">
        <v>275</v>
      </c>
      <c r="E717" s="37">
        <v>134400</v>
      </c>
      <c r="F717" s="37"/>
      <c r="G717" s="37">
        <v>1276539.58</v>
      </c>
      <c r="H717" s="39" t="s">
        <v>13</v>
      </c>
      <c r="I717" s="38" t="s">
        <v>13</v>
      </c>
      <c r="J717" s="17" t="str">
        <f>IF(AND(B717="BT", F717 &gt; 0.03 * SUMIF(B:B, "BT", F:F)), "ITA-C", IF(AND(B717="BT", E717 &gt; 0.03 * SUMIF(B:B, "BT", E:E)), "ITA-D", ""))</f>
        <v/>
      </c>
    </row>
    <row r="718" spans="1:10" x14ac:dyDescent="0.3">
      <c r="A718" s="153">
        <v>717</v>
      </c>
      <c r="B718" s="35" t="s">
        <v>48</v>
      </c>
      <c r="C718" s="36">
        <v>45826</v>
      </c>
      <c r="D718" s="36" t="s">
        <v>271</v>
      </c>
      <c r="E718" s="37">
        <v>30000</v>
      </c>
      <c r="F718" s="37"/>
      <c r="G718" s="37">
        <v>1246539.58</v>
      </c>
      <c r="H718" s="39" t="s">
        <v>15</v>
      </c>
      <c r="I718" s="38" t="s">
        <v>13</v>
      </c>
      <c r="J718" s="17" t="str">
        <f>IF(AND(B718="BT", F718 &gt; 0.03 * SUMIF(B:B, "BT", F:F)), "ITA-C", IF(AND(B718="BT", E718 &gt; 0.03 * SUMIF(B:B, "BT", E:E)), "ITA-D", ""))</f>
        <v/>
      </c>
    </row>
    <row r="719" spans="1:10" x14ac:dyDescent="0.3">
      <c r="A719" s="18">
        <v>718</v>
      </c>
      <c r="B719" s="19" t="s">
        <v>41</v>
      </c>
      <c r="C719" s="20">
        <v>45826</v>
      </c>
      <c r="D719" s="20" t="s">
        <v>230</v>
      </c>
      <c r="E719" s="21"/>
      <c r="F719" s="21">
        <v>159851</v>
      </c>
      <c r="G719" s="21">
        <v>1406390.58</v>
      </c>
      <c r="H719" s="23" t="s">
        <v>5</v>
      </c>
      <c r="I719" s="22" t="s">
        <v>5</v>
      </c>
      <c r="J719" s="17" t="str">
        <f>IF(AND(B719="BT", F719 &gt; 0.03 * SUMIF(B:B, "BT", F:F)), "ITA-C", IF(AND(B719="BT", E719 &gt; 0.03 * SUMIF(B:B, "BT", E:E)), "ITA-D", ""))</f>
        <v/>
      </c>
    </row>
    <row r="720" spans="1:10" x14ac:dyDescent="0.3">
      <c r="A720" s="18">
        <v>719</v>
      </c>
      <c r="B720" s="19" t="s">
        <v>41</v>
      </c>
      <c r="C720" s="20">
        <v>45826</v>
      </c>
      <c r="D720" s="20" t="s">
        <v>52</v>
      </c>
      <c r="E720" s="21"/>
      <c r="F720" s="21">
        <v>1</v>
      </c>
      <c r="G720" s="21">
        <v>1406391.58</v>
      </c>
      <c r="H720" s="23" t="s">
        <v>10</v>
      </c>
      <c r="I720" s="22" t="s">
        <v>10</v>
      </c>
      <c r="J720" s="177" t="str">
        <f>IF(AND(B720="BT", F720 &gt; 0.03 * SUMIF(B:B, "BT", F:F)), "ITA-C", IF(AND(B720="BT", E720 &gt; 0.03 * SUMIF(B:B, "BT", E:E)), "ITA-D", ""))</f>
        <v/>
      </c>
    </row>
    <row r="721" spans="1:10" x14ac:dyDescent="0.3">
      <c r="A721" s="18">
        <v>720</v>
      </c>
      <c r="B721" s="19" t="s">
        <v>41</v>
      </c>
      <c r="C721" s="20">
        <v>45826</v>
      </c>
      <c r="D721" s="121" t="s">
        <v>207</v>
      </c>
      <c r="E721" s="21">
        <v>41924</v>
      </c>
      <c r="F721" s="21"/>
      <c r="G721" s="21">
        <v>1364467.58</v>
      </c>
      <c r="H721" s="23" t="s">
        <v>13</v>
      </c>
      <c r="I721" s="22" t="s">
        <v>13</v>
      </c>
      <c r="J721" s="17" t="str">
        <f>IF(AND(B721="BT", F721 &gt; 0.03 * SUMIF(B:B, "BT", F:F)), "ITA-C", IF(AND(B721="BT", E721 &gt; 0.03 * SUMIF(B:B, "BT", E:E)), "ITA-D", ""))</f>
        <v/>
      </c>
    </row>
    <row r="722" spans="1:10" x14ac:dyDescent="0.3">
      <c r="A722" s="18">
        <v>721</v>
      </c>
      <c r="B722" s="19" t="s">
        <v>41</v>
      </c>
      <c r="C722" s="20">
        <v>45826</v>
      </c>
      <c r="D722" s="20" t="s">
        <v>216</v>
      </c>
      <c r="E722" s="21">
        <v>50000</v>
      </c>
      <c r="F722" s="21"/>
      <c r="G722" s="21">
        <v>1314467.58</v>
      </c>
      <c r="H722" s="23" t="s">
        <v>13</v>
      </c>
      <c r="I722" s="22" t="s">
        <v>13</v>
      </c>
      <c r="J722" s="17" t="str">
        <f>IF(AND(B722="BT", F722 &gt; 0.03 * SUMIF(B:B, "BT", F:F)), "ITA-C", IF(AND(B722="BT", E722 &gt; 0.03 * SUMIF(B:B, "BT", E:E)), "ITA-D", ""))</f>
        <v/>
      </c>
    </row>
    <row r="723" spans="1:10" x14ac:dyDescent="0.3">
      <c r="A723" s="18">
        <v>722</v>
      </c>
      <c r="B723" s="19" t="s">
        <v>41</v>
      </c>
      <c r="C723" s="20">
        <v>45826</v>
      </c>
      <c r="D723" s="20" t="s">
        <v>52</v>
      </c>
      <c r="E723" s="21">
        <v>2801.3</v>
      </c>
      <c r="F723" s="21"/>
      <c r="G723" s="21">
        <v>1311666.28</v>
      </c>
      <c r="H723" s="23" t="s">
        <v>6</v>
      </c>
      <c r="I723" s="22" t="s">
        <v>6</v>
      </c>
      <c r="J723" s="177" t="str">
        <f>IF(AND(B723="BT", F723 &gt; 0.03 * SUMIF(B:B, "BT", F:F)), "ITA-C", IF(AND(B723="BT", E723 &gt; 0.03 * SUMIF(B:B, "BT", E:E)), "ITA-D", ""))</f>
        <v/>
      </c>
    </row>
    <row r="724" spans="1:10" x14ac:dyDescent="0.3">
      <c r="A724" s="18">
        <v>723</v>
      </c>
      <c r="B724" s="19" t="s">
        <v>41</v>
      </c>
      <c r="C724" s="20">
        <v>45827</v>
      </c>
      <c r="D724" s="20" t="s">
        <v>222</v>
      </c>
      <c r="E724" s="21">
        <v>98700</v>
      </c>
      <c r="F724" s="21"/>
      <c r="G724" s="21">
        <v>1212966.28</v>
      </c>
      <c r="H724" s="23" t="s">
        <v>26</v>
      </c>
      <c r="I724" s="22" t="s">
        <v>26</v>
      </c>
      <c r="J724" s="17" t="str">
        <f>IF(AND(B724="BT", F724 &gt; 0.03 * SUMIF(B:B, "BT", F:F)), "ITA-C", IF(AND(B724="BT", E724 &gt; 0.03 * SUMIF(B:B, "BT", E:E)), "ITA-D", ""))</f>
        <v/>
      </c>
    </row>
    <row r="725" spans="1:10" x14ac:dyDescent="0.3">
      <c r="A725" s="18">
        <v>724</v>
      </c>
      <c r="B725" s="19" t="s">
        <v>41</v>
      </c>
      <c r="C725" s="20">
        <v>45827</v>
      </c>
      <c r="D725" s="20" t="s">
        <v>52</v>
      </c>
      <c r="E725" s="21">
        <v>10000</v>
      </c>
      <c r="F725" s="21"/>
      <c r="G725" s="21">
        <v>1202966.28</v>
      </c>
      <c r="H725" s="23" t="s">
        <v>13</v>
      </c>
      <c r="I725" s="22" t="s">
        <v>13</v>
      </c>
      <c r="J725" s="177" t="str">
        <f>IF(AND(B725="BT", F725 &gt; 0.03 * SUMIF(B:B, "BT", F:F)), "ITA-C", IF(AND(B725="BT", E725 &gt; 0.03 * SUMIF(B:B, "BT", E:E)), "ITA-D", ""))</f>
        <v/>
      </c>
    </row>
    <row r="726" spans="1:10" x14ac:dyDescent="0.3">
      <c r="A726" s="18">
        <v>725</v>
      </c>
      <c r="B726" s="19" t="s">
        <v>41</v>
      </c>
      <c r="C726" s="20">
        <v>45827</v>
      </c>
      <c r="D726" s="20" t="s">
        <v>193</v>
      </c>
      <c r="E726" s="21"/>
      <c r="F726" s="21">
        <v>500000</v>
      </c>
      <c r="G726" s="21">
        <v>1702966.28</v>
      </c>
      <c r="H726" s="23" t="s">
        <v>7</v>
      </c>
      <c r="I726" s="22" t="s">
        <v>7</v>
      </c>
      <c r="J726" s="17" t="str">
        <f>IF(AND(B726="BT", F726 &gt; 0.03 * SUMIF(B:B, "BT", F:F)), "ITA-C", IF(AND(B726="BT", E726 &gt; 0.03 * SUMIF(B:B, "BT", E:E)), "ITA-D", ""))</f>
        <v/>
      </c>
    </row>
    <row r="727" spans="1:10" x14ac:dyDescent="0.3">
      <c r="A727" s="153">
        <v>726</v>
      </c>
      <c r="B727" s="35" t="s">
        <v>48</v>
      </c>
      <c r="C727" s="36">
        <v>45827</v>
      </c>
      <c r="D727" s="36" t="s">
        <v>271</v>
      </c>
      <c r="E727" s="37">
        <v>15000</v>
      </c>
      <c r="F727" s="37"/>
      <c r="G727" s="37">
        <v>1687966.28</v>
      </c>
      <c r="H727" s="39" t="s">
        <v>25</v>
      </c>
      <c r="I727" s="38" t="s">
        <v>25</v>
      </c>
      <c r="J727" s="17" t="str">
        <f>IF(AND(B727="BT", F727 &gt; 0.03 * SUMIF(B:B, "BT", F:F)), "ITA-C", IF(AND(B727="BT", E727 &gt; 0.03 * SUMIF(B:B, "BT", E:E)), "ITA-D", ""))</f>
        <v/>
      </c>
    </row>
    <row r="728" spans="1:10" s="34" customFormat="1" x14ac:dyDescent="0.3">
      <c r="A728" s="18">
        <v>727</v>
      </c>
      <c r="B728" s="19" t="s">
        <v>41</v>
      </c>
      <c r="C728" s="20">
        <v>45827</v>
      </c>
      <c r="D728" s="20" t="s">
        <v>227</v>
      </c>
      <c r="E728" s="21"/>
      <c r="F728" s="21">
        <v>237090</v>
      </c>
      <c r="G728" s="21">
        <v>1925056.28</v>
      </c>
      <c r="H728" s="23" t="s">
        <v>5</v>
      </c>
      <c r="I728" s="22" t="s">
        <v>5</v>
      </c>
      <c r="J728" s="17" t="str">
        <f>IF(AND(B728="BT", F728 &gt; 0.03 * SUMIF(B:B, "BT", F:F)), "ITA-C", IF(AND(B728="BT", E728 &gt; 0.03 * SUMIF(B:B, "BT", E:E)), "ITA-D", ""))</f>
        <v/>
      </c>
    </row>
    <row r="729" spans="1:10" x14ac:dyDescent="0.3">
      <c r="A729" s="18">
        <v>728</v>
      </c>
      <c r="B729" s="19" t="s">
        <v>41</v>
      </c>
      <c r="C729" s="20">
        <v>45827</v>
      </c>
      <c r="D729" s="20" t="s">
        <v>233</v>
      </c>
      <c r="E729" s="21">
        <v>33211</v>
      </c>
      <c r="F729" s="21"/>
      <c r="G729" s="21">
        <v>1891845.28</v>
      </c>
      <c r="H729" s="23" t="s">
        <v>13</v>
      </c>
      <c r="I729" s="22" t="s">
        <v>13</v>
      </c>
      <c r="J729" s="17" t="str">
        <f>IF(AND(B729="BT", F729 &gt; 0.03 * SUMIF(B:B, "BT", F:F)), "ITA-C", IF(AND(B729="BT", E729 &gt; 0.03 * SUMIF(B:B, "BT", E:E)), "ITA-D", ""))</f>
        <v/>
      </c>
    </row>
    <row r="730" spans="1:10" x14ac:dyDescent="0.3">
      <c r="A730" s="18">
        <v>729</v>
      </c>
      <c r="B730" s="19" t="s">
        <v>41</v>
      </c>
      <c r="C730" s="20">
        <v>45827</v>
      </c>
      <c r="D730" s="20" t="s">
        <v>52</v>
      </c>
      <c r="E730" s="21"/>
      <c r="F730" s="21">
        <v>4500</v>
      </c>
      <c r="G730" s="21">
        <v>1896345.28</v>
      </c>
      <c r="H730" s="23" t="s">
        <v>8</v>
      </c>
      <c r="I730" s="22" t="s">
        <v>8</v>
      </c>
      <c r="J730" s="177" t="str">
        <f>IF(AND(B730="BT", F730 &gt; 0.03 * SUMIF(B:B, "BT", F:F)), "ITA-C", IF(AND(B730="BT", E730 &gt; 0.03 * SUMIF(B:B, "BT", E:E)), "ITA-D", ""))</f>
        <v/>
      </c>
    </row>
    <row r="731" spans="1:10" x14ac:dyDescent="0.3">
      <c r="A731" s="18">
        <v>730</v>
      </c>
      <c r="B731" s="19" t="s">
        <v>41</v>
      </c>
      <c r="C731" s="20">
        <v>45827</v>
      </c>
      <c r="D731" s="20" t="s">
        <v>226</v>
      </c>
      <c r="E731" s="21">
        <v>500000</v>
      </c>
      <c r="F731" s="21"/>
      <c r="G731" s="21">
        <v>1396345.28</v>
      </c>
      <c r="H731" s="23" t="s">
        <v>9</v>
      </c>
      <c r="I731" s="22" t="s">
        <v>9</v>
      </c>
      <c r="J731" s="17" t="str">
        <f>IF(AND(B731="BT", F731 &gt; 0.03 * SUMIF(B:B, "BT", F:F)), "ITA-C", IF(AND(B731="BT", E731 &gt; 0.03 * SUMIF(B:B, "BT", E:E)), "ITA-D", ""))</f>
        <v/>
      </c>
    </row>
    <row r="732" spans="1:10" x14ac:dyDescent="0.3">
      <c r="A732" s="153">
        <v>731</v>
      </c>
      <c r="B732" s="35" t="s">
        <v>48</v>
      </c>
      <c r="C732" s="36">
        <v>45827</v>
      </c>
      <c r="D732" s="36" t="s">
        <v>270</v>
      </c>
      <c r="E732" s="37"/>
      <c r="F732" s="37">
        <v>200000</v>
      </c>
      <c r="G732" s="37">
        <v>1596345.28</v>
      </c>
      <c r="H732" s="39" t="s">
        <v>7</v>
      </c>
      <c r="I732" s="38" t="s">
        <v>7</v>
      </c>
      <c r="J732" s="17" t="str">
        <f>IF(AND(B732="BT", F732 &gt; 0.03 * SUMIF(B:B, "BT", F:F)), "ITA-C", IF(AND(B732="BT", E732 &gt; 0.03 * SUMIF(B:B, "BT", E:E)), "ITA-D", ""))</f>
        <v/>
      </c>
    </row>
    <row r="733" spans="1:10" x14ac:dyDescent="0.3">
      <c r="A733" s="18">
        <v>732</v>
      </c>
      <c r="B733" s="120" t="s">
        <v>41</v>
      </c>
      <c r="C733" s="121">
        <v>45828</v>
      </c>
      <c r="D733" s="20" t="s">
        <v>222</v>
      </c>
      <c r="E733" s="122">
        <v>31538</v>
      </c>
      <c r="F733" s="122"/>
      <c r="G733" s="123">
        <v>1564807.28</v>
      </c>
      <c r="H733" s="125" t="s">
        <v>26</v>
      </c>
      <c r="I733" s="124" t="s">
        <v>26</v>
      </c>
    </row>
    <row r="734" spans="1:10" x14ac:dyDescent="0.3">
      <c r="A734" s="18">
        <v>733</v>
      </c>
      <c r="B734" s="120" t="s">
        <v>41</v>
      </c>
      <c r="C734" s="121">
        <v>45828</v>
      </c>
      <c r="D734" s="20" t="s">
        <v>189</v>
      </c>
      <c r="E734" s="122">
        <v>1000000</v>
      </c>
      <c r="F734" s="122"/>
      <c r="G734" s="123">
        <v>564807.28</v>
      </c>
      <c r="H734" s="125" t="s">
        <v>26</v>
      </c>
      <c r="I734" s="124" t="s">
        <v>26</v>
      </c>
    </row>
    <row r="735" spans="1:10" x14ac:dyDescent="0.3">
      <c r="A735" s="18">
        <v>734</v>
      </c>
      <c r="B735" s="120" t="s">
        <v>41</v>
      </c>
      <c r="C735" s="121">
        <v>45828</v>
      </c>
      <c r="D735" s="20" t="s">
        <v>230</v>
      </c>
      <c r="E735" s="122"/>
      <c r="F735" s="122">
        <v>45539</v>
      </c>
      <c r="G735" s="123">
        <v>610346.28</v>
      </c>
      <c r="H735" s="125" t="s">
        <v>5</v>
      </c>
      <c r="I735" s="124" t="s">
        <v>5</v>
      </c>
    </row>
    <row r="736" spans="1:10" x14ac:dyDescent="0.3">
      <c r="A736" s="153">
        <v>735</v>
      </c>
      <c r="B736" s="154" t="s">
        <v>48</v>
      </c>
      <c r="C736" s="155">
        <v>45828</v>
      </c>
      <c r="D736" s="36" t="s">
        <v>276</v>
      </c>
      <c r="E736" s="156">
        <v>3000</v>
      </c>
      <c r="F736" s="156"/>
      <c r="G736" s="157">
        <v>607346.28</v>
      </c>
      <c r="H736" s="159" t="s">
        <v>6</v>
      </c>
      <c r="I736" s="158" t="s">
        <v>6</v>
      </c>
    </row>
    <row r="737" spans="1:10" s="34" customFormat="1" x14ac:dyDescent="0.3">
      <c r="A737" s="133">
        <v>736</v>
      </c>
      <c r="B737" s="135" t="s">
        <v>44</v>
      </c>
      <c r="C737" s="134">
        <v>45829</v>
      </c>
      <c r="D737" s="41" t="s">
        <v>252</v>
      </c>
      <c r="E737" s="136">
        <v>100000</v>
      </c>
      <c r="F737" s="136"/>
      <c r="G737" s="137">
        <v>507346.28</v>
      </c>
      <c r="H737" s="139" t="s">
        <v>26</v>
      </c>
      <c r="I737" s="138" t="s">
        <v>26</v>
      </c>
      <c r="J737" s="17"/>
    </row>
    <row r="738" spans="1:10" x14ac:dyDescent="0.3">
      <c r="A738" s="153">
        <v>737</v>
      </c>
      <c r="B738" s="35" t="s">
        <v>48</v>
      </c>
      <c r="C738" s="155">
        <v>45829</v>
      </c>
      <c r="D738" s="36" t="s">
        <v>270</v>
      </c>
      <c r="E738" s="156"/>
      <c r="F738" s="156">
        <v>100000</v>
      </c>
      <c r="G738" s="157">
        <v>607346.28</v>
      </c>
      <c r="H738" s="159" t="s">
        <v>10</v>
      </c>
      <c r="I738" s="158" t="s">
        <v>10</v>
      </c>
    </row>
    <row r="739" spans="1:10" x14ac:dyDescent="0.3">
      <c r="A739" s="18">
        <v>738</v>
      </c>
      <c r="B739" s="120" t="s">
        <v>41</v>
      </c>
      <c r="C739" s="121">
        <v>45829</v>
      </c>
      <c r="D739" s="20" t="s">
        <v>215</v>
      </c>
      <c r="E739" s="122">
        <v>90195</v>
      </c>
      <c r="F739" s="122"/>
      <c r="G739" s="123">
        <v>517151.28</v>
      </c>
      <c r="H739" s="125" t="s">
        <v>13</v>
      </c>
      <c r="I739" s="124" t="s">
        <v>13</v>
      </c>
    </row>
    <row r="740" spans="1:10" x14ac:dyDescent="0.3">
      <c r="A740" s="18">
        <v>739</v>
      </c>
      <c r="B740" s="120" t="s">
        <v>41</v>
      </c>
      <c r="C740" s="121">
        <v>45829</v>
      </c>
      <c r="D740" s="20" t="s">
        <v>227</v>
      </c>
      <c r="E740" s="122"/>
      <c r="F740" s="122">
        <v>234603</v>
      </c>
      <c r="G740" s="123">
        <v>751754.28</v>
      </c>
      <c r="H740" s="125" t="s">
        <v>5</v>
      </c>
      <c r="I740" s="124" t="s">
        <v>5</v>
      </c>
    </row>
    <row r="741" spans="1:10" x14ac:dyDescent="0.3">
      <c r="A741" s="18">
        <v>740</v>
      </c>
      <c r="B741" s="120" t="s">
        <v>41</v>
      </c>
      <c r="C741" s="121">
        <v>45830</v>
      </c>
      <c r="D741" s="20" t="s">
        <v>229</v>
      </c>
      <c r="E741" s="122"/>
      <c r="F741" s="122">
        <v>15425</v>
      </c>
      <c r="G741" s="123">
        <v>767179.28</v>
      </c>
      <c r="H741" s="125" t="s">
        <v>5</v>
      </c>
      <c r="I741" s="124" t="s">
        <v>5</v>
      </c>
    </row>
    <row r="742" spans="1:10" x14ac:dyDescent="0.3">
      <c r="A742" s="153">
        <v>741</v>
      </c>
      <c r="B742" s="154" t="s">
        <v>48</v>
      </c>
      <c r="C742" s="155">
        <v>45830</v>
      </c>
      <c r="D742" s="36" t="s">
        <v>276</v>
      </c>
      <c r="E742" s="156">
        <v>10000</v>
      </c>
      <c r="F742" s="156"/>
      <c r="G742" s="157">
        <v>757179.28</v>
      </c>
      <c r="H742" s="159" t="s">
        <v>6</v>
      </c>
      <c r="I742" s="158" t="s">
        <v>6</v>
      </c>
    </row>
    <row r="743" spans="1:10" x14ac:dyDescent="0.3">
      <c r="A743" s="133">
        <v>742</v>
      </c>
      <c r="B743" s="135" t="s">
        <v>44</v>
      </c>
      <c r="C743" s="134">
        <v>45831</v>
      </c>
      <c r="D743" s="134" t="s">
        <v>257</v>
      </c>
      <c r="E743" s="136">
        <v>150000</v>
      </c>
      <c r="F743" s="136"/>
      <c r="G743" s="137">
        <v>607179.28</v>
      </c>
      <c r="H743" s="139" t="s">
        <v>26</v>
      </c>
      <c r="I743" s="138" t="s">
        <v>26</v>
      </c>
    </row>
    <row r="744" spans="1:10" x14ac:dyDescent="0.3">
      <c r="A744" s="133">
        <v>743</v>
      </c>
      <c r="B744" s="135" t="s">
        <v>44</v>
      </c>
      <c r="C744" s="134">
        <v>45831</v>
      </c>
      <c r="D744" s="41" t="s">
        <v>254</v>
      </c>
      <c r="E744" s="136">
        <v>150000</v>
      </c>
      <c r="F744" s="136"/>
      <c r="G744" s="137">
        <v>457179.28</v>
      </c>
      <c r="H744" s="139" t="s">
        <v>26</v>
      </c>
      <c r="I744" s="138" t="s">
        <v>26</v>
      </c>
    </row>
    <row r="745" spans="1:10" x14ac:dyDescent="0.3">
      <c r="A745" s="153">
        <v>744</v>
      </c>
      <c r="B745" s="35" t="s">
        <v>48</v>
      </c>
      <c r="C745" s="155">
        <v>45831</v>
      </c>
      <c r="D745" s="36" t="s">
        <v>270</v>
      </c>
      <c r="E745" s="156">
        <v>300000</v>
      </c>
      <c r="F745" s="156"/>
      <c r="G745" s="157">
        <v>157179.28</v>
      </c>
      <c r="H745" s="159" t="s">
        <v>25</v>
      </c>
      <c r="I745" s="158" t="s">
        <v>25</v>
      </c>
    </row>
    <row r="746" spans="1:10" x14ac:dyDescent="0.3">
      <c r="A746" s="18">
        <v>745</v>
      </c>
      <c r="B746" s="120" t="s">
        <v>41</v>
      </c>
      <c r="C746" s="121">
        <v>45831</v>
      </c>
      <c r="D746" s="20" t="s">
        <v>193</v>
      </c>
      <c r="E746" s="122"/>
      <c r="F746" s="122">
        <v>200000</v>
      </c>
      <c r="G746" s="123">
        <v>357179.28</v>
      </c>
      <c r="H746" s="125" t="s">
        <v>7</v>
      </c>
      <c r="I746" s="124" t="s">
        <v>7</v>
      </c>
    </row>
    <row r="747" spans="1:10" x14ac:dyDescent="0.3">
      <c r="A747" s="153">
        <v>746</v>
      </c>
      <c r="B747" s="35" t="s">
        <v>48</v>
      </c>
      <c r="C747" s="155">
        <v>45832</v>
      </c>
      <c r="D747" s="36" t="s">
        <v>270</v>
      </c>
      <c r="E747" s="156"/>
      <c r="F747" s="156">
        <v>200000</v>
      </c>
      <c r="G747" s="157">
        <v>557179.28</v>
      </c>
      <c r="H747" s="159" t="s">
        <v>10</v>
      </c>
      <c r="I747" s="158" t="s">
        <v>10</v>
      </c>
    </row>
    <row r="748" spans="1:10" x14ac:dyDescent="0.3">
      <c r="A748" s="18">
        <v>747</v>
      </c>
      <c r="B748" s="120" t="s">
        <v>41</v>
      </c>
      <c r="C748" s="121">
        <v>45832</v>
      </c>
      <c r="D748" s="20" t="s">
        <v>222</v>
      </c>
      <c r="E748" s="122">
        <v>203175</v>
      </c>
      <c r="F748" s="122"/>
      <c r="G748" s="123">
        <v>354004.28</v>
      </c>
      <c r="H748" s="125" t="s">
        <v>26</v>
      </c>
      <c r="I748" s="124" t="s">
        <v>26</v>
      </c>
    </row>
    <row r="749" spans="1:10" x14ac:dyDescent="0.3">
      <c r="A749" s="133">
        <v>748</v>
      </c>
      <c r="B749" s="135" t="s">
        <v>44</v>
      </c>
      <c r="C749" s="134">
        <v>45832</v>
      </c>
      <c r="D749" s="134" t="s">
        <v>249</v>
      </c>
      <c r="E749" s="136">
        <v>300000</v>
      </c>
      <c r="F749" s="136"/>
      <c r="G749" s="137">
        <v>54004.28</v>
      </c>
      <c r="H749" s="139" t="s">
        <v>26</v>
      </c>
      <c r="I749" s="138" t="s">
        <v>26</v>
      </c>
    </row>
    <row r="750" spans="1:10" x14ac:dyDescent="0.3">
      <c r="A750" s="18">
        <v>749</v>
      </c>
      <c r="B750" s="120" t="s">
        <v>41</v>
      </c>
      <c r="C750" s="121">
        <v>45832</v>
      </c>
      <c r="D750" s="20" t="s">
        <v>235</v>
      </c>
      <c r="E750" s="122"/>
      <c r="F750" s="122">
        <v>58163</v>
      </c>
      <c r="G750" s="123">
        <v>112167.28</v>
      </c>
      <c r="H750" s="125" t="s">
        <v>28</v>
      </c>
      <c r="I750" s="124" t="s">
        <v>28</v>
      </c>
    </row>
    <row r="751" spans="1:10" x14ac:dyDescent="0.3">
      <c r="A751" s="153">
        <v>750</v>
      </c>
      <c r="B751" s="35" t="s">
        <v>48</v>
      </c>
      <c r="C751" s="155">
        <v>45832</v>
      </c>
      <c r="D751" s="36" t="s">
        <v>270</v>
      </c>
      <c r="E751" s="156">
        <v>100000</v>
      </c>
      <c r="F751" s="156"/>
      <c r="G751" s="157">
        <v>12167.28</v>
      </c>
      <c r="H751" s="159" t="s">
        <v>25</v>
      </c>
      <c r="I751" s="158" t="s">
        <v>25</v>
      </c>
    </row>
    <row r="752" spans="1:10" x14ac:dyDescent="0.3">
      <c r="A752" s="18">
        <v>751</v>
      </c>
      <c r="B752" s="120" t="s">
        <v>41</v>
      </c>
      <c r="C752" s="121">
        <v>45832</v>
      </c>
      <c r="D752" s="20" t="s">
        <v>221</v>
      </c>
      <c r="E752" s="122"/>
      <c r="F752" s="122">
        <v>62400</v>
      </c>
      <c r="G752" s="123">
        <v>74567.28</v>
      </c>
      <c r="H752" s="125" t="s">
        <v>5</v>
      </c>
      <c r="I752" s="124" t="s">
        <v>5</v>
      </c>
    </row>
    <row r="753" spans="1:9" x14ac:dyDescent="0.3">
      <c r="A753" s="18">
        <v>752</v>
      </c>
      <c r="B753" s="120" t="s">
        <v>41</v>
      </c>
      <c r="C753" s="121">
        <v>45832</v>
      </c>
      <c r="D753" s="20" t="s">
        <v>230</v>
      </c>
      <c r="E753" s="122"/>
      <c r="F753" s="122">
        <v>41900</v>
      </c>
      <c r="G753" s="123">
        <v>116467.28</v>
      </c>
      <c r="H753" s="125" t="s">
        <v>5</v>
      </c>
      <c r="I753" s="124" t="s">
        <v>5</v>
      </c>
    </row>
    <row r="754" spans="1:9" x14ac:dyDescent="0.3">
      <c r="A754" s="18">
        <v>753</v>
      </c>
      <c r="B754" s="5" t="s">
        <v>39</v>
      </c>
      <c r="C754" s="6">
        <v>45833</v>
      </c>
      <c r="D754" s="25" t="s">
        <v>260</v>
      </c>
      <c r="E754" s="8">
        <v>5000</v>
      </c>
      <c r="F754" s="9"/>
      <c r="G754" s="7">
        <v>111467.28</v>
      </c>
      <c r="H754" s="2" t="s">
        <v>12</v>
      </c>
      <c r="I754" s="1" t="s">
        <v>12</v>
      </c>
    </row>
    <row r="755" spans="1:9" x14ac:dyDescent="0.3">
      <c r="A755" s="153">
        <v>754</v>
      </c>
      <c r="B755" s="154" t="s">
        <v>48</v>
      </c>
      <c r="C755" s="155">
        <v>45833</v>
      </c>
      <c r="D755" s="36" t="s">
        <v>275</v>
      </c>
      <c r="E755" s="156">
        <v>51975</v>
      </c>
      <c r="F755" s="156"/>
      <c r="G755" s="157">
        <v>59492.28</v>
      </c>
      <c r="H755" s="159" t="s">
        <v>13</v>
      </c>
      <c r="I755" s="158" t="s">
        <v>13</v>
      </c>
    </row>
    <row r="756" spans="1:9" x14ac:dyDescent="0.3">
      <c r="A756" s="18">
        <v>755</v>
      </c>
      <c r="B756" s="120" t="s">
        <v>41</v>
      </c>
      <c r="C756" s="121">
        <v>45833</v>
      </c>
      <c r="D756" s="20" t="s">
        <v>227</v>
      </c>
      <c r="E756" s="122"/>
      <c r="F756" s="122">
        <v>137500</v>
      </c>
      <c r="G756" s="123">
        <v>196992.28</v>
      </c>
      <c r="H756" s="125" t="s">
        <v>5</v>
      </c>
      <c r="I756" s="124" t="s">
        <v>5</v>
      </c>
    </row>
    <row r="757" spans="1:9" x14ac:dyDescent="0.3">
      <c r="A757" s="18">
        <v>756</v>
      </c>
      <c r="B757" s="120" t="s">
        <v>41</v>
      </c>
      <c r="C757" s="121">
        <v>45833</v>
      </c>
      <c r="D757" s="20" t="s">
        <v>193</v>
      </c>
      <c r="E757" s="122"/>
      <c r="F757" s="122">
        <v>500000</v>
      </c>
      <c r="G757" s="123">
        <v>696992.28</v>
      </c>
      <c r="H757" s="125" t="s">
        <v>7</v>
      </c>
      <c r="I757" s="124" t="s">
        <v>7</v>
      </c>
    </row>
    <row r="758" spans="1:9" x14ac:dyDescent="0.3">
      <c r="A758" s="18">
        <v>757</v>
      </c>
      <c r="B758" s="120" t="s">
        <v>41</v>
      </c>
      <c r="C758" s="121">
        <v>45833</v>
      </c>
      <c r="D758" s="20" t="s">
        <v>203</v>
      </c>
      <c r="E758" s="122">
        <v>200000</v>
      </c>
      <c r="F758" s="122"/>
      <c r="G758" s="123">
        <v>496992.28</v>
      </c>
      <c r="H758" s="125" t="s">
        <v>9</v>
      </c>
      <c r="I758" s="124" t="s">
        <v>9</v>
      </c>
    </row>
    <row r="759" spans="1:9" x14ac:dyDescent="0.3">
      <c r="A759" s="18">
        <v>758</v>
      </c>
      <c r="B759" s="120" t="s">
        <v>41</v>
      </c>
      <c r="C759" s="121">
        <v>45833</v>
      </c>
      <c r="D759" s="20" t="s">
        <v>216</v>
      </c>
      <c r="E759" s="122">
        <v>50000</v>
      </c>
      <c r="F759" s="122"/>
      <c r="G759" s="123">
        <v>446992.28</v>
      </c>
      <c r="H759" s="125" t="s">
        <v>13</v>
      </c>
      <c r="I759" s="124" t="s">
        <v>13</v>
      </c>
    </row>
    <row r="760" spans="1:9" x14ac:dyDescent="0.3">
      <c r="A760" s="153">
        <v>759</v>
      </c>
      <c r="B760" s="154" t="s">
        <v>48</v>
      </c>
      <c r="C760" s="155">
        <v>45834</v>
      </c>
      <c r="D760" s="36" t="s">
        <v>276</v>
      </c>
      <c r="E760" s="156"/>
      <c r="F760" s="156">
        <v>15000</v>
      </c>
      <c r="G760" s="157">
        <v>461992.28</v>
      </c>
      <c r="H760" s="159" t="s">
        <v>8</v>
      </c>
      <c r="I760" s="158" t="s">
        <v>8</v>
      </c>
    </row>
    <row r="761" spans="1:9" x14ac:dyDescent="0.3">
      <c r="A761" s="153">
        <v>760</v>
      </c>
      <c r="B761" s="35" t="s">
        <v>48</v>
      </c>
      <c r="C761" s="155">
        <v>45834</v>
      </c>
      <c r="D761" s="36" t="s">
        <v>270</v>
      </c>
      <c r="E761" s="156">
        <v>400000</v>
      </c>
      <c r="F761" s="156"/>
      <c r="G761" s="157">
        <v>61992.28</v>
      </c>
      <c r="H761" s="159" t="s">
        <v>25</v>
      </c>
      <c r="I761" s="158" t="s">
        <v>25</v>
      </c>
    </row>
    <row r="762" spans="1:9" x14ac:dyDescent="0.3">
      <c r="A762" s="153">
        <v>761</v>
      </c>
      <c r="B762" s="154" t="s">
        <v>48</v>
      </c>
      <c r="C762" s="155">
        <v>45834</v>
      </c>
      <c r="D762" s="36" t="s">
        <v>271</v>
      </c>
      <c r="E762" s="156">
        <v>5000</v>
      </c>
      <c r="F762" s="156"/>
      <c r="G762" s="157">
        <v>56992.28</v>
      </c>
      <c r="H762" s="159" t="s">
        <v>25</v>
      </c>
      <c r="I762" s="158" t="s">
        <v>25</v>
      </c>
    </row>
    <row r="763" spans="1:9" x14ac:dyDescent="0.3">
      <c r="A763" s="153">
        <v>762</v>
      </c>
      <c r="B763" s="154" t="s">
        <v>48</v>
      </c>
      <c r="C763" s="155">
        <v>45834</v>
      </c>
      <c r="D763" s="36" t="s">
        <v>276</v>
      </c>
      <c r="E763" s="156">
        <v>5000</v>
      </c>
      <c r="F763" s="156"/>
      <c r="G763" s="157">
        <v>51992.28</v>
      </c>
      <c r="H763" s="159" t="s">
        <v>6</v>
      </c>
      <c r="I763" s="158" t="s">
        <v>6</v>
      </c>
    </row>
    <row r="764" spans="1:9" x14ac:dyDescent="0.3">
      <c r="A764" s="18">
        <v>763</v>
      </c>
      <c r="B764" s="5" t="s">
        <v>39</v>
      </c>
      <c r="C764" s="6">
        <v>45835</v>
      </c>
      <c r="D764" s="6" t="s">
        <v>258</v>
      </c>
      <c r="E764" s="8">
        <v>17.7</v>
      </c>
      <c r="F764" s="9"/>
      <c r="G764" s="7">
        <v>51974.58</v>
      </c>
      <c r="H764" s="2" t="s">
        <v>24</v>
      </c>
      <c r="I764" s="1" t="s">
        <v>24</v>
      </c>
    </row>
    <row r="765" spans="1:9" x14ac:dyDescent="0.3">
      <c r="A765" s="133">
        <v>764</v>
      </c>
      <c r="B765" s="135" t="s">
        <v>44</v>
      </c>
      <c r="C765" s="134">
        <v>45835</v>
      </c>
      <c r="D765" s="134" t="s">
        <v>255</v>
      </c>
      <c r="E765" s="136"/>
      <c r="F765" s="136">
        <v>4390000</v>
      </c>
      <c r="G765" s="137">
        <v>4441974.58</v>
      </c>
      <c r="H765" s="139" t="s">
        <v>7</v>
      </c>
      <c r="I765" s="138" t="s">
        <v>7</v>
      </c>
    </row>
    <row r="766" spans="1:9" x14ac:dyDescent="0.3">
      <c r="A766" s="153">
        <v>765</v>
      </c>
      <c r="B766" s="154" t="s">
        <v>48</v>
      </c>
      <c r="C766" s="155">
        <v>45835</v>
      </c>
      <c r="D766" s="36" t="s">
        <v>275</v>
      </c>
      <c r="E766" s="156">
        <v>102480</v>
      </c>
      <c r="F766" s="156"/>
      <c r="G766" s="157">
        <v>4339494.58</v>
      </c>
      <c r="H766" s="159" t="s">
        <v>13</v>
      </c>
      <c r="I766" s="158" t="s">
        <v>13</v>
      </c>
    </row>
    <row r="767" spans="1:9" x14ac:dyDescent="0.3">
      <c r="A767" s="18">
        <v>766</v>
      </c>
      <c r="B767" s="120" t="s">
        <v>41</v>
      </c>
      <c r="C767" s="121">
        <v>45835</v>
      </c>
      <c r="D767" s="20" t="s">
        <v>201</v>
      </c>
      <c r="E767" s="122">
        <v>51450</v>
      </c>
      <c r="F767" s="122"/>
      <c r="G767" s="123">
        <v>4288044.58</v>
      </c>
      <c r="H767" s="125" t="s">
        <v>13</v>
      </c>
      <c r="I767" s="124" t="s">
        <v>13</v>
      </c>
    </row>
    <row r="768" spans="1:9" x14ac:dyDescent="0.3">
      <c r="A768" s="18">
        <v>767</v>
      </c>
      <c r="B768" s="120" t="s">
        <v>41</v>
      </c>
      <c r="C768" s="121">
        <v>45835</v>
      </c>
      <c r="D768" s="20" t="s">
        <v>215</v>
      </c>
      <c r="E768" s="122">
        <v>58999</v>
      </c>
      <c r="F768" s="122"/>
      <c r="G768" s="123">
        <v>4229045.58</v>
      </c>
      <c r="H768" s="125" t="s">
        <v>13</v>
      </c>
      <c r="I768" s="124" t="s">
        <v>13</v>
      </c>
    </row>
    <row r="769" spans="1:10" x14ac:dyDescent="0.3">
      <c r="A769" s="18">
        <v>768</v>
      </c>
      <c r="B769" s="120" t="s">
        <v>41</v>
      </c>
      <c r="C769" s="121">
        <v>45835</v>
      </c>
      <c r="D769" s="20" t="s">
        <v>203</v>
      </c>
      <c r="E769" s="122">
        <v>268057</v>
      </c>
      <c r="F769" s="122"/>
      <c r="G769" s="123">
        <v>3960988.58</v>
      </c>
      <c r="H769" s="125" t="s">
        <v>9</v>
      </c>
      <c r="I769" s="124" t="s">
        <v>9</v>
      </c>
    </row>
    <row r="770" spans="1:10" x14ac:dyDescent="0.3">
      <c r="A770" s="18">
        <v>769</v>
      </c>
      <c r="B770" s="120" t="s">
        <v>41</v>
      </c>
      <c r="C770" s="121">
        <v>45835</v>
      </c>
      <c r="D770" s="20" t="s">
        <v>209</v>
      </c>
      <c r="E770" s="122">
        <v>300000</v>
      </c>
      <c r="F770" s="122"/>
      <c r="G770" s="123">
        <v>3660988.58</v>
      </c>
      <c r="H770" s="125" t="s">
        <v>9</v>
      </c>
      <c r="I770" s="124" t="s">
        <v>9</v>
      </c>
    </row>
    <row r="771" spans="1:10" x14ac:dyDescent="0.3">
      <c r="A771" s="18">
        <v>770</v>
      </c>
      <c r="B771" s="120" t="s">
        <v>41</v>
      </c>
      <c r="C771" s="121">
        <v>45835</v>
      </c>
      <c r="D771" s="20" t="s">
        <v>234</v>
      </c>
      <c r="E771" s="122">
        <v>100000</v>
      </c>
      <c r="F771" s="122"/>
      <c r="G771" s="123">
        <v>3560988.58</v>
      </c>
      <c r="H771" s="125" t="s">
        <v>6</v>
      </c>
      <c r="I771" s="124" t="s">
        <v>6</v>
      </c>
    </row>
    <row r="772" spans="1:10" x14ac:dyDescent="0.3">
      <c r="A772" s="18">
        <v>771</v>
      </c>
      <c r="B772" s="120" t="s">
        <v>41</v>
      </c>
      <c r="C772" s="121">
        <v>45835</v>
      </c>
      <c r="D772" s="20" t="s">
        <v>236</v>
      </c>
      <c r="E772" s="122">
        <v>132500</v>
      </c>
      <c r="F772" s="122"/>
      <c r="G772" s="123">
        <v>3428488.58</v>
      </c>
      <c r="H772" s="125" t="s">
        <v>13</v>
      </c>
      <c r="I772" s="124" t="s">
        <v>13</v>
      </c>
    </row>
    <row r="773" spans="1:10" x14ac:dyDescent="0.3">
      <c r="A773" s="18">
        <v>772</v>
      </c>
      <c r="B773" s="120" t="s">
        <v>41</v>
      </c>
      <c r="C773" s="121">
        <v>45835</v>
      </c>
      <c r="D773" s="20" t="s">
        <v>188</v>
      </c>
      <c r="E773" s="122">
        <v>10000</v>
      </c>
      <c r="F773" s="122"/>
      <c r="G773" s="123">
        <v>3418488.58</v>
      </c>
      <c r="H773" s="125" t="s">
        <v>13</v>
      </c>
      <c r="I773" s="124" t="s">
        <v>13</v>
      </c>
      <c r="J773" s="177"/>
    </row>
    <row r="774" spans="1:10" x14ac:dyDescent="0.3">
      <c r="A774" s="18">
        <v>773</v>
      </c>
      <c r="B774" s="120" t="s">
        <v>41</v>
      </c>
      <c r="C774" s="121">
        <v>45835</v>
      </c>
      <c r="D774" s="20" t="s">
        <v>191</v>
      </c>
      <c r="E774" s="122">
        <v>273542</v>
      </c>
      <c r="F774" s="122"/>
      <c r="G774" s="123">
        <v>3144946.58</v>
      </c>
      <c r="H774" s="125" t="s">
        <v>9</v>
      </c>
      <c r="I774" s="124" t="s">
        <v>9</v>
      </c>
    </row>
    <row r="775" spans="1:10" x14ac:dyDescent="0.3">
      <c r="A775" s="153">
        <v>774</v>
      </c>
      <c r="B775" s="154" t="s">
        <v>48</v>
      </c>
      <c r="C775" s="155">
        <v>45835</v>
      </c>
      <c r="D775" s="36" t="s">
        <v>271</v>
      </c>
      <c r="E775" s="156">
        <v>5000</v>
      </c>
      <c r="F775" s="156"/>
      <c r="G775" s="157">
        <v>3139946.58</v>
      </c>
      <c r="H775" s="159" t="s">
        <v>25</v>
      </c>
      <c r="I775" s="158" t="s">
        <v>25</v>
      </c>
    </row>
    <row r="776" spans="1:10" x14ac:dyDescent="0.3">
      <c r="A776" s="153">
        <v>775</v>
      </c>
      <c r="B776" s="35" t="s">
        <v>48</v>
      </c>
      <c r="C776" s="155">
        <v>45835</v>
      </c>
      <c r="D776" s="36" t="s">
        <v>270</v>
      </c>
      <c r="E776" s="156">
        <v>1000000</v>
      </c>
      <c r="F776" s="156"/>
      <c r="G776" s="157">
        <v>2139946.58</v>
      </c>
      <c r="H776" s="159" t="s">
        <v>9</v>
      </c>
      <c r="I776" s="158" t="s">
        <v>9</v>
      </c>
    </row>
    <row r="777" spans="1:10" x14ac:dyDescent="0.3">
      <c r="A777" s="18">
        <v>776</v>
      </c>
      <c r="B777" s="5" t="s">
        <v>39</v>
      </c>
      <c r="C777" s="6">
        <v>45835</v>
      </c>
      <c r="D777" s="25" t="s">
        <v>265</v>
      </c>
      <c r="E777" s="8">
        <v>8444</v>
      </c>
      <c r="F777" s="9"/>
      <c r="G777" s="7">
        <v>2131502.58</v>
      </c>
      <c r="H777" s="2" t="s">
        <v>6</v>
      </c>
      <c r="I777" s="1" t="s">
        <v>6</v>
      </c>
    </row>
    <row r="778" spans="1:10" x14ac:dyDescent="0.3">
      <c r="A778" s="18">
        <v>777</v>
      </c>
      <c r="B778" s="120" t="s">
        <v>41</v>
      </c>
      <c r="C778" s="121">
        <v>45836</v>
      </c>
      <c r="D778" s="20" t="s">
        <v>191</v>
      </c>
      <c r="E778" s="122">
        <v>300000</v>
      </c>
      <c r="F778" s="122"/>
      <c r="G778" s="123">
        <v>1831502.58</v>
      </c>
      <c r="H778" s="125" t="s">
        <v>13</v>
      </c>
      <c r="I778" s="124" t="s">
        <v>13</v>
      </c>
    </row>
    <row r="779" spans="1:10" x14ac:dyDescent="0.3">
      <c r="A779" s="133">
        <v>778</v>
      </c>
      <c r="B779" s="135" t="s">
        <v>50</v>
      </c>
      <c r="C779" s="134">
        <v>45836</v>
      </c>
      <c r="D779" s="41" t="s">
        <v>49</v>
      </c>
      <c r="E779" s="136">
        <v>440000</v>
      </c>
      <c r="F779" s="136"/>
      <c r="G779" s="137">
        <v>1391502.58</v>
      </c>
      <c r="H779" s="139" t="s">
        <v>32</v>
      </c>
      <c r="I779" s="138" t="s">
        <v>32</v>
      </c>
    </row>
    <row r="780" spans="1:10" x14ac:dyDescent="0.3">
      <c r="A780" s="18">
        <v>779</v>
      </c>
      <c r="B780" s="120" t="s">
        <v>41</v>
      </c>
      <c r="C780" s="121">
        <v>45836</v>
      </c>
      <c r="D780" s="121" t="s">
        <v>220</v>
      </c>
      <c r="E780" s="122">
        <v>40252</v>
      </c>
      <c r="F780" s="122"/>
      <c r="G780" s="123">
        <v>1351250.58</v>
      </c>
      <c r="H780" s="125" t="s">
        <v>13</v>
      </c>
      <c r="I780" s="124" t="s">
        <v>13</v>
      </c>
    </row>
    <row r="781" spans="1:10" x14ac:dyDescent="0.3">
      <c r="A781" s="18">
        <v>780</v>
      </c>
      <c r="B781" s="120" t="s">
        <v>41</v>
      </c>
      <c r="C781" s="121">
        <v>45836</v>
      </c>
      <c r="D781" s="20" t="s">
        <v>230</v>
      </c>
      <c r="E781" s="122"/>
      <c r="F781" s="122">
        <v>219667</v>
      </c>
      <c r="G781" s="123">
        <v>1570917.58</v>
      </c>
      <c r="H781" s="125" t="s">
        <v>10</v>
      </c>
      <c r="I781" s="124" t="s">
        <v>10</v>
      </c>
    </row>
    <row r="782" spans="1:10" x14ac:dyDescent="0.3">
      <c r="A782" s="18">
        <v>781</v>
      </c>
      <c r="B782" s="5" t="s">
        <v>39</v>
      </c>
      <c r="C782" s="6">
        <v>45836</v>
      </c>
      <c r="D782" s="25" t="s">
        <v>265</v>
      </c>
      <c r="E782" s="8">
        <v>10500</v>
      </c>
      <c r="F782" s="9"/>
      <c r="G782" s="7">
        <v>1560417.58</v>
      </c>
      <c r="H782" s="2" t="s">
        <v>6</v>
      </c>
      <c r="I782" s="1" t="s">
        <v>6</v>
      </c>
    </row>
    <row r="783" spans="1:10" x14ac:dyDescent="0.3">
      <c r="A783" s="153">
        <v>782</v>
      </c>
      <c r="B783" s="35" t="s">
        <v>48</v>
      </c>
      <c r="C783" s="155">
        <v>45836</v>
      </c>
      <c r="D783" s="36" t="s">
        <v>270</v>
      </c>
      <c r="E783" s="156">
        <v>200000</v>
      </c>
      <c r="F783" s="156"/>
      <c r="G783" s="157">
        <v>1360417.58</v>
      </c>
      <c r="H783" s="159" t="s">
        <v>25</v>
      </c>
      <c r="I783" s="158" t="s">
        <v>25</v>
      </c>
    </row>
    <row r="784" spans="1:10" x14ac:dyDescent="0.3">
      <c r="A784" s="153">
        <v>783</v>
      </c>
      <c r="B784" s="154" t="s">
        <v>48</v>
      </c>
      <c r="C784" s="155">
        <v>45837</v>
      </c>
      <c r="D784" s="36" t="s">
        <v>271</v>
      </c>
      <c r="E784" s="156">
        <v>10000</v>
      </c>
      <c r="F784" s="156"/>
      <c r="G784" s="157">
        <v>1350417.58</v>
      </c>
      <c r="H784" s="159" t="s">
        <v>25</v>
      </c>
      <c r="I784" s="158" t="s">
        <v>25</v>
      </c>
    </row>
    <row r="785" spans="1:10" x14ac:dyDescent="0.3">
      <c r="A785" s="153">
        <v>784</v>
      </c>
      <c r="B785" s="154" t="s">
        <v>48</v>
      </c>
      <c r="C785" s="155">
        <v>45837</v>
      </c>
      <c r="D785" s="36" t="s">
        <v>276</v>
      </c>
      <c r="E785" s="156">
        <v>25000</v>
      </c>
      <c r="F785" s="156"/>
      <c r="G785" s="157">
        <v>1325417.58</v>
      </c>
      <c r="H785" s="159" t="s">
        <v>6</v>
      </c>
      <c r="I785" s="158" t="s">
        <v>6</v>
      </c>
    </row>
    <row r="786" spans="1:10" x14ac:dyDescent="0.3">
      <c r="A786" s="133">
        <v>785</v>
      </c>
      <c r="B786" s="135" t="s">
        <v>44</v>
      </c>
      <c r="C786" s="134">
        <v>45838</v>
      </c>
      <c r="D786" s="41" t="s">
        <v>252</v>
      </c>
      <c r="E786" s="136">
        <v>100000</v>
      </c>
      <c r="F786" s="136"/>
      <c r="G786" s="137">
        <v>1225417.58</v>
      </c>
      <c r="H786" s="139" t="s">
        <v>26</v>
      </c>
      <c r="I786" s="138" t="s">
        <v>26</v>
      </c>
    </row>
    <row r="787" spans="1:10" x14ac:dyDescent="0.3">
      <c r="A787" s="133">
        <v>786</v>
      </c>
      <c r="B787" s="135" t="s">
        <v>44</v>
      </c>
      <c r="C787" s="134">
        <v>45838</v>
      </c>
      <c r="D787" s="41" t="s">
        <v>257</v>
      </c>
      <c r="E787" s="136">
        <v>150000</v>
      </c>
      <c r="F787" s="136"/>
      <c r="G787" s="137">
        <v>1075417.58</v>
      </c>
      <c r="H787" s="139" t="s">
        <v>26</v>
      </c>
      <c r="I787" s="138" t="s">
        <v>26</v>
      </c>
    </row>
    <row r="788" spans="1:10" x14ac:dyDescent="0.3">
      <c r="A788" s="133">
        <v>787</v>
      </c>
      <c r="B788" s="135" t="s">
        <v>44</v>
      </c>
      <c r="C788" s="134">
        <v>45838</v>
      </c>
      <c r="D788" s="41" t="s">
        <v>254</v>
      </c>
      <c r="E788" s="136">
        <v>150000</v>
      </c>
      <c r="F788" s="136"/>
      <c r="G788" s="137">
        <v>925417.58</v>
      </c>
      <c r="H788" s="139" t="s">
        <v>26</v>
      </c>
      <c r="I788" s="138" t="s">
        <v>26</v>
      </c>
    </row>
    <row r="789" spans="1:10" x14ac:dyDescent="0.3">
      <c r="A789" s="153">
        <v>788</v>
      </c>
      <c r="B789" s="35" t="s">
        <v>48</v>
      </c>
      <c r="C789" s="155">
        <v>45838</v>
      </c>
      <c r="D789" s="36" t="s">
        <v>270</v>
      </c>
      <c r="E789" s="156">
        <v>400000</v>
      </c>
      <c r="F789" s="156"/>
      <c r="G789" s="157">
        <v>525417.57999999996</v>
      </c>
      <c r="H789" s="159" t="s">
        <v>25</v>
      </c>
      <c r="I789" s="158" t="s">
        <v>25</v>
      </c>
    </row>
    <row r="790" spans="1:10" x14ac:dyDescent="0.3">
      <c r="A790" s="18">
        <v>789</v>
      </c>
      <c r="B790" s="5" t="s">
        <v>39</v>
      </c>
      <c r="C790" s="6">
        <v>45838</v>
      </c>
      <c r="D790" s="6" t="s">
        <v>258</v>
      </c>
      <c r="E790" s="8">
        <v>5.9</v>
      </c>
      <c r="F790" s="9"/>
      <c r="G790" s="7">
        <v>525411.68000000005</v>
      </c>
      <c r="H790" s="2" t="s">
        <v>24</v>
      </c>
      <c r="I790" s="1" t="s">
        <v>24</v>
      </c>
    </row>
    <row r="791" spans="1:10" x14ac:dyDescent="0.3">
      <c r="A791" s="18">
        <v>790</v>
      </c>
      <c r="B791" s="5" t="s">
        <v>39</v>
      </c>
      <c r="C791" s="6">
        <v>45838</v>
      </c>
      <c r="D791" s="6" t="s">
        <v>258</v>
      </c>
      <c r="E791" s="8">
        <v>17.7</v>
      </c>
      <c r="F791" s="9"/>
      <c r="G791" s="7">
        <v>525393.98</v>
      </c>
      <c r="H791" s="2" t="s">
        <v>24</v>
      </c>
      <c r="I791" s="1" t="s">
        <v>24</v>
      </c>
    </row>
    <row r="792" spans="1:10" x14ac:dyDescent="0.3">
      <c r="A792" s="18">
        <v>791</v>
      </c>
      <c r="B792" s="5" t="s">
        <v>39</v>
      </c>
      <c r="C792" s="6">
        <v>45838</v>
      </c>
      <c r="D792" s="6" t="s">
        <v>258</v>
      </c>
      <c r="E792" s="8">
        <v>5.9</v>
      </c>
      <c r="F792" s="9"/>
      <c r="G792" s="7">
        <v>525388.07999999996</v>
      </c>
      <c r="H792" s="2" t="s">
        <v>24</v>
      </c>
      <c r="I792" s="1" t="s">
        <v>24</v>
      </c>
    </row>
    <row r="793" spans="1:10" x14ac:dyDescent="0.3">
      <c r="A793" s="133">
        <v>792</v>
      </c>
      <c r="B793" s="135" t="s">
        <v>44</v>
      </c>
      <c r="C793" s="134">
        <v>45839</v>
      </c>
      <c r="D793" s="134" t="s">
        <v>251</v>
      </c>
      <c r="E793" s="136">
        <v>250000</v>
      </c>
      <c r="F793" s="136"/>
      <c r="G793" s="137">
        <v>275388.08</v>
      </c>
      <c r="H793" s="139" t="s">
        <v>26</v>
      </c>
      <c r="I793" s="138" t="s">
        <v>26</v>
      </c>
    </row>
    <row r="794" spans="1:10" x14ac:dyDescent="0.3">
      <c r="A794" s="18">
        <v>793</v>
      </c>
      <c r="B794" s="120" t="s">
        <v>41</v>
      </c>
      <c r="C794" s="121">
        <v>45839</v>
      </c>
      <c r="D794" s="20" t="s">
        <v>213</v>
      </c>
      <c r="E794" s="122">
        <v>19950</v>
      </c>
      <c r="F794" s="122"/>
      <c r="G794" s="123">
        <v>255438.07999999999</v>
      </c>
      <c r="H794" s="125" t="s">
        <v>13</v>
      </c>
      <c r="I794" s="124" t="s">
        <v>13</v>
      </c>
    </row>
    <row r="795" spans="1:10" x14ac:dyDescent="0.3">
      <c r="A795" s="18">
        <v>794</v>
      </c>
      <c r="B795" s="120" t="s">
        <v>41</v>
      </c>
      <c r="C795" s="121">
        <v>45839</v>
      </c>
      <c r="D795" s="20" t="s">
        <v>227</v>
      </c>
      <c r="E795" s="122"/>
      <c r="F795" s="122">
        <v>273147</v>
      </c>
      <c r="G795" s="123">
        <v>528585.07999999996</v>
      </c>
      <c r="H795" s="125" t="s">
        <v>5</v>
      </c>
      <c r="I795" s="124" t="s">
        <v>5</v>
      </c>
    </row>
    <row r="796" spans="1:10" x14ac:dyDescent="0.3">
      <c r="A796" s="153">
        <v>795</v>
      </c>
      <c r="B796" s="154" t="s">
        <v>48</v>
      </c>
      <c r="C796" s="155">
        <v>45839</v>
      </c>
      <c r="D796" s="36" t="s">
        <v>276</v>
      </c>
      <c r="E796" s="156">
        <v>25000</v>
      </c>
      <c r="F796" s="156"/>
      <c r="G796" s="157">
        <v>503585.08</v>
      </c>
      <c r="H796" s="159" t="s">
        <v>6</v>
      </c>
      <c r="I796" s="158" t="s">
        <v>6</v>
      </c>
    </row>
    <row r="797" spans="1:10" x14ac:dyDescent="0.3">
      <c r="A797" s="18">
        <v>796</v>
      </c>
      <c r="B797" s="120" t="s">
        <v>41</v>
      </c>
      <c r="C797" s="121">
        <v>45839</v>
      </c>
      <c r="D797" s="20" t="s">
        <v>239</v>
      </c>
      <c r="E797" s="122"/>
      <c r="F797" s="122">
        <v>12000</v>
      </c>
      <c r="G797" s="123">
        <v>515585.08</v>
      </c>
      <c r="H797" s="125" t="s">
        <v>19</v>
      </c>
      <c r="I797" s="124" t="s">
        <v>19</v>
      </c>
    </row>
    <row r="798" spans="1:10" x14ac:dyDescent="0.3">
      <c r="A798" s="153">
        <v>797</v>
      </c>
      <c r="B798" s="35" t="s">
        <v>48</v>
      </c>
      <c r="C798" s="155">
        <v>45840</v>
      </c>
      <c r="D798" s="36" t="s">
        <v>270</v>
      </c>
      <c r="E798" s="156">
        <v>90000</v>
      </c>
      <c r="F798" s="156"/>
      <c r="G798" s="157">
        <v>425585.08</v>
      </c>
      <c r="H798" s="159" t="s">
        <v>25</v>
      </c>
      <c r="I798" s="158" t="s">
        <v>25</v>
      </c>
    </row>
    <row r="799" spans="1:10" x14ac:dyDescent="0.3">
      <c r="A799" s="153">
        <v>798</v>
      </c>
      <c r="B799" s="35" t="s">
        <v>48</v>
      </c>
      <c r="C799" s="155">
        <v>45840</v>
      </c>
      <c r="D799" s="36" t="s">
        <v>270</v>
      </c>
      <c r="E799" s="156"/>
      <c r="F799" s="156">
        <v>90000</v>
      </c>
      <c r="G799" s="157">
        <v>515585.08</v>
      </c>
      <c r="H799" s="159" t="s">
        <v>10</v>
      </c>
      <c r="I799" s="158" t="s">
        <v>10</v>
      </c>
    </row>
    <row r="800" spans="1:10" x14ac:dyDescent="0.3">
      <c r="A800" s="18">
        <v>799</v>
      </c>
      <c r="B800" s="120" t="s">
        <v>41</v>
      </c>
      <c r="C800" s="121">
        <v>45841</v>
      </c>
      <c r="D800" s="20" t="s">
        <v>187</v>
      </c>
      <c r="E800" s="122">
        <v>171600</v>
      </c>
      <c r="F800" s="122"/>
      <c r="G800" s="123">
        <v>343985.08</v>
      </c>
      <c r="H800" s="125" t="s">
        <v>26</v>
      </c>
      <c r="I800" s="124" t="s">
        <v>26</v>
      </c>
      <c r="J800" s="177"/>
    </row>
    <row r="801" spans="1:9" x14ac:dyDescent="0.3">
      <c r="A801" s="18">
        <v>800</v>
      </c>
      <c r="B801" s="120" t="s">
        <v>41</v>
      </c>
      <c r="C801" s="121">
        <v>45841</v>
      </c>
      <c r="D801" s="20" t="s">
        <v>201</v>
      </c>
      <c r="E801" s="122">
        <v>51450</v>
      </c>
      <c r="F801" s="122"/>
      <c r="G801" s="123">
        <v>292535.08</v>
      </c>
      <c r="H801" s="125" t="s">
        <v>13</v>
      </c>
      <c r="I801" s="124" t="s">
        <v>13</v>
      </c>
    </row>
    <row r="802" spans="1:9" x14ac:dyDescent="0.3">
      <c r="A802" s="18">
        <v>801</v>
      </c>
      <c r="B802" s="120" t="s">
        <v>41</v>
      </c>
      <c r="C802" s="121">
        <v>45841</v>
      </c>
      <c r="D802" s="20" t="s">
        <v>193</v>
      </c>
      <c r="E802" s="122"/>
      <c r="F802" s="122">
        <v>116505</v>
      </c>
      <c r="G802" s="123">
        <v>409040.08</v>
      </c>
      <c r="H802" s="125" t="s">
        <v>5</v>
      </c>
      <c r="I802" s="124" t="s">
        <v>5</v>
      </c>
    </row>
    <row r="803" spans="1:9" x14ac:dyDescent="0.3">
      <c r="A803" s="133">
        <v>802</v>
      </c>
      <c r="B803" s="135" t="s">
        <v>47</v>
      </c>
      <c r="C803" s="134">
        <v>45841</v>
      </c>
      <c r="D803" s="41" t="s">
        <v>246</v>
      </c>
      <c r="E803" s="136">
        <v>53817</v>
      </c>
      <c r="F803" s="136"/>
      <c r="G803" s="137">
        <v>355223.08</v>
      </c>
      <c r="H803" s="139" t="s">
        <v>18</v>
      </c>
      <c r="I803" s="138" t="s">
        <v>18</v>
      </c>
    </row>
    <row r="804" spans="1:9" x14ac:dyDescent="0.3">
      <c r="A804" s="153">
        <v>803</v>
      </c>
      <c r="B804" s="154" t="s">
        <v>48</v>
      </c>
      <c r="C804" s="155">
        <v>45841</v>
      </c>
      <c r="D804" s="36" t="s">
        <v>275</v>
      </c>
      <c r="E804" s="156">
        <v>51240</v>
      </c>
      <c r="F804" s="156"/>
      <c r="G804" s="157">
        <v>303983.08</v>
      </c>
      <c r="H804" s="159" t="s">
        <v>13</v>
      </c>
      <c r="I804" s="158" t="s">
        <v>13</v>
      </c>
    </row>
    <row r="805" spans="1:9" x14ac:dyDescent="0.3">
      <c r="A805" s="18">
        <v>804</v>
      </c>
      <c r="B805" s="120" t="s">
        <v>41</v>
      </c>
      <c r="C805" s="121">
        <v>45841</v>
      </c>
      <c r="D805" s="20" t="s">
        <v>216</v>
      </c>
      <c r="E805" s="122">
        <v>50000</v>
      </c>
      <c r="F805" s="122"/>
      <c r="G805" s="123">
        <v>253983.08</v>
      </c>
      <c r="H805" s="125" t="s">
        <v>13</v>
      </c>
      <c r="I805" s="124" t="s">
        <v>13</v>
      </c>
    </row>
    <row r="806" spans="1:9" x14ac:dyDescent="0.3">
      <c r="A806" s="18">
        <v>805</v>
      </c>
      <c r="B806" s="120" t="s">
        <v>41</v>
      </c>
      <c r="C806" s="121">
        <v>45842</v>
      </c>
      <c r="D806" s="20" t="s">
        <v>229</v>
      </c>
      <c r="E806" s="122"/>
      <c r="F806" s="122">
        <v>8925</v>
      </c>
      <c r="G806" s="123">
        <v>262908.08</v>
      </c>
      <c r="H806" s="125" t="s">
        <v>5</v>
      </c>
      <c r="I806" s="124" t="s">
        <v>5</v>
      </c>
    </row>
    <row r="807" spans="1:9" x14ac:dyDescent="0.3">
      <c r="A807" s="18">
        <v>806</v>
      </c>
      <c r="B807" s="120" t="s">
        <v>41</v>
      </c>
      <c r="C807" s="121">
        <v>45842</v>
      </c>
      <c r="D807" s="20" t="s">
        <v>227</v>
      </c>
      <c r="E807" s="122"/>
      <c r="F807" s="122">
        <v>372019</v>
      </c>
      <c r="G807" s="123">
        <v>634927.07999999996</v>
      </c>
      <c r="H807" s="125" t="s">
        <v>5</v>
      </c>
      <c r="I807" s="124" t="s">
        <v>5</v>
      </c>
    </row>
    <row r="808" spans="1:9" x14ac:dyDescent="0.3">
      <c r="A808" s="18">
        <v>807</v>
      </c>
      <c r="B808" s="120" t="s">
        <v>41</v>
      </c>
      <c r="C808" s="121">
        <v>45842</v>
      </c>
      <c r="D808" s="20" t="s">
        <v>193</v>
      </c>
      <c r="E808" s="122"/>
      <c r="F808" s="122">
        <v>500000</v>
      </c>
      <c r="G808" s="123">
        <v>1134927.08</v>
      </c>
      <c r="H808" s="125" t="s">
        <v>7</v>
      </c>
      <c r="I808" s="124" t="s">
        <v>7</v>
      </c>
    </row>
    <row r="809" spans="1:9" x14ac:dyDescent="0.3">
      <c r="A809" s="133">
        <v>808</v>
      </c>
      <c r="B809" s="135" t="s">
        <v>44</v>
      </c>
      <c r="C809" s="134">
        <v>45843</v>
      </c>
      <c r="D809" s="41" t="s">
        <v>252</v>
      </c>
      <c r="E809" s="136">
        <v>100000</v>
      </c>
      <c r="F809" s="136"/>
      <c r="G809" s="137">
        <v>1034927.08</v>
      </c>
      <c r="H809" s="139" t="s">
        <v>18</v>
      </c>
      <c r="I809" s="138" t="s">
        <v>18</v>
      </c>
    </row>
    <row r="810" spans="1:9" x14ac:dyDescent="0.3">
      <c r="A810" s="133">
        <v>809</v>
      </c>
      <c r="B810" s="135" t="s">
        <v>44</v>
      </c>
      <c r="C810" s="134">
        <v>45843</v>
      </c>
      <c r="D810" s="41" t="s">
        <v>257</v>
      </c>
      <c r="E810" s="136">
        <v>150000</v>
      </c>
      <c r="F810" s="136"/>
      <c r="G810" s="137">
        <v>884927.08</v>
      </c>
      <c r="H810" s="139" t="s">
        <v>18</v>
      </c>
      <c r="I810" s="138" t="s">
        <v>18</v>
      </c>
    </row>
    <row r="811" spans="1:9" x14ac:dyDescent="0.3">
      <c r="A811" s="18">
        <v>810</v>
      </c>
      <c r="B811" s="120" t="s">
        <v>41</v>
      </c>
      <c r="C811" s="121">
        <v>45843</v>
      </c>
      <c r="D811" s="20" t="s">
        <v>226</v>
      </c>
      <c r="E811" s="122">
        <v>529370</v>
      </c>
      <c r="F811" s="122"/>
      <c r="G811" s="123">
        <v>355557.08</v>
      </c>
      <c r="H811" s="125" t="s">
        <v>26</v>
      </c>
      <c r="I811" s="124" t="s">
        <v>26</v>
      </c>
    </row>
    <row r="812" spans="1:9" x14ac:dyDescent="0.3">
      <c r="A812" s="133">
        <v>811</v>
      </c>
      <c r="B812" s="135" t="s">
        <v>47</v>
      </c>
      <c r="C812" s="134">
        <v>45843</v>
      </c>
      <c r="D812" s="41" t="s">
        <v>243</v>
      </c>
      <c r="E812" s="136">
        <v>37200</v>
      </c>
      <c r="F812" s="136"/>
      <c r="G812" s="137">
        <v>318357.08</v>
      </c>
      <c r="H812" s="139" t="s">
        <v>18</v>
      </c>
      <c r="I812" s="138" t="s">
        <v>18</v>
      </c>
    </row>
    <row r="813" spans="1:9" x14ac:dyDescent="0.3">
      <c r="A813" s="153">
        <v>812</v>
      </c>
      <c r="B813" s="154" t="s">
        <v>48</v>
      </c>
      <c r="C813" s="155">
        <v>45843</v>
      </c>
      <c r="D813" s="36" t="s">
        <v>271</v>
      </c>
      <c r="E813" s="156">
        <v>3000</v>
      </c>
      <c r="F813" s="156"/>
      <c r="G813" s="157">
        <v>315357.08</v>
      </c>
      <c r="H813" s="159" t="s">
        <v>25</v>
      </c>
      <c r="I813" s="158" t="s">
        <v>25</v>
      </c>
    </row>
    <row r="814" spans="1:9" x14ac:dyDescent="0.3">
      <c r="A814" s="153">
        <v>813</v>
      </c>
      <c r="B814" s="35" t="s">
        <v>48</v>
      </c>
      <c r="C814" s="155">
        <v>45843</v>
      </c>
      <c r="D814" s="36" t="s">
        <v>270</v>
      </c>
      <c r="E814" s="156"/>
      <c r="F814" s="156">
        <v>100000</v>
      </c>
      <c r="G814" s="157">
        <v>415357.08</v>
      </c>
      <c r="H814" s="159" t="s">
        <v>10</v>
      </c>
      <c r="I814" s="158" t="s">
        <v>10</v>
      </c>
    </row>
    <row r="815" spans="1:9" x14ac:dyDescent="0.3">
      <c r="A815" s="18">
        <v>814</v>
      </c>
      <c r="B815" s="120" t="s">
        <v>41</v>
      </c>
      <c r="C815" s="121">
        <v>45843</v>
      </c>
      <c r="D815" s="20" t="s">
        <v>227</v>
      </c>
      <c r="E815" s="122"/>
      <c r="F815" s="122">
        <v>1020768</v>
      </c>
      <c r="G815" s="123">
        <v>1436125.08</v>
      </c>
      <c r="H815" s="125" t="s">
        <v>5</v>
      </c>
      <c r="I815" s="124" t="s">
        <v>5</v>
      </c>
    </row>
    <row r="816" spans="1:9" x14ac:dyDescent="0.3">
      <c r="A816" s="18">
        <v>815</v>
      </c>
      <c r="B816" s="5" t="s">
        <v>39</v>
      </c>
      <c r="C816" s="6">
        <v>45843</v>
      </c>
      <c r="D816" s="6" t="s">
        <v>264</v>
      </c>
      <c r="E816" s="8">
        <v>11000</v>
      </c>
      <c r="F816" s="9"/>
      <c r="G816" s="7">
        <v>1425125.08</v>
      </c>
      <c r="H816" s="2" t="s">
        <v>14</v>
      </c>
      <c r="I816" s="1" t="s">
        <v>14</v>
      </c>
    </row>
    <row r="817" spans="1:10" x14ac:dyDescent="0.3">
      <c r="A817" s="18">
        <v>816</v>
      </c>
      <c r="B817" s="5" t="s">
        <v>39</v>
      </c>
      <c r="C817" s="6">
        <v>45843</v>
      </c>
      <c r="D817" s="6" t="s">
        <v>264</v>
      </c>
      <c r="E817" s="8">
        <v>25500</v>
      </c>
      <c r="F817" s="9"/>
      <c r="G817" s="7">
        <v>1399625.08</v>
      </c>
      <c r="H817" s="2" t="s">
        <v>14</v>
      </c>
      <c r="I817" s="1" t="s">
        <v>14</v>
      </c>
    </row>
    <row r="818" spans="1:10" x14ac:dyDescent="0.3">
      <c r="A818" s="18">
        <v>817</v>
      </c>
      <c r="B818" s="5" t="s">
        <v>39</v>
      </c>
      <c r="C818" s="6">
        <v>45843</v>
      </c>
      <c r="D818" s="6" t="s">
        <v>264</v>
      </c>
      <c r="E818" s="8">
        <v>30000</v>
      </c>
      <c r="F818" s="9"/>
      <c r="G818" s="7">
        <v>1369625.08</v>
      </c>
      <c r="H818" s="2" t="s">
        <v>14</v>
      </c>
      <c r="I818" s="1" t="s">
        <v>14</v>
      </c>
    </row>
    <row r="819" spans="1:10" x14ac:dyDescent="0.3">
      <c r="A819" s="18">
        <v>818</v>
      </c>
      <c r="B819" s="120" t="s">
        <v>41</v>
      </c>
      <c r="C819" s="121">
        <v>45843</v>
      </c>
      <c r="D819" s="20" t="s">
        <v>216</v>
      </c>
      <c r="E819" s="122">
        <v>50000</v>
      </c>
      <c r="F819" s="122"/>
      <c r="G819" s="123">
        <v>1319625.08</v>
      </c>
      <c r="H819" s="125" t="s">
        <v>13</v>
      </c>
      <c r="I819" s="124" t="s">
        <v>13</v>
      </c>
    </row>
    <row r="820" spans="1:10" x14ac:dyDescent="0.3">
      <c r="A820" s="153">
        <v>819</v>
      </c>
      <c r="B820" s="35" t="s">
        <v>48</v>
      </c>
      <c r="C820" s="155">
        <v>45843</v>
      </c>
      <c r="D820" s="36" t="s">
        <v>273</v>
      </c>
      <c r="E820" s="156"/>
      <c r="F820" s="156">
        <v>7285</v>
      </c>
      <c r="G820" s="157">
        <v>1326910.08</v>
      </c>
      <c r="H820" s="159" t="s">
        <v>5</v>
      </c>
      <c r="I820" s="158" t="s">
        <v>5</v>
      </c>
    </row>
    <row r="821" spans="1:10" x14ac:dyDescent="0.3">
      <c r="A821" s="18">
        <v>820</v>
      </c>
      <c r="B821" s="120" t="s">
        <v>41</v>
      </c>
      <c r="C821" s="121">
        <v>45844</v>
      </c>
      <c r="D821" s="20" t="s">
        <v>188</v>
      </c>
      <c r="E821" s="122">
        <v>100000</v>
      </c>
      <c r="F821" s="122"/>
      <c r="G821" s="123">
        <v>1226910.08</v>
      </c>
      <c r="H821" s="125" t="s">
        <v>13</v>
      </c>
      <c r="I821" s="124" t="s">
        <v>13</v>
      </c>
      <c r="J821" s="177"/>
    </row>
    <row r="822" spans="1:10" x14ac:dyDescent="0.3">
      <c r="A822" s="146">
        <v>821</v>
      </c>
      <c r="B822" s="147" t="s">
        <v>42</v>
      </c>
      <c r="C822" s="148">
        <v>45844</v>
      </c>
      <c r="D822" s="30" t="s">
        <v>54</v>
      </c>
      <c r="E822" s="149">
        <v>15000</v>
      </c>
      <c r="F822" s="149"/>
      <c r="G822" s="150">
        <v>1211910.08</v>
      </c>
      <c r="H822" s="152" t="s">
        <v>33</v>
      </c>
      <c r="I822" s="151" t="s">
        <v>33</v>
      </c>
    </row>
    <row r="823" spans="1:10" x14ac:dyDescent="0.3">
      <c r="A823" s="133">
        <v>822</v>
      </c>
      <c r="B823" s="135" t="s">
        <v>44</v>
      </c>
      <c r="C823" s="134">
        <v>45845</v>
      </c>
      <c r="D823" s="134" t="s">
        <v>249</v>
      </c>
      <c r="E823" s="136">
        <v>300000</v>
      </c>
      <c r="F823" s="136"/>
      <c r="G823" s="137">
        <v>911910.08</v>
      </c>
      <c r="H823" s="139" t="s">
        <v>26</v>
      </c>
      <c r="I823" s="138" t="s">
        <v>26</v>
      </c>
    </row>
    <row r="824" spans="1:10" x14ac:dyDescent="0.3">
      <c r="A824" s="18">
        <v>823</v>
      </c>
      <c r="B824" s="120" t="s">
        <v>41</v>
      </c>
      <c r="C824" s="121">
        <v>45845</v>
      </c>
      <c r="D824" s="121" t="s">
        <v>220</v>
      </c>
      <c r="E824" s="122">
        <v>205507</v>
      </c>
      <c r="F824" s="122"/>
      <c r="G824" s="123">
        <v>706403.08</v>
      </c>
      <c r="H824" s="125" t="s">
        <v>26</v>
      </c>
      <c r="I824" s="124" t="s">
        <v>26</v>
      </c>
    </row>
    <row r="825" spans="1:10" x14ac:dyDescent="0.3">
      <c r="A825" s="133">
        <v>824</v>
      </c>
      <c r="B825" s="135" t="s">
        <v>44</v>
      </c>
      <c r="C825" s="134">
        <v>45845</v>
      </c>
      <c r="D825" s="41" t="s">
        <v>254</v>
      </c>
      <c r="E825" s="136">
        <v>150000</v>
      </c>
      <c r="F825" s="136"/>
      <c r="G825" s="137">
        <v>556403.07999999996</v>
      </c>
      <c r="H825" s="139" t="s">
        <v>26</v>
      </c>
      <c r="I825" s="138" t="s">
        <v>26</v>
      </c>
    </row>
    <row r="826" spans="1:10" x14ac:dyDescent="0.3">
      <c r="A826" s="18">
        <v>825</v>
      </c>
      <c r="B826" s="5" t="s">
        <v>39</v>
      </c>
      <c r="C826" s="6">
        <v>45845</v>
      </c>
      <c r="D826" s="25" t="s">
        <v>265</v>
      </c>
      <c r="E826" s="8">
        <v>4884</v>
      </c>
      <c r="F826" s="9"/>
      <c r="G826" s="7">
        <v>551519.07999999996</v>
      </c>
      <c r="H826" s="2" t="s">
        <v>6</v>
      </c>
      <c r="I826" s="1" t="s">
        <v>6</v>
      </c>
    </row>
    <row r="827" spans="1:10" x14ac:dyDescent="0.3">
      <c r="A827" s="18">
        <v>826</v>
      </c>
      <c r="B827" s="120" t="s">
        <v>41</v>
      </c>
      <c r="C827" s="121">
        <v>45845</v>
      </c>
      <c r="D827" s="121" t="s">
        <v>40</v>
      </c>
      <c r="E827" s="122"/>
      <c r="F827" s="122">
        <v>110000</v>
      </c>
      <c r="G827" s="123">
        <v>661519.07999999996</v>
      </c>
      <c r="H827" s="125" t="s">
        <v>30</v>
      </c>
      <c r="I827" s="124" t="s">
        <v>30</v>
      </c>
    </row>
    <row r="828" spans="1:10" x14ac:dyDescent="0.3">
      <c r="A828" s="18">
        <v>827</v>
      </c>
      <c r="B828" s="120" t="s">
        <v>41</v>
      </c>
      <c r="C828" s="121">
        <v>45845</v>
      </c>
      <c r="D828" s="20" t="s">
        <v>236</v>
      </c>
      <c r="E828" s="122">
        <v>92750</v>
      </c>
      <c r="F828" s="122"/>
      <c r="G828" s="123">
        <v>568769.07999999996</v>
      </c>
      <c r="H828" s="125" t="s">
        <v>13</v>
      </c>
      <c r="I828" s="124" t="s">
        <v>13</v>
      </c>
    </row>
    <row r="829" spans="1:10" x14ac:dyDescent="0.3">
      <c r="A829" s="18">
        <v>828</v>
      </c>
      <c r="B829" s="120" t="s">
        <v>41</v>
      </c>
      <c r="C829" s="121">
        <v>45845</v>
      </c>
      <c r="D829" s="20" t="s">
        <v>221</v>
      </c>
      <c r="E829" s="122"/>
      <c r="F829" s="122">
        <v>71700</v>
      </c>
      <c r="G829" s="123">
        <v>640469.07999999996</v>
      </c>
      <c r="H829" s="125" t="s">
        <v>5</v>
      </c>
      <c r="I829" s="124" t="s">
        <v>5</v>
      </c>
    </row>
    <row r="830" spans="1:10" x14ac:dyDescent="0.3">
      <c r="A830" s="18">
        <v>829</v>
      </c>
      <c r="B830" s="120" t="s">
        <v>41</v>
      </c>
      <c r="C830" s="121">
        <v>45845</v>
      </c>
      <c r="D830" s="20" t="s">
        <v>193</v>
      </c>
      <c r="E830" s="122"/>
      <c r="F830" s="122">
        <v>500000</v>
      </c>
      <c r="G830" s="123">
        <v>1140469.08</v>
      </c>
      <c r="H830" s="125" t="s">
        <v>7</v>
      </c>
      <c r="I830" s="124" t="s">
        <v>7</v>
      </c>
    </row>
    <row r="831" spans="1:10" x14ac:dyDescent="0.3">
      <c r="A831" s="153">
        <v>830</v>
      </c>
      <c r="B831" s="35" t="s">
        <v>48</v>
      </c>
      <c r="C831" s="155">
        <v>45845</v>
      </c>
      <c r="D831" s="36" t="s">
        <v>270</v>
      </c>
      <c r="E831" s="156">
        <v>700000</v>
      </c>
      <c r="F831" s="156"/>
      <c r="G831" s="157">
        <v>440469.08</v>
      </c>
      <c r="H831" s="159" t="s">
        <v>9</v>
      </c>
      <c r="I831" s="158" t="s">
        <v>9</v>
      </c>
    </row>
    <row r="832" spans="1:10" x14ac:dyDescent="0.3">
      <c r="A832" s="18">
        <v>831</v>
      </c>
      <c r="B832" s="120" t="s">
        <v>41</v>
      </c>
      <c r="C832" s="121">
        <v>45846</v>
      </c>
      <c r="D832" s="121" t="s">
        <v>207</v>
      </c>
      <c r="E832" s="122">
        <v>339041</v>
      </c>
      <c r="F832" s="122"/>
      <c r="G832" s="123">
        <v>101428.08</v>
      </c>
      <c r="H832" s="125" t="s">
        <v>26</v>
      </c>
      <c r="I832" s="124" t="s">
        <v>26</v>
      </c>
    </row>
    <row r="833" spans="1:10" x14ac:dyDescent="0.3">
      <c r="A833" s="18">
        <v>832</v>
      </c>
      <c r="B833" s="120" t="s">
        <v>41</v>
      </c>
      <c r="C833" s="121">
        <v>45846</v>
      </c>
      <c r="D833" s="121" t="s">
        <v>186</v>
      </c>
      <c r="E833" s="122">
        <v>35000</v>
      </c>
      <c r="F833" s="122"/>
      <c r="G833" s="123">
        <v>66428.08</v>
      </c>
      <c r="H833" s="125" t="s">
        <v>26</v>
      </c>
      <c r="I833" s="124" t="s">
        <v>26</v>
      </c>
    </row>
    <row r="834" spans="1:10" x14ac:dyDescent="0.3">
      <c r="A834" s="18">
        <v>833</v>
      </c>
      <c r="B834" s="120" t="s">
        <v>41</v>
      </c>
      <c r="C834" s="121">
        <v>45846</v>
      </c>
      <c r="D834" s="20" t="s">
        <v>188</v>
      </c>
      <c r="E834" s="122">
        <v>15000</v>
      </c>
      <c r="F834" s="122"/>
      <c r="G834" s="123">
        <v>51428.08</v>
      </c>
      <c r="H834" s="125" t="s">
        <v>13</v>
      </c>
      <c r="I834" s="124" t="s">
        <v>13</v>
      </c>
      <c r="J834" s="177"/>
    </row>
    <row r="835" spans="1:10" x14ac:dyDescent="0.3">
      <c r="A835" s="18">
        <v>834</v>
      </c>
      <c r="B835" s="120" t="s">
        <v>41</v>
      </c>
      <c r="C835" s="121">
        <v>45847</v>
      </c>
      <c r="D835" s="20" t="s">
        <v>193</v>
      </c>
      <c r="E835" s="122"/>
      <c r="F835" s="122">
        <v>500000</v>
      </c>
      <c r="G835" s="123">
        <v>551428.07999999996</v>
      </c>
      <c r="H835" s="125" t="s">
        <v>7</v>
      </c>
      <c r="I835" s="124" t="s">
        <v>7</v>
      </c>
    </row>
    <row r="836" spans="1:10" x14ac:dyDescent="0.3">
      <c r="A836" s="18">
        <v>835</v>
      </c>
      <c r="B836" s="120" t="s">
        <v>41</v>
      </c>
      <c r="C836" s="121">
        <v>45847</v>
      </c>
      <c r="D836" s="121" t="s">
        <v>52</v>
      </c>
      <c r="E836" s="122"/>
      <c r="F836" s="122">
        <v>2300</v>
      </c>
      <c r="G836" s="123">
        <v>553728.07999999996</v>
      </c>
      <c r="H836" s="125" t="s">
        <v>8</v>
      </c>
      <c r="I836" s="124" t="s">
        <v>8</v>
      </c>
      <c r="J836" s="177"/>
    </row>
    <row r="837" spans="1:10" x14ac:dyDescent="0.3">
      <c r="A837" s="153">
        <v>836</v>
      </c>
      <c r="B837" s="35" t="s">
        <v>48</v>
      </c>
      <c r="C837" s="155">
        <v>45847</v>
      </c>
      <c r="D837" s="36" t="s">
        <v>270</v>
      </c>
      <c r="E837" s="156">
        <v>500000</v>
      </c>
      <c r="F837" s="156"/>
      <c r="G837" s="157">
        <v>53728.08</v>
      </c>
      <c r="H837" s="159" t="s">
        <v>25</v>
      </c>
      <c r="I837" s="158" t="s">
        <v>25</v>
      </c>
    </row>
    <row r="838" spans="1:10" x14ac:dyDescent="0.3">
      <c r="A838" s="18">
        <v>837</v>
      </c>
      <c r="B838" s="120" t="s">
        <v>41</v>
      </c>
      <c r="C838" s="121">
        <v>45847</v>
      </c>
      <c r="D838" s="121" t="s">
        <v>206</v>
      </c>
      <c r="E838" s="122"/>
      <c r="F838" s="122">
        <v>500000</v>
      </c>
      <c r="G838" s="123">
        <v>553728.07999999996</v>
      </c>
      <c r="H838" s="125" t="s">
        <v>10</v>
      </c>
      <c r="I838" s="124" t="s">
        <v>10</v>
      </c>
    </row>
    <row r="839" spans="1:10" x14ac:dyDescent="0.3">
      <c r="A839" s="153">
        <v>838</v>
      </c>
      <c r="B839" s="35" t="s">
        <v>48</v>
      </c>
      <c r="C839" s="155">
        <v>45847</v>
      </c>
      <c r="D839" s="36" t="s">
        <v>270</v>
      </c>
      <c r="E839" s="156">
        <v>500000</v>
      </c>
      <c r="F839" s="156"/>
      <c r="G839" s="157">
        <v>53728.08</v>
      </c>
      <c r="H839" s="159" t="s">
        <v>25</v>
      </c>
      <c r="I839" s="158" t="s">
        <v>25</v>
      </c>
    </row>
    <row r="840" spans="1:10" x14ac:dyDescent="0.3">
      <c r="A840" s="18">
        <v>839</v>
      </c>
      <c r="B840" s="120" t="s">
        <v>41</v>
      </c>
      <c r="C840" s="121">
        <v>45847</v>
      </c>
      <c r="D840" s="20" t="s">
        <v>227</v>
      </c>
      <c r="E840" s="122"/>
      <c r="F840" s="122">
        <v>496805</v>
      </c>
      <c r="G840" s="123">
        <v>550533.07999999996</v>
      </c>
      <c r="H840" s="125" t="s">
        <v>5</v>
      </c>
      <c r="I840" s="124" t="s">
        <v>5</v>
      </c>
    </row>
    <row r="841" spans="1:10" x14ac:dyDescent="0.3">
      <c r="A841" s="153">
        <v>840</v>
      </c>
      <c r="B841" s="154" t="s">
        <v>48</v>
      </c>
      <c r="C841" s="155">
        <v>45847</v>
      </c>
      <c r="D841" s="36" t="s">
        <v>276</v>
      </c>
      <c r="E841" s="156">
        <v>20000</v>
      </c>
      <c r="F841" s="156"/>
      <c r="G841" s="157">
        <v>530533.07999999996</v>
      </c>
      <c r="H841" s="159" t="s">
        <v>18</v>
      </c>
      <c r="I841" s="158" t="s">
        <v>18</v>
      </c>
    </row>
    <row r="842" spans="1:10" x14ac:dyDescent="0.3">
      <c r="A842" s="18">
        <v>841</v>
      </c>
      <c r="B842" s="120" t="s">
        <v>41</v>
      </c>
      <c r="C842" s="121">
        <v>45848</v>
      </c>
      <c r="D842" s="20" t="s">
        <v>226</v>
      </c>
      <c r="E842" s="122">
        <v>181300</v>
      </c>
      <c r="F842" s="122"/>
      <c r="G842" s="123">
        <v>349233.08</v>
      </c>
      <c r="H842" s="125" t="s">
        <v>26</v>
      </c>
      <c r="I842" s="124" t="s">
        <v>26</v>
      </c>
    </row>
    <row r="843" spans="1:10" x14ac:dyDescent="0.3">
      <c r="A843" s="153">
        <v>842</v>
      </c>
      <c r="B843" s="154" t="s">
        <v>48</v>
      </c>
      <c r="C843" s="155">
        <v>45848</v>
      </c>
      <c r="D843" s="36" t="s">
        <v>276</v>
      </c>
      <c r="E843" s="156">
        <v>30000</v>
      </c>
      <c r="F843" s="156"/>
      <c r="G843" s="157">
        <v>319233.08</v>
      </c>
      <c r="H843" s="159" t="s">
        <v>6</v>
      </c>
      <c r="I843" s="158" t="s">
        <v>6</v>
      </c>
    </row>
    <row r="844" spans="1:10" x14ac:dyDescent="0.3">
      <c r="A844" s="133">
        <v>843</v>
      </c>
      <c r="B844" s="135" t="s">
        <v>47</v>
      </c>
      <c r="C844" s="134">
        <v>45848</v>
      </c>
      <c r="D844" s="134" t="s">
        <v>242</v>
      </c>
      <c r="E844" s="136">
        <v>15000</v>
      </c>
      <c r="F844" s="136"/>
      <c r="G844" s="137">
        <v>304233.08</v>
      </c>
      <c r="H844" s="139" t="s">
        <v>32</v>
      </c>
      <c r="I844" s="138" t="s">
        <v>32</v>
      </c>
    </row>
    <row r="845" spans="1:10" x14ac:dyDescent="0.3">
      <c r="A845" s="153">
        <v>844</v>
      </c>
      <c r="B845" s="154" t="s">
        <v>48</v>
      </c>
      <c r="C845" s="155">
        <v>45848</v>
      </c>
      <c r="D845" s="36" t="s">
        <v>276</v>
      </c>
      <c r="E845" s="156">
        <v>12000</v>
      </c>
      <c r="F845" s="156"/>
      <c r="G845" s="157">
        <v>292233.08</v>
      </c>
      <c r="H845" s="159" t="s">
        <v>6</v>
      </c>
      <c r="I845" s="158" t="s">
        <v>6</v>
      </c>
    </row>
    <row r="846" spans="1:10" x14ac:dyDescent="0.3">
      <c r="A846" s="153">
        <v>845</v>
      </c>
      <c r="B846" s="35" t="s">
        <v>48</v>
      </c>
      <c r="C846" s="155">
        <v>45848</v>
      </c>
      <c r="D846" s="36" t="s">
        <v>270</v>
      </c>
      <c r="E846" s="156">
        <v>250000</v>
      </c>
      <c r="F846" s="156"/>
      <c r="G846" s="157">
        <v>42233.08</v>
      </c>
      <c r="H846" s="159" t="s">
        <v>25</v>
      </c>
      <c r="I846" s="158" t="s">
        <v>25</v>
      </c>
    </row>
    <row r="847" spans="1:10" x14ac:dyDescent="0.3">
      <c r="A847" s="18">
        <v>846</v>
      </c>
      <c r="B847" s="120" t="s">
        <v>41</v>
      </c>
      <c r="C847" s="121">
        <v>45848</v>
      </c>
      <c r="D847" s="20" t="s">
        <v>230</v>
      </c>
      <c r="E847" s="122"/>
      <c r="F847" s="122">
        <v>467807</v>
      </c>
      <c r="G847" s="123">
        <v>510040.08</v>
      </c>
      <c r="H847" s="125" t="s">
        <v>5</v>
      </c>
      <c r="I847" s="124" t="s">
        <v>5</v>
      </c>
    </row>
    <row r="848" spans="1:10" x14ac:dyDescent="0.3">
      <c r="A848" s="18">
        <v>847</v>
      </c>
      <c r="B848" s="120" t="s">
        <v>41</v>
      </c>
      <c r="C848" s="121">
        <v>45849</v>
      </c>
      <c r="D848" s="20" t="s">
        <v>197</v>
      </c>
      <c r="E848" s="122">
        <v>18900</v>
      </c>
      <c r="F848" s="122"/>
      <c r="G848" s="123">
        <v>491140.08</v>
      </c>
      <c r="H848" s="125" t="s">
        <v>26</v>
      </c>
      <c r="I848" s="124" t="s">
        <v>26</v>
      </c>
    </row>
    <row r="849" spans="1:10" x14ac:dyDescent="0.3">
      <c r="A849" s="18">
        <v>848</v>
      </c>
      <c r="B849" s="120" t="s">
        <v>41</v>
      </c>
      <c r="C849" s="121">
        <v>45849</v>
      </c>
      <c r="D849" s="121" t="s">
        <v>210</v>
      </c>
      <c r="E849" s="122">
        <v>37800</v>
      </c>
      <c r="F849" s="122"/>
      <c r="G849" s="123">
        <v>453340.08</v>
      </c>
      <c r="H849" s="125" t="s">
        <v>26</v>
      </c>
      <c r="I849" s="124" t="s">
        <v>26</v>
      </c>
    </row>
    <row r="850" spans="1:10" x14ac:dyDescent="0.3">
      <c r="A850" s="18">
        <v>849</v>
      </c>
      <c r="B850" s="120" t="s">
        <v>41</v>
      </c>
      <c r="C850" s="121">
        <v>45849</v>
      </c>
      <c r="D850" s="121" t="s">
        <v>40</v>
      </c>
      <c r="E850" s="122">
        <v>13000</v>
      </c>
      <c r="F850" s="122"/>
      <c r="G850" s="123">
        <v>440340.08</v>
      </c>
      <c r="H850" s="125" t="s">
        <v>11</v>
      </c>
      <c r="I850" s="124" t="s">
        <v>11</v>
      </c>
    </row>
    <row r="851" spans="1:10" x14ac:dyDescent="0.3">
      <c r="A851" s="153">
        <v>850</v>
      </c>
      <c r="B851" s="154" t="s">
        <v>48</v>
      </c>
      <c r="C851" s="155">
        <v>45851</v>
      </c>
      <c r="D851" s="36" t="s">
        <v>276</v>
      </c>
      <c r="E851" s="156">
        <v>10000</v>
      </c>
      <c r="F851" s="156"/>
      <c r="G851" s="157">
        <v>430340.08</v>
      </c>
      <c r="H851" s="159" t="s">
        <v>6</v>
      </c>
      <c r="I851" s="158" t="s">
        <v>6</v>
      </c>
    </row>
    <row r="852" spans="1:10" x14ac:dyDescent="0.3">
      <c r="A852" s="153">
        <v>851</v>
      </c>
      <c r="B852" s="154" t="s">
        <v>48</v>
      </c>
      <c r="C852" s="155">
        <v>45851</v>
      </c>
      <c r="D852" s="36" t="s">
        <v>271</v>
      </c>
      <c r="E852" s="156">
        <v>15000</v>
      </c>
      <c r="F852" s="156"/>
      <c r="G852" s="157">
        <v>415340.08</v>
      </c>
      <c r="H852" s="159" t="s">
        <v>25</v>
      </c>
      <c r="I852" s="158" t="s">
        <v>25</v>
      </c>
    </row>
    <row r="853" spans="1:10" x14ac:dyDescent="0.3">
      <c r="A853" s="133">
        <v>852</v>
      </c>
      <c r="B853" s="135" t="s">
        <v>44</v>
      </c>
      <c r="C853" s="134">
        <v>45852</v>
      </c>
      <c r="D853" s="41" t="s">
        <v>252</v>
      </c>
      <c r="E853" s="136">
        <v>100000</v>
      </c>
      <c r="F853" s="136"/>
      <c r="G853" s="137">
        <v>315340.08</v>
      </c>
      <c r="H853" s="139" t="s">
        <v>26</v>
      </c>
      <c r="I853" s="138" t="s">
        <v>26</v>
      </c>
    </row>
    <row r="854" spans="1:10" x14ac:dyDescent="0.3">
      <c r="A854" s="133">
        <v>853</v>
      </c>
      <c r="B854" s="135" t="s">
        <v>44</v>
      </c>
      <c r="C854" s="134">
        <v>45852</v>
      </c>
      <c r="D854" s="41" t="s">
        <v>257</v>
      </c>
      <c r="E854" s="136">
        <v>150000</v>
      </c>
      <c r="F854" s="136"/>
      <c r="G854" s="137">
        <v>165340.07999999999</v>
      </c>
      <c r="H854" s="139" t="s">
        <v>26</v>
      </c>
      <c r="I854" s="138" t="s">
        <v>26</v>
      </c>
    </row>
    <row r="855" spans="1:10" x14ac:dyDescent="0.3">
      <c r="A855" s="18">
        <v>854</v>
      </c>
      <c r="B855" s="120" t="s">
        <v>41</v>
      </c>
      <c r="C855" s="121">
        <v>45852</v>
      </c>
      <c r="D855" s="20" t="s">
        <v>193</v>
      </c>
      <c r="E855" s="122"/>
      <c r="F855" s="122">
        <v>216410</v>
      </c>
      <c r="G855" s="123">
        <v>381750.08</v>
      </c>
      <c r="H855" s="125" t="s">
        <v>7</v>
      </c>
      <c r="I855" s="124" t="s">
        <v>7</v>
      </c>
    </row>
    <row r="856" spans="1:10" x14ac:dyDescent="0.3">
      <c r="A856" s="133">
        <v>855</v>
      </c>
      <c r="B856" s="135" t="s">
        <v>44</v>
      </c>
      <c r="C856" s="134">
        <v>45852</v>
      </c>
      <c r="D856" s="41" t="s">
        <v>254</v>
      </c>
      <c r="E856" s="136">
        <v>150000</v>
      </c>
      <c r="F856" s="136"/>
      <c r="G856" s="137">
        <v>231750.08</v>
      </c>
      <c r="H856" s="139" t="s">
        <v>26</v>
      </c>
      <c r="I856" s="138" t="s">
        <v>26</v>
      </c>
    </row>
    <row r="857" spans="1:10" x14ac:dyDescent="0.3">
      <c r="A857" s="18">
        <v>856</v>
      </c>
      <c r="B857" s="120" t="s">
        <v>41</v>
      </c>
      <c r="C857" s="121">
        <v>45852</v>
      </c>
      <c r="D857" s="20" t="s">
        <v>228</v>
      </c>
      <c r="E857" s="122"/>
      <c r="F857" s="122">
        <v>154757</v>
      </c>
      <c r="G857" s="123">
        <v>386507.08</v>
      </c>
      <c r="H857" s="125" t="s">
        <v>5</v>
      </c>
      <c r="I857" s="124" t="s">
        <v>5</v>
      </c>
    </row>
    <row r="858" spans="1:10" x14ac:dyDescent="0.3">
      <c r="A858" s="18">
        <v>857</v>
      </c>
      <c r="B858" s="120" t="s">
        <v>41</v>
      </c>
      <c r="C858" s="121">
        <v>45852</v>
      </c>
      <c r="D858" s="20" t="s">
        <v>227</v>
      </c>
      <c r="E858" s="122"/>
      <c r="F858" s="122">
        <v>500000</v>
      </c>
      <c r="G858" s="123">
        <v>886507.08</v>
      </c>
      <c r="H858" s="125" t="s">
        <v>5</v>
      </c>
      <c r="I858" s="124" t="s">
        <v>5</v>
      </c>
    </row>
    <row r="859" spans="1:10" x14ac:dyDescent="0.3">
      <c r="A859" s="18">
        <v>858</v>
      </c>
      <c r="B859" s="120" t="s">
        <v>41</v>
      </c>
      <c r="C859" s="121">
        <v>45852</v>
      </c>
      <c r="D859" s="20" t="s">
        <v>188</v>
      </c>
      <c r="E859" s="122">
        <v>13000</v>
      </c>
      <c r="F859" s="122"/>
      <c r="G859" s="123">
        <v>873507.08</v>
      </c>
      <c r="H859" s="125" t="s">
        <v>13</v>
      </c>
      <c r="I859" s="124" t="s">
        <v>13</v>
      </c>
    </row>
    <row r="860" spans="1:10" x14ac:dyDescent="0.3">
      <c r="A860" s="18">
        <v>859</v>
      </c>
      <c r="B860" s="120" t="s">
        <v>41</v>
      </c>
      <c r="C860" s="121">
        <v>45852</v>
      </c>
      <c r="D860" s="121" t="s">
        <v>52</v>
      </c>
      <c r="E860" s="122"/>
      <c r="F860" s="122">
        <v>10752</v>
      </c>
      <c r="G860" s="123">
        <v>884259.08</v>
      </c>
      <c r="H860" s="125" t="s">
        <v>10</v>
      </c>
      <c r="I860" s="124" t="s">
        <v>10</v>
      </c>
      <c r="J860" s="177"/>
    </row>
    <row r="861" spans="1:10" x14ac:dyDescent="0.3">
      <c r="A861" s="153">
        <v>860</v>
      </c>
      <c r="B861" s="154" t="s">
        <v>48</v>
      </c>
      <c r="C861" s="155">
        <v>45852</v>
      </c>
      <c r="D861" s="36" t="s">
        <v>271</v>
      </c>
      <c r="E861" s="156">
        <v>4000</v>
      </c>
      <c r="F861" s="156"/>
      <c r="G861" s="157">
        <v>880259.08</v>
      </c>
      <c r="H861" s="159" t="s">
        <v>25</v>
      </c>
      <c r="I861" s="158" t="s">
        <v>25</v>
      </c>
    </row>
    <row r="862" spans="1:10" x14ac:dyDescent="0.3">
      <c r="A862" s="18">
        <v>861</v>
      </c>
      <c r="B862" s="120" t="s">
        <v>41</v>
      </c>
      <c r="C862" s="121">
        <v>45853</v>
      </c>
      <c r="D862" s="121" t="s">
        <v>207</v>
      </c>
      <c r="E862" s="122">
        <v>508561</v>
      </c>
      <c r="F862" s="122"/>
      <c r="G862" s="123">
        <v>371698.08</v>
      </c>
      <c r="H862" s="125" t="s">
        <v>26</v>
      </c>
      <c r="I862" s="124" t="s">
        <v>26</v>
      </c>
    </row>
    <row r="863" spans="1:10" x14ac:dyDescent="0.3">
      <c r="A863" s="133">
        <v>862</v>
      </c>
      <c r="B863" s="135" t="s">
        <v>44</v>
      </c>
      <c r="C863" s="134">
        <v>45853</v>
      </c>
      <c r="D863" s="134" t="s">
        <v>255</v>
      </c>
      <c r="E863" s="136">
        <v>312500</v>
      </c>
      <c r="F863" s="136"/>
      <c r="G863" s="137">
        <v>59198.080000000002</v>
      </c>
      <c r="H863" s="139" t="s">
        <v>26</v>
      </c>
      <c r="I863" s="138" t="s">
        <v>26</v>
      </c>
    </row>
    <row r="864" spans="1:10" x14ac:dyDescent="0.3">
      <c r="A864" s="18">
        <v>863</v>
      </c>
      <c r="B864" s="120" t="s">
        <v>41</v>
      </c>
      <c r="C864" s="121">
        <v>45853</v>
      </c>
      <c r="D864" s="20" t="s">
        <v>231</v>
      </c>
      <c r="E864" s="122">
        <v>51603</v>
      </c>
      <c r="F864" s="122"/>
      <c r="G864" s="123">
        <v>7595.08</v>
      </c>
      <c r="H864" s="125" t="s">
        <v>26</v>
      </c>
      <c r="I864" s="124" t="s">
        <v>26</v>
      </c>
    </row>
    <row r="865" spans="1:9" x14ac:dyDescent="0.3">
      <c r="A865" s="167">
        <v>864</v>
      </c>
      <c r="B865" s="169" t="s">
        <v>42</v>
      </c>
      <c r="C865" s="141">
        <v>45853</v>
      </c>
      <c r="D865" s="168" t="s">
        <v>266</v>
      </c>
      <c r="E865" s="142">
        <v>250000</v>
      </c>
      <c r="F865" s="142"/>
      <c r="G865" s="143">
        <v>-242404.92</v>
      </c>
      <c r="H865" s="145" t="s">
        <v>26</v>
      </c>
      <c r="I865" s="144" t="s">
        <v>26</v>
      </c>
    </row>
    <row r="866" spans="1:9" x14ac:dyDescent="0.3">
      <c r="A866" s="167">
        <v>865</v>
      </c>
      <c r="B866" s="169" t="s">
        <v>42</v>
      </c>
      <c r="C866" s="141">
        <v>45853</v>
      </c>
      <c r="D866" s="168" t="s">
        <v>266</v>
      </c>
      <c r="E866" s="142"/>
      <c r="F866" s="142">
        <v>250000</v>
      </c>
      <c r="G866" s="143">
        <v>7595.08</v>
      </c>
      <c r="H866" s="145" t="s">
        <v>31</v>
      </c>
      <c r="I866" s="144" t="s">
        <v>31</v>
      </c>
    </row>
    <row r="867" spans="1:9" x14ac:dyDescent="0.3">
      <c r="A867" s="160">
        <v>866</v>
      </c>
      <c r="B867" s="161" t="s">
        <v>42</v>
      </c>
      <c r="C867" s="162">
        <v>45853</v>
      </c>
      <c r="D867" s="168" t="s">
        <v>266</v>
      </c>
      <c r="E867" s="163">
        <v>225055</v>
      </c>
      <c r="F867" s="163"/>
      <c r="G867" s="164">
        <v>-217459.92</v>
      </c>
      <c r="H867" s="166" t="s">
        <v>26</v>
      </c>
      <c r="I867" s="165" t="s">
        <v>26</v>
      </c>
    </row>
    <row r="868" spans="1:9" x14ac:dyDescent="0.3">
      <c r="A868" s="160">
        <v>867</v>
      </c>
      <c r="B868" s="161" t="s">
        <v>42</v>
      </c>
      <c r="C868" s="162">
        <v>45853</v>
      </c>
      <c r="D868" s="168" t="s">
        <v>266</v>
      </c>
      <c r="E868" s="163"/>
      <c r="F868" s="163">
        <v>225055</v>
      </c>
      <c r="G868" s="164">
        <v>7595.08</v>
      </c>
      <c r="H868" s="166" t="s">
        <v>31</v>
      </c>
      <c r="I868" s="165" t="s">
        <v>31</v>
      </c>
    </row>
    <row r="869" spans="1:9" x14ac:dyDescent="0.3">
      <c r="A869" s="18">
        <v>868</v>
      </c>
      <c r="B869" s="120" t="s">
        <v>41</v>
      </c>
      <c r="C869" s="121">
        <v>45853</v>
      </c>
      <c r="D869" s="20" t="s">
        <v>193</v>
      </c>
      <c r="E869" s="122"/>
      <c r="F869" s="122">
        <v>500000</v>
      </c>
      <c r="G869" s="123">
        <v>507595.08</v>
      </c>
      <c r="H869" s="125" t="s">
        <v>7</v>
      </c>
      <c r="I869" s="124" t="s">
        <v>7</v>
      </c>
    </row>
    <row r="870" spans="1:9" x14ac:dyDescent="0.3">
      <c r="A870" s="133">
        <v>869</v>
      </c>
      <c r="B870" s="135" t="s">
        <v>44</v>
      </c>
      <c r="C870" s="134">
        <v>45853</v>
      </c>
      <c r="D870" s="134" t="s">
        <v>247</v>
      </c>
      <c r="E870" s="136"/>
      <c r="F870" s="136">
        <v>1000000</v>
      </c>
      <c r="G870" s="137">
        <v>1507595.08</v>
      </c>
      <c r="H870" s="139" t="s">
        <v>5</v>
      </c>
      <c r="I870" s="138" t="s">
        <v>5</v>
      </c>
    </row>
    <row r="871" spans="1:9" x14ac:dyDescent="0.3">
      <c r="A871" s="133">
        <v>870</v>
      </c>
      <c r="B871" s="135" t="s">
        <v>47</v>
      </c>
      <c r="C871" s="134">
        <v>45853</v>
      </c>
      <c r="D871" s="41" t="s">
        <v>245</v>
      </c>
      <c r="E871" s="136">
        <v>25420</v>
      </c>
      <c r="F871" s="136"/>
      <c r="G871" s="137">
        <v>1482175.08</v>
      </c>
      <c r="H871" s="139" t="s">
        <v>18</v>
      </c>
      <c r="I871" s="138" t="s">
        <v>18</v>
      </c>
    </row>
    <row r="872" spans="1:9" x14ac:dyDescent="0.3">
      <c r="A872" s="153">
        <v>871</v>
      </c>
      <c r="B872" s="35" t="s">
        <v>48</v>
      </c>
      <c r="C872" s="155">
        <v>45853</v>
      </c>
      <c r="D872" s="36" t="s">
        <v>270</v>
      </c>
      <c r="E872" s="156">
        <v>1000000</v>
      </c>
      <c r="F872" s="156"/>
      <c r="G872" s="157">
        <v>482175.08</v>
      </c>
      <c r="H872" s="159" t="s">
        <v>9</v>
      </c>
      <c r="I872" s="158" t="s">
        <v>9</v>
      </c>
    </row>
    <row r="873" spans="1:9" x14ac:dyDescent="0.3">
      <c r="A873" s="133">
        <v>872</v>
      </c>
      <c r="B873" s="135" t="s">
        <v>44</v>
      </c>
      <c r="C873" s="134">
        <v>45853</v>
      </c>
      <c r="D873" s="134" t="s">
        <v>250</v>
      </c>
      <c r="E873" s="136">
        <v>250000</v>
      </c>
      <c r="F873" s="136"/>
      <c r="G873" s="137">
        <v>232175.08</v>
      </c>
      <c r="H873" s="139" t="s">
        <v>26</v>
      </c>
      <c r="I873" s="138" t="s">
        <v>26</v>
      </c>
    </row>
    <row r="874" spans="1:9" x14ac:dyDescent="0.3">
      <c r="A874" s="18">
        <v>873</v>
      </c>
      <c r="B874" s="120" t="s">
        <v>41</v>
      </c>
      <c r="C874" s="121">
        <v>45853</v>
      </c>
      <c r="D874" s="20" t="s">
        <v>226</v>
      </c>
      <c r="E874" s="122">
        <v>225055</v>
      </c>
      <c r="F874" s="122"/>
      <c r="G874" s="123">
        <v>7120.08</v>
      </c>
      <c r="H874" s="125" t="s">
        <v>26</v>
      </c>
      <c r="I874" s="124" t="s">
        <v>26</v>
      </c>
    </row>
    <row r="875" spans="1:9" x14ac:dyDescent="0.3">
      <c r="A875" s="18">
        <v>874</v>
      </c>
      <c r="B875" s="120" t="s">
        <v>41</v>
      </c>
      <c r="C875" s="121">
        <v>45853</v>
      </c>
      <c r="D875" s="20" t="s">
        <v>227</v>
      </c>
      <c r="E875" s="122"/>
      <c r="F875" s="122">
        <v>67208</v>
      </c>
      <c r="G875" s="123">
        <v>74328.08</v>
      </c>
      <c r="H875" s="125" t="s">
        <v>5</v>
      </c>
      <c r="I875" s="124" t="s">
        <v>5</v>
      </c>
    </row>
    <row r="876" spans="1:9" x14ac:dyDescent="0.3">
      <c r="A876" s="133">
        <v>875</v>
      </c>
      <c r="B876" s="135" t="s">
        <v>44</v>
      </c>
      <c r="C876" s="134">
        <v>45853</v>
      </c>
      <c r="D876" s="134" t="s">
        <v>247</v>
      </c>
      <c r="E876" s="136"/>
      <c r="F876" s="136">
        <v>550000</v>
      </c>
      <c r="G876" s="137">
        <v>624328.07999999996</v>
      </c>
      <c r="H876" s="139" t="s">
        <v>7</v>
      </c>
      <c r="I876" s="138" t="s">
        <v>7</v>
      </c>
    </row>
    <row r="877" spans="1:9" x14ac:dyDescent="0.3">
      <c r="A877" s="153">
        <v>876</v>
      </c>
      <c r="B877" s="35" t="s">
        <v>48</v>
      </c>
      <c r="C877" s="155">
        <v>45854</v>
      </c>
      <c r="D877" s="36" t="s">
        <v>270</v>
      </c>
      <c r="E877" s="156">
        <v>278399</v>
      </c>
      <c r="F877" s="156"/>
      <c r="G877" s="157">
        <v>345929.08</v>
      </c>
      <c r="H877" s="159" t="s">
        <v>26</v>
      </c>
      <c r="I877" s="158" t="s">
        <v>26</v>
      </c>
    </row>
    <row r="878" spans="1:9" x14ac:dyDescent="0.3">
      <c r="A878" s="153">
        <v>877</v>
      </c>
      <c r="B878" s="154" t="s">
        <v>48</v>
      </c>
      <c r="C878" s="155">
        <v>45854</v>
      </c>
      <c r="D878" s="36" t="s">
        <v>271</v>
      </c>
      <c r="E878" s="156">
        <v>5000</v>
      </c>
      <c r="F878" s="156"/>
      <c r="G878" s="157">
        <v>340929.08</v>
      </c>
      <c r="H878" s="159" t="s">
        <v>25</v>
      </c>
      <c r="I878" s="158" t="s">
        <v>25</v>
      </c>
    </row>
    <row r="879" spans="1:9" x14ac:dyDescent="0.3">
      <c r="A879" s="18">
        <v>878</v>
      </c>
      <c r="B879" s="120" t="s">
        <v>41</v>
      </c>
      <c r="C879" s="121">
        <v>45854</v>
      </c>
      <c r="D879" s="20" t="s">
        <v>198</v>
      </c>
      <c r="E879" s="122"/>
      <c r="F879" s="122">
        <v>7402</v>
      </c>
      <c r="G879" s="123">
        <v>348331.08</v>
      </c>
      <c r="H879" s="125" t="s">
        <v>5</v>
      </c>
      <c r="I879" s="124" t="s">
        <v>5</v>
      </c>
    </row>
    <row r="880" spans="1:9" x14ac:dyDescent="0.3">
      <c r="A880" s="126">
        <v>879</v>
      </c>
      <c r="B880" s="127" t="s">
        <v>45</v>
      </c>
      <c r="C880" s="128">
        <v>45854</v>
      </c>
      <c r="D880" s="128" t="s">
        <v>240</v>
      </c>
      <c r="E880" s="129"/>
      <c r="F880" s="129">
        <v>600000</v>
      </c>
      <c r="G880" s="130">
        <v>948331.08</v>
      </c>
      <c r="H880" s="132" t="s">
        <v>7</v>
      </c>
      <c r="I880" s="131" t="s">
        <v>7</v>
      </c>
    </row>
    <row r="881" spans="1:10" x14ac:dyDescent="0.3">
      <c r="A881" s="153">
        <v>880</v>
      </c>
      <c r="B881" s="35" t="s">
        <v>48</v>
      </c>
      <c r="C881" s="155">
        <v>45854</v>
      </c>
      <c r="D881" s="36" t="s">
        <v>270</v>
      </c>
      <c r="E881" s="156">
        <v>900000</v>
      </c>
      <c r="F881" s="156"/>
      <c r="G881" s="157">
        <v>48331.08</v>
      </c>
      <c r="H881" s="159" t="s">
        <v>9</v>
      </c>
      <c r="I881" s="158" t="s">
        <v>9</v>
      </c>
    </row>
    <row r="882" spans="1:10" x14ac:dyDescent="0.3">
      <c r="A882" s="18">
        <v>881</v>
      </c>
      <c r="B882" s="120" t="s">
        <v>41</v>
      </c>
      <c r="C882" s="121">
        <v>45854</v>
      </c>
      <c r="D882" s="20" t="s">
        <v>194</v>
      </c>
      <c r="E882" s="122"/>
      <c r="F882" s="122">
        <v>57750</v>
      </c>
      <c r="G882" s="123">
        <v>106081.08</v>
      </c>
      <c r="H882" s="125" t="s">
        <v>28</v>
      </c>
      <c r="I882" s="124" t="s">
        <v>28</v>
      </c>
    </row>
    <row r="883" spans="1:10" x14ac:dyDescent="0.3">
      <c r="A883" s="18">
        <v>882</v>
      </c>
      <c r="B883" s="120" t="s">
        <v>41</v>
      </c>
      <c r="C883" s="121">
        <v>45854</v>
      </c>
      <c r="D883" s="121" t="s">
        <v>52</v>
      </c>
      <c r="E883" s="122"/>
      <c r="F883" s="122">
        <v>10658</v>
      </c>
      <c r="G883" s="123">
        <v>116739.08</v>
      </c>
      <c r="H883" s="125" t="s">
        <v>28</v>
      </c>
      <c r="I883" s="124" t="s">
        <v>28</v>
      </c>
      <c r="J883" s="177"/>
    </row>
    <row r="884" spans="1:10" x14ac:dyDescent="0.3">
      <c r="A884" s="133">
        <v>883</v>
      </c>
      <c r="B884" s="135" t="s">
        <v>44</v>
      </c>
      <c r="C884" s="134">
        <v>45854</v>
      </c>
      <c r="D884" s="134" t="s">
        <v>247</v>
      </c>
      <c r="E884" s="136"/>
      <c r="F884" s="136">
        <v>250000</v>
      </c>
      <c r="G884" s="137">
        <v>366739.08</v>
      </c>
      <c r="H884" s="139" t="s">
        <v>5</v>
      </c>
      <c r="I884" s="138" t="s">
        <v>5</v>
      </c>
    </row>
    <row r="885" spans="1:10" x14ac:dyDescent="0.3">
      <c r="A885" s="153">
        <v>884</v>
      </c>
      <c r="B885" s="154" t="s">
        <v>48</v>
      </c>
      <c r="C885" s="155">
        <v>45854</v>
      </c>
      <c r="D885" s="36" t="s">
        <v>276</v>
      </c>
      <c r="E885" s="156">
        <v>5000</v>
      </c>
      <c r="F885" s="156"/>
      <c r="G885" s="157">
        <v>361739.08</v>
      </c>
      <c r="H885" s="159" t="s">
        <v>6</v>
      </c>
      <c r="I885" s="158" t="s">
        <v>6</v>
      </c>
    </row>
    <row r="886" spans="1:10" x14ac:dyDescent="0.3">
      <c r="A886" s="18">
        <v>885</v>
      </c>
      <c r="B886" s="120" t="s">
        <v>41</v>
      </c>
      <c r="C886" s="121">
        <v>45854</v>
      </c>
      <c r="D886" s="20" t="s">
        <v>230</v>
      </c>
      <c r="E886" s="122"/>
      <c r="F886" s="122">
        <v>89761</v>
      </c>
      <c r="G886" s="123">
        <v>451500.08</v>
      </c>
      <c r="H886" s="125" t="s">
        <v>5</v>
      </c>
      <c r="I886" s="124" t="s">
        <v>5</v>
      </c>
    </row>
    <row r="887" spans="1:10" x14ac:dyDescent="0.3">
      <c r="A887" s="153">
        <v>886</v>
      </c>
      <c r="B887" s="35" t="s">
        <v>48</v>
      </c>
      <c r="C887" s="155">
        <v>45855</v>
      </c>
      <c r="D887" s="36" t="s">
        <v>270</v>
      </c>
      <c r="E887" s="156">
        <v>324000</v>
      </c>
      <c r="F887" s="156"/>
      <c r="G887" s="157">
        <v>127500.08</v>
      </c>
      <c r="H887" s="159" t="s">
        <v>26</v>
      </c>
      <c r="I887" s="158" t="s">
        <v>26</v>
      </c>
    </row>
    <row r="888" spans="1:10" x14ac:dyDescent="0.3">
      <c r="A888" s="160">
        <v>887</v>
      </c>
      <c r="B888" s="161" t="s">
        <v>42</v>
      </c>
      <c r="C888" s="162">
        <v>45855</v>
      </c>
      <c r="D888" s="168" t="s">
        <v>266</v>
      </c>
      <c r="E888" s="163">
        <v>93107</v>
      </c>
      <c r="F888" s="163"/>
      <c r="G888" s="164">
        <v>34393.08</v>
      </c>
      <c r="H888" s="166" t="s">
        <v>26</v>
      </c>
      <c r="I888" s="165" t="s">
        <v>26</v>
      </c>
    </row>
    <row r="889" spans="1:10" x14ac:dyDescent="0.3">
      <c r="A889" s="160">
        <v>888</v>
      </c>
      <c r="B889" s="161" t="s">
        <v>42</v>
      </c>
      <c r="C889" s="162">
        <v>45855</v>
      </c>
      <c r="D889" s="168" t="s">
        <v>266</v>
      </c>
      <c r="E889" s="163"/>
      <c r="F889" s="163">
        <v>93107</v>
      </c>
      <c r="G889" s="164">
        <v>127500.08</v>
      </c>
      <c r="H889" s="166" t="s">
        <v>31</v>
      </c>
      <c r="I889" s="165" t="s">
        <v>31</v>
      </c>
    </row>
    <row r="890" spans="1:10" x14ac:dyDescent="0.3">
      <c r="A890" s="160">
        <v>889</v>
      </c>
      <c r="B890" s="161" t="s">
        <v>42</v>
      </c>
      <c r="C890" s="162">
        <v>45855</v>
      </c>
      <c r="D890" s="168" t="s">
        <v>266</v>
      </c>
      <c r="E890" s="163">
        <v>148050</v>
      </c>
      <c r="F890" s="163"/>
      <c r="G890" s="164">
        <v>-20549.919999999998</v>
      </c>
      <c r="H890" s="166" t="s">
        <v>26</v>
      </c>
      <c r="I890" s="165" t="s">
        <v>26</v>
      </c>
    </row>
    <row r="891" spans="1:10" x14ac:dyDescent="0.3">
      <c r="A891" s="160">
        <v>890</v>
      </c>
      <c r="B891" s="161" t="s">
        <v>42</v>
      </c>
      <c r="C891" s="162">
        <v>45855</v>
      </c>
      <c r="D891" s="168" t="s">
        <v>266</v>
      </c>
      <c r="E891" s="163"/>
      <c r="F891" s="163">
        <v>148050</v>
      </c>
      <c r="G891" s="164">
        <v>127500.08</v>
      </c>
      <c r="H891" s="166" t="s">
        <v>31</v>
      </c>
      <c r="I891" s="165" t="s">
        <v>31</v>
      </c>
    </row>
    <row r="892" spans="1:10" x14ac:dyDescent="0.3">
      <c r="A892" s="153">
        <v>891</v>
      </c>
      <c r="B892" s="35" t="s">
        <v>48</v>
      </c>
      <c r="C892" s="155">
        <v>45855</v>
      </c>
      <c r="D892" s="36" t="s">
        <v>270</v>
      </c>
      <c r="E892" s="156"/>
      <c r="F892" s="156">
        <v>200000</v>
      </c>
      <c r="G892" s="157">
        <v>327500.08</v>
      </c>
      <c r="H892" s="159" t="s">
        <v>10</v>
      </c>
      <c r="I892" s="158" t="s">
        <v>10</v>
      </c>
    </row>
    <row r="893" spans="1:10" x14ac:dyDescent="0.3">
      <c r="A893" s="18">
        <v>892</v>
      </c>
      <c r="B893" s="120" t="s">
        <v>41</v>
      </c>
      <c r="C893" s="121">
        <v>45855</v>
      </c>
      <c r="D893" s="20" t="s">
        <v>222</v>
      </c>
      <c r="E893" s="122">
        <v>93107</v>
      </c>
      <c r="F893" s="122"/>
      <c r="G893" s="123">
        <v>234393.08</v>
      </c>
      <c r="H893" s="125" t="s">
        <v>26</v>
      </c>
      <c r="I893" s="124" t="s">
        <v>26</v>
      </c>
    </row>
    <row r="894" spans="1:10" x14ac:dyDescent="0.3">
      <c r="A894" s="18">
        <v>893</v>
      </c>
      <c r="B894" s="120" t="s">
        <v>41</v>
      </c>
      <c r="C894" s="121">
        <v>45855</v>
      </c>
      <c r="D894" s="20" t="s">
        <v>222</v>
      </c>
      <c r="E894" s="122">
        <v>148050</v>
      </c>
      <c r="F894" s="122"/>
      <c r="G894" s="123">
        <v>86343.08</v>
      </c>
      <c r="H894" s="125" t="s">
        <v>26</v>
      </c>
      <c r="I894" s="124" t="s">
        <v>26</v>
      </c>
    </row>
    <row r="895" spans="1:10" x14ac:dyDescent="0.3">
      <c r="A895" s="18">
        <v>894</v>
      </c>
      <c r="B895" s="120" t="s">
        <v>41</v>
      </c>
      <c r="C895" s="121">
        <v>45855</v>
      </c>
      <c r="D895" s="20" t="s">
        <v>231</v>
      </c>
      <c r="E895" s="122"/>
      <c r="F895" s="122">
        <v>1000</v>
      </c>
      <c r="G895" s="123">
        <v>87343.08</v>
      </c>
      <c r="H895" s="125" t="s">
        <v>10</v>
      </c>
      <c r="I895" s="124" t="s">
        <v>10</v>
      </c>
    </row>
    <row r="896" spans="1:10" x14ac:dyDescent="0.3">
      <c r="A896" s="18">
        <v>895</v>
      </c>
      <c r="B896" s="120" t="s">
        <v>41</v>
      </c>
      <c r="C896" s="121">
        <v>45855</v>
      </c>
      <c r="D896" s="20" t="s">
        <v>231</v>
      </c>
      <c r="E896" s="122"/>
      <c r="F896" s="122">
        <v>79000</v>
      </c>
      <c r="G896" s="123">
        <v>166343.07999999999</v>
      </c>
      <c r="H896" s="125" t="s">
        <v>5</v>
      </c>
      <c r="I896" s="124" t="s">
        <v>5</v>
      </c>
    </row>
    <row r="897" spans="1:9" x14ac:dyDescent="0.3">
      <c r="A897" s="18">
        <v>896</v>
      </c>
      <c r="B897" s="120" t="s">
        <v>41</v>
      </c>
      <c r="C897" s="121">
        <v>45855</v>
      </c>
      <c r="D897" s="20" t="s">
        <v>227</v>
      </c>
      <c r="E897" s="122"/>
      <c r="F897" s="122">
        <v>28000</v>
      </c>
      <c r="G897" s="123">
        <v>194343.08</v>
      </c>
      <c r="H897" s="125" t="s">
        <v>5</v>
      </c>
      <c r="I897" s="124" t="s">
        <v>5</v>
      </c>
    </row>
    <row r="898" spans="1:9" x14ac:dyDescent="0.3">
      <c r="A898" s="18">
        <v>897</v>
      </c>
      <c r="B898" s="120" t="s">
        <v>41</v>
      </c>
      <c r="C898" s="121">
        <v>45855</v>
      </c>
      <c r="D898" s="20" t="s">
        <v>193</v>
      </c>
      <c r="E898" s="122"/>
      <c r="F898" s="122">
        <v>295600</v>
      </c>
      <c r="G898" s="123">
        <v>489943.08</v>
      </c>
      <c r="H898" s="125" t="s">
        <v>7</v>
      </c>
      <c r="I898" s="124" t="s">
        <v>7</v>
      </c>
    </row>
    <row r="899" spans="1:9" x14ac:dyDescent="0.3">
      <c r="A899" s="153">
        <v>898</v>
      </c>
      <c r="B899" s="154" t="s">
        <v>48</v>
      </c>
      <c r="C899" s="155">
        <v>45855</v>
      </c>
      <c r="D899" s="36" t="s">
        <v>276</v>
      </c>
      <c r="E899" s="156">
        <v>10000</v>
      </c>
      <c r="F899" s="156"/>
      <c r="G899" s="157">
        <v>479943.08</v>
      </c>
      <c r="H899" s="159" t="s">
        <v>6</v>
      </c>
      <c r="I899" s="158" t="s">
        <v>6</v>
      </c>
    </row>
    <row r="900" spans="1:9" x14ac:dyDescent="0.3">
      <c r="A900" s="153">
        <v>899</v>
      </c>
      <c r="B900" s="154" t="s">
        <v>48</v>
      </c>
      <c r="C900" s="155">
        <v>45855</v>
      </c>
      <c r="D900" s="36" t="s">
        <v>271</v>
      </c>
      <c r="E900" s="156">
        <v>5000</v>
      </c>
      <c r="F900" s="156"/>
      <c r="G900" s="157">
        <v>474943.08</v>
      </c>
      <c r="H900" s="159" t="s">
        <v>25</v>
      </c>
      <c r="I900" s="158" t="s">
        <v>25</v>
      </c>
    </row>
    <row r="901" spans="1:9" x14ac:dyDescent="0.3">
      <c r="A901" s="153">
        <v>900</v>
      </c>
      <c r="B901" s="35" t="s">
        <v>48</v>
      </c>
      <c r="C901" s="155">
        <v>45855</v>
      </c>
      <c r="D901" s="36" t="s">
        <v>270</v>
      </c>
      <c r="E901" s="156">
        <v>400000</v>
      </c>
      <c r="F901" s="156"/>
      <c r="G901" s="157">
        <v>74943.08</v>
      </c>
      <c r="H901" s="159" t="s">
        <v>25</v>
      </c>
      <c r="I901" s="158" t="s">
        <v>25</v>
      </c>
    </row>
    <row r="902" spans="1:9" x14ac:dyDescent="0.3">
      <c r="A902" s="18">
        <v>901</v>
      </c>
      <c r="B902" s="120" t="s">
        <v>41</v>
      </c>
      <c r="C902" s="121">
        <v>45856</v>
      </c>
      <c r="D902" s="20" t="s">
        <v>229</v>
      </c>
      <c r="E902" s="122"/>
      <c r="F902" s="122">
        <v>15425</v>
      </c>
      <c r="G902" s="123">
        <v>90368.08</v>
      </c>
      <c r="H902" s="125" t="s">
        <v>5</v>
      </c>
      <c r="I902" s="124" t="s">
        <v>5</v>
      </c>
    </row>
    <row r="903" spans="1:9" x14ac:dyDescent="0.3">
      <c r="A903" s="18">
        <v>902</v>
      </c>
      <c r="B903" s="120" t="s">
        <v>41</v>
      </c>
      <c r="C903" s="121">
        <v>45856</v>
      </c>
      <c r="D903" s="20" t="s">
        <v>235</v>
      </c>
      <c r="E903" s="122"/>
      <c r="F903" s="122">
        <v>69518</v>
      </c>
      <c r="G903" s="123">
        <v>159886.07999999999</v>
      </c>
      <c r="H903" s="125" t="s">
        <v>28</v>
      </c>
      <c r="I903" s="124" t="s">
        <v>28</v>
      </c>
    </row>
    <row r="904" spans="1:9" x14ac:dyDescent="0.3">
      <c r="A904" s="18">
        <v>903</v>
      </c>
      <c r="B904" s="120" t="s">
        <v>41</v>
      </c>
      <c r="C904" s="121">
        <v>45856</v>
      </c>
      <c r="D904" s="20" t="s">
        <v>193</v>
      </c>
      <c r="E904" s="122"/>
      <c r="F904" s="122">
        <v>391500</v>
      </c>
      <c r="G904" s="123">
        <v>551386.07999999996</v>
      </c>
      <c r="H904" s="125" t="s">
        <v>7</v>
      </c>
      <c r="I904" s="124" t="s">
        <v>7</v>
      </c>
    </row>
    <row r="905" spans="1:9" x14ac:dyDescent="0.3">
      <c r="A905" s="133">
        <v>904</v>
      </c>
      <c r="B905" s="135" t="s">
        <v>44</v>
      </c>
      <c r="C905" s="134">
        <v>45857</v>
      </c>
      <c r="D905" s="41" t="s">
        <v>252</v>
      </c>
      <c r="E905" s="136">
        <v>100000</v>
      </c>
      <c r="F905" s="136"/>
      <c r="G905" s="137">
        <v>451386.08</v>
      </c>
      <c r="H905" s="139" t="s">
        <v>26</v>
      </c>
      <c r="I905" s="138" t="s">
        <v>26</v>
      </c>
    </row>
    <row r="906" spans="1:9" x14ac:dyDescent="0.3">
      <c r="A906" s="18">
        <v>905</v>
      </c>
      <c r="B906" s="120" t="s">
        <v>41</v>
      </c>
      <c r="C906" s="121">
        <v>45857</v>
      </c>
      <c r="D906" s="121" t="s">
        <v>207</v>
      </c>
      <c r="E906" s="122">
        <v>107520</v>
      </c>
      <c r="F906" s="122"/>
      <c r="G906" s="123">
        <v>343866.08</v>
      </c>
      <c r="H906" s="125" t="s">
        <v>26</v>
      </c>
      <c r="I906" s="124" t="s">
        <v>26</v>
      </c>
    </row>
    <row r="907" spans="1:9" x14ac:dyDescent="0.3">
      <c r="A907" s="133">
        <v>906</v>
      </c>
      <c r="B907" s="135" t="s">
        <v>44</v>
      </c>
      <c r="C907" s="134">
        <v>45857</v>
      </c>
      <c r="D907" s="41" t="s">
        <v>257</v>
      </c>
      <c r="E907" s="136">
        <v>150000</v>
      </c>
      <c r="F907" s="136"/>
      <c r="G907" s="137">
        <v>193866.08</v>
      </c>
      <c r="H907" s="139" t="s">
        <v>26</v>
      </c>
      <c r="I907" s="138" t="s">
        <v>26</v>
      </c>
    </row>
    <row r="908" spans="1:9" x14ac:dyDescent="0.3">
      <c r="A908" s="18">
        <v>907</v>
      </c>
      <c r="B908" s="120" t="s">
        <v>41</v>
      </c>
      <c r="C908" s="121">
        <v>45857</v>
      </c>
      <c r="D908" s="20" t="s">
        <v>239</v>
      </c>
      <c r="E908" s="122">
        <v>50000</v>
      </c>
      <c r="F908" s="122"/>
      <c r="G908" s="123">
        <v>143866.07999999999</v>
      </c>
      <c r="H908" s="125" t="s">
        <v>26</v>
      </c>
      <c r="I908" s="124" t="s">
        <v>26</v>
      </c>
    </row>
    <row r="909" spans="1:9" x14ac:dyDescent="0.3">
      <c r="A909" s="18">
        <v>908</v>
      </c>
      <c r="B909" s="5" t="s">
        <v>39</v>
      </c>
      <c r="C909" s="6">
        <v>45857</v>
      </c>
      <c r="D909" s="25" t="s">
        <v>263</v>
      </c>
      <c r="E909" s="8">
        <v>20000</v>
      </c>
      <c r="F909" s="9"/>
      <c r="G909" s="7">
        <v>123866.08</v>
      </c>
      <c r="H909" s="2" t="s">
        <v>17</v>
      </c>
      <c r="I909" s="1" t="s">
        <v>17</v>
      </c>
    </row>
    <row r="910" spans="1:9" x14ac:dyDescent="0.3">
      <c r="A910" s="18">
        <v>909</v>
      </c>
      <c r="B910" s="120" t="s">
        <v>41</v>
      </c>
      <c r="C910" s="121">
        <v>45857</v>
      </c>
      <c r="D910" s="121" t="s">
        <v>218</v>
      </c>
      <c r="E910" s="122">
        <v>34886</v>
      </c>
      <c r="F910" s="122"/>
      <c r="G910" s="123">
        <v>88980.08</v>
      </c>
      <c r="H910" s="125" t="s">
        <v>13</v>
      </c>
      <c r="I910" s="124" t="s">
        <v>13</v>
      </c>
    </row>
    <row r="911" spans="1:9" x14ac:dyDescent="0.3">
      <c r="A911" s="18">
        <v>910</v>
      </c>
      <c r="B911" s="120" t="s">
        <v>41</v>
      </c>
      <c r="C911" s="121">
        <v>45857</v>
      </c>
      <c r="D911" s="121" t="s">
        <v>218</v>
      </c>
      <c r="E911" s="122">
        <v>3880</v>
      </c>
      <c r="F911" s="122"/>
      <c r="G911" s="123">
        <v>85100.08</v>
      </c>
      <c r="H911" s="125" t="s">
        <v>13</v>
      </c>
      <c r="I911" s="124" t="s">
        <v>13</v>
      </c>
    </row>
    <row r="912" spans="1:9" x14ac:dyDescent="0.3">
      <c r="A912" s="18">
        <v>911</v>
      </c>
      <c r="B912" s="120" t="s">
        <v>41</v>
      </c>
      <c r="C912" s="121">
        <v>45857</v>
      </c>
      <c r="D912" s="20" t="s">
        <v>227</v>
      </c>
      <c r="E912" s="122"/>
      <c r="F912" s="122">
        <v>155120</v>
      </c>
      <c r="G912" s="123">
        <v>240220.08</v>
      </c>
      <c r="H912" s="125" t="s">
        <v>5</v>
      </c>
      <c r="I912" s="124" t="s">
        <v>5</v>
      </c>
    </row>
    <row r="913" spans="1:9" x14ac:dyDescent="0.3">
      <c r="A913" s="153">
        <v>912</v>
      </c>
      <c r="B913" s="154" t="s">
        <v>48</v>
      </c>
      <c r="C913" s="155">
        <v>45858</v>
      </c>
      <c r="D913" s="36" t="s">
        <v>276</v>
      </c>
      <c r="E913" s="156">
        <v>150000</v>
      </c>
      <c r="F913" s="156"/>
      <c r="G913" s="157">
        <v>90220.08</v>
      </c>
      <c r="H913" s="159" t="s">
        <v>6</v>
      </c>
      <c r="I913" s="158" t="s">
        <v>6</v>
      </c>
    </row>
    <row r="914" spans="1:9" x14ac:dyDescent="0.3">
      <c r="A914" s="153">
        <v>913</v>
      </c>
      <c r="B914" s="154" t="s">
        <v>48</v>
      </c>
      <c r="C914" s="155">
        <v>45858</v>
      </c>
      <c r="D914" s="36" t="s">
        <v>276</v>
      </c>
      <c r="E914" s="156">
        <v>30000</v>
      </c>
      <c r="F914" s="156"/>
      <c r="G914" s="157">
        <v>60220.08</v>
      </c>
      <c r="H914" s="159" t="s">
        <v>6</v>
      </c>
      <c r="I914" s="158" t="s">
        <v>6</v>
      </c>
    </row>
    <row r="915" spans="1:9" x14ac:dyDescent="0.3">
      <c r="A915" s="133">
        <v>914</v>
      </c>
      <c r="B915" s="135" t="s">
        <v>44</v>
      </c>
      <c r="C915" s="134">
        <v>45859</v>
      </c>
      <c r="D915" s="134" t="s">
        <v>253</v>
      </c>
      <c r="E915" s="136"/>
      <c r="F915" s="136">
        <v>1000000</v>
      </c>
      <c r="G915" s="137">
        <v>1060220.08</v>
      </c>
      <c r="H915" s="139" t="s">
        <v>7</v>
      </c>
      <c r="I915" s="138" t="s">
        <v>7</v>
      </c>
    </row>
    <row r="916" spans="1:9" x14ac:dyDescent="0.3">
      <c r="A916" s="133">
        <v>915</v>
      </c>
      <c r="B916" s="135" t="s">
        <v>44</v>
      </c>
      <c r="C916" s="134">
        <v>45859</v>
      </c>
      <c r="D916" s="134" t="s">
        <v>253</v>
      </c>
      <c r="E916" s="136"/>
      <c r="F916" s="136">
        <v>575000</v>
      </c>
      <c r="G916" s="137">
        <v>1635220.08</v>
      </c>
      <c r="H916" s="139" t="s">
        <v>7</v>
      </c>
      <c r="I916" s="138" t="s">
        <v>7</v>
      </c>
    </row>
    <row r="917" spans="1:9" x14ac:dyDescent="0.3">
      <c r="A917" s="133">
        <v>916</v>
      </c>
      <c r="B917" s="135" t="s">
        <v>44</v>
      </c>
      <c r="C917" s="134">
        <v>45859</v>
      </c>
      <c r="D917" s="134" t="s">
        <v>253</v>
      </c>
      <c r="E917" s="136"/>
      <c r="F917" s="136">
        <v>425000</v>
      </c>
      <c r="G917" s="137">
        <v>2060220.08</v>
      </c>
      <c r="H917" s="139" t="s">
        <v>7</v>
      </c>
      <c r="I917" s="138" t="s">
        <v>7</v>
      </c>
    </row>
    <row r="918" spans="1:9" x14ac:dyDescent="0.3">
      <c r="A918" s="153">
        <v>917</v>
      </c>
      <c r="B918" s="154" t="s">
        <v>48</v>
      </c>
      <c r="C918" s="155">
        <v>45859</v>
      </c>
      <c r="D918" s="36" t="s">
        <v>271</v>
      </c>
      <c r="E918" s="156">
        <v>5000</v>
      </c>
      <c r="F918" s="156"/>
      <c r="G918" s="157">
        <v>2055220.08</v>
      </c>
      <c r="H918" s="159" t="s">
        <v>25</v>
      </c>
      <c r="I918" s="158" t="s">
        <v>25</v>
      </c>
    </row>
    <row r="919" spans="1:9" x14ac:dyDescent="0.3">
      <c r="A919" s="146">
        <v>918</v>
      </c>
      <c r="B919" s="147" t="s">
        <v>42</v>
      </c>
      <c r="C919" s="148">
        <v>45859</v>
      </c>
      <c r="D919" s="168" t="s">
        <v>266</v>
      </c>
      <c r="E919" s="149">
        <v>2000000</v>
      </c>
      <c r="F919" s="149"/>
      <c r="G919" s="150">
        <v>55220.08</v>
      </c>
      <c r="H919" s="152" t="s">
        <v>22</v>
      </c>
      <c r="I919" s="151" t="s">
        <v>22</v>
      </c>
    </row>
    <row r="920" spans="1:9" x14ac:dyDescent="0.3">
      <c r="A920" s="146">
        <v>919</v>
      </c>
      <c r="B920" s="147" t="s">
        <v>42</v>
      </c>
      <c r="C920" s="148">
        <v>45859</v>
      </c>
      <c r="D920" s="168" t="s">
        <v>266</v>
      </c>
      <c r="E920" s="149"/>
      <c r="F920" s="149">
        <v>2000000</v>
      </c>
      <c r="G920" s="150">
        <v>2055220.08</v>
      </c>
      <c r="H920" s="152" t="s">
        <v>22</v>
      </c>
      <c r="I920" s="151" t="s">
        <v>22</v>
      </c>
    </row>
    <row r="921" spans="1:9" x14ac:dyDescent="0.3">
      <c r="A921" s="153">
        <v>920</v>
      </c>
      <c r="B921" s="154" t="s">
        <v>48</v>
      </c>
      <c r="C921" s="155">
        <v>45859</v>
      </c>
      <c r="D921" s="36" t="s">
        <v>276</v>
      </c>
      <c r="E921" s="156">
        <v>5000</v>
      </c>
      <c r="F921" s="156"/>
      <c r="G921" s="157">
        <v>2050220.08</v>
      </c>
      <c r="H921" s="159" t="s">
        <v>6</v>
      </c>
      <c r="I921" s="158" t="s">
        <v>6</v>
      </c>
    </row>
    <row r="922" spans="1:9" x14ac:dyDescent="0.3">
      <c r="A922" s="153">
        <v>921</v>
      </c>
      <c r="B922" s="35" t="s">
        <v>48</v>
      </c>
      <c r="C922" s="155">
        <v>45859</v>
      </c>
      <c r="D922" s="36" t="s">
        <v>270</v>
      </c>
      <c r="E922" s="156">
        <v>1000000</v>
      </c>
      <c r="F922" s="156"/>
      <c r="G922" s="157">
        <v>1050220.08</v>
      </c>
      <c r="H922" s="159" t="s">
        <v>9</v>
      </c>
      <c r="I922" s="158" t="s">
        <v>9</v>
      </c>
    </row>
    <row r="923" spans="1:9" x14ac:dyDescent="0.3">
      <c r="A923" s="18">
        <v>922</v>
      </c>
      <c r="B923" s="120" t="s">
        <v>41</v>
      </c>
      <c r="C923" s="121">
        <v>45860</v>
      </c>
      <c r="D923" s="121" t="s">
        <v>207</v>
      </c>
      <c r="E923" s="122">
        <v>45778</v>
      </c>
      <c r="F923" s="122"/>
      <c r="G923" s="123">
        <v>1004442.08</v>
      </c>
      <c r="H923" s="125" t="s">
        <v>26</v>
      </c>
      <c r="I923" s="124" t="s">
        <v>26</v>
      </c>
    </row>
    <row r="924" spans="1:9" x14ac:dyDescent="0.3">
      <c r="A924" s="133">
        <v>923</v>
      </c>
      <c r="B924" s="135" t="s">
        <v>44</v>
      </c>
      <c r="C924" s="134">
        <v>45860</v>
      </c>
      <c r="D924" s="134" t="s">
        <v>247</v>
      </c>
      <c r="E924" s="136">
        <v>130000</v>
      </c>
      <c r="F924" s="136"/>
      <c r="G924" s="137">
        <v>874442.08</v>
      </c>
      <c r="H924" s="139" t="s">
        <v>26</v>
      </c>
      <c r="I924" s="138" t="s">
        <v>26</v>
      </c>
    </row>
    <row r="925" spans="1:9" x14ac:dyDescent="0.3">
      <c r="A925" s="133">
        <v>924</v>
      </c>
      <c r="B925" s="135" t="s">
        <v>44</v>
      </c>
      <c r="C925" s="134">
        <v>45860</v>
      </c>
      <c r="D925" s="41" t="s">
        <v>254</v>
      </c>
      <c r="E925" s="136">
        <v>150000</v>
      </c>
      <c r="F925" s="136"/>
      <c r="G925" s="137">
        <v>724442.08</v>
      </c>
      <c r="H925" s="139" t="s">
        <v>26</v>
      </c>
      <c r="I925" s="138" t="s">
        <v>26</v>
      </c>
    </row>
    <row r="926" spans="1:9" x14ac:dyDescent="0.3">
      <c r="A926" s="18">
        <v>925</v>
      </c>
      <c r="B926" s="120" t="s">
        <v>41</v>
      </c>
      <c r="C926" s="121">
        <v>45860</v>
      </c>
      <c r="D926" s="20" t="s">
        <v>226</v>
      </c>
      <c r="E926" s="122">
        <v>341040</v>
      </c>
      <c r="F926" s="122"/>
      <c r="G926" s="123">
        <v>383402.08</v>
      </c>
      <c r="H926" s="125" t="s">
        <v>26</v>
      </c>
      <c r="I926" s="124" t="s">
        <v>26</v>
      </c>
    </row>
    <row r="927" spans="1:9" x14ac:dyDescent="0.3">
      <c r="A927" s="133">
        <v>926</v>
      </c>
      <c r="B927" s="135" t="s">
        <v>44</v>
      </c>
      <c r="C927" s="134">
        <v>45860</v>
      </c>
      <c r="D927" s="134" t="s">
        <v>249</v>
      </c>
      <c r="E927" s="136">
        <v>300000</v>
      </c>
      <c r="F927" s="136"/>
      <c r="G927" s="137">
        <v>83402.080000000002</v>
      </c>
      <c r="H927" s="139" t="s">
        <v>26</v>
      </c>
      <c r="I927" s="138" t="s">
        <v>26</v>
      </c>
    </row>
    <row r="928" spans="1:9" x14ac:dyDescent="0.3">
      <c r="A928" s="160">
        <v>927</v>
      </c>
      <c r="B928" s="161" t="s">
        <v>42</v>
      </c>
      <c r="C928" s="162">
        <v>45860</v>
      </c>
      <c r="D928" s="168" t="s">
        <v>266</v>
      </c>
      <c r="E928" s="163">
        <v>196000</v>
      </c>
      <c r="F928" s="163"/>
      <c r="G928" s="164">
        <v>-112597.92</v>
      </c>
      <c r="H928" s="166" t="s">
        <v>26</v>
      </c>
      <c r="I928" s="165" t="s">
        <v>26</v>
      </c>
    </row>
    <row r="929" spans="1:10" x14ac:dyDescent="0.3">
      <c r="A929" s="160">
        <v>928</v>
      </c>
      <c r="B929" s="161" t="s">
        <v>42</v>
      </c>
      <c r="C929" s="162">
        <v>45860</v>
      </c>
      <c r="D929" s="168" t="s">
        <v>266</v>
      </c>
      <c r="E929" s="163"/>
      <c r="F929" s="163">
        <v>196000</v>
      </c>
      <c r="G929" s="164">
        <v>83402.080000000002</v>
      </c>
      <c r="H929" s="166" t="s">
        <v>31</v>
      </c>
      <c r="I929" s="165" t="s">
        <v>31</v>
      </c>
    </row>
    <row r="930" spans="1:10" x14ac:dyDescent="0.3">
      <c r="A930" s="18">
        <v>929</v>
      </c>
      <c r="B930" s="120" t="s">
        <v>41</v>
      </c>
      <c r="C930" s="121">
        <v>45860</v>
      </c>
      <c r="D930" s="20" t="s">
        <v>193</v>
      </c>
      <c r="E930" s="122"/>
      <c r="F930" s="122">
        <v>500000</v>
      </c>
      <c r="G930" s="123">
        <v>583402.07999999996</v>
      </c>
      <c r="H930" s="125" t="s">
        <v>7</v>
      </c>
      <c r="I930" s="124" t="s">
        <v>7</v>
      </c>
    </row>
    <row r="931" spans="1:10" x14ac:dyDescent="0.3">
      <c r="A931" s="18">
        <v>930</v>
      </c>
      <c r="B931" s="120" t="s">
        <v>41</v>
      </c>
      <c r="C931" s="121">
        <v>45860</v>
      </c>
      <c r="D931" s="121" t="s">
        <v>207</v>
      </c>
      <c r="E931" s="122">
        <v>170000</v>
      </c>
      <c r="F931" s="122"/>
      <c r="G931" s="123">
        <v>413402.08</v>
      </c>
      <c r="H931" s="125" t="s">
        <v>25</v>
      </c>
      <c r="I931" s="124" t="s">
        <v>25</v>
      </c>
    </row>
    <row r="932" spans="1:10" x14ac:dyDescent="0.3">
      <c r="A932" s="153">
        <v>931</v>
      </c>
      <c r="B932" s="154" t="s">
        <v>48</v>
      </c>
      <c r="C932" s="155">
        <v>45860</v>
      </c>
      <c r="D932" s="36" t="s">
        <v>276</v>
      </c>
      <c r="E932" s="156">
        <v>213000</v>
      </c>
      <c r="F932" s="156"/>
      <c r="G932" s="157">
        <v>200402.08</v>
      </c>
      <c r="H932" s="159" t="s">
        <v>6</v>
      </c>
      <c r="I932" s="158" t="s">
        <v>6</v>
      </c>
    </row>
    <row r="933" spans="1:10" x14ac:dyDescent="0.3">
      <c r="A933" s="18">
        <v>932</v>
      </c>
      <c r="B933" s="120" t="s">
        <v>41</v>
      </c>
      <c r="C933" s="121">
        <v>45860</v>
      </c>
      <c r="D933" s="20" t="s">
        <v>227</v>
      </c>
      <c r="E933" s="122"/>
      <c r="F933" s="122">
        <v>100800</v>
      </c>
      <c r="G933" s="123">
        <v>301202.08</v>
      </c>
      <c r="H933" s="125" t="s">
        <v>5</v>
      </c>
      <c r="I933" s="124" t="s">
        <v>5</v>
      </c>
    </row>
    <row r="934" spans="1:10" x14ac:dyDescent="0.3">
      <c r="A934" s="153">
        <v>933</v>
      </c>
      <c r="B934" s="35" t="s">
        <v>48</v>
      </c>
      <c r="C934" s="155">
        <v>45860</v>
      </c>
      <c r="D934" s="36" t="s">
        <v>270</v>
      </c>
      <c r="E934" s="156">
        <v>196000</v>
      </c>
      <c r="F934" s="156"/>
      <c r="G934" s="157">
        <v>105202.08</v>
      </c>
      <c r="H934" s="159" t="s">
        <v>26</v>
      </c>
      <c r="I934" s="158" t="s">
        <v>26</v>
      </c>
    </row>
    <row r="935" spans="1:10" x14ac:dyDescent="0.3">
      <c r="A935" s="153">
        <v>934</v>
      </c>
      <c r="B935" s="35" t="s">
        <v>48</v>
      </c>
      <c r="C935" s="155">
        <v>45860</v>
      </c>
      <c r="D935" s="36" t="s">
        <v>270</v>
      </c>
      <c r="E935" s="156"/>
      <c r="F935" s="156">
        <v>130000</v>
      </c>
      <c r="G935" s="157">
        <v>235202.08</v>
      </c>
      <c r="H935" s="159" t="s">
        <v>10</v>
      </c>
      <c r="I935" s="158" t="s">
        <v>10</v>
      </c>
    </row>
    <row r="936" spans="1:10" x14ac:dyDescent="0.3">
      <c r="A936" s="153">
        <v>935</v>
      </c>
      <c r="B936" s="154" t="s">
        <v>48</v>
      </c>
      <c r="C936" s="155">
        <v>45860</v>
      </c>
      <c r="D936" s="36" t="s">
        <v>276</v>
      </c>
      <c r="E936" s="156">
        <v>135000</v>
      </c>
      <c r="F936" s="156"/>
      <c r="G936" s="157">
        <v>100202.08</v>
      </c>
      <c r="H936" s="159" t="s">
        <v>6</v>
      </c>
      <c r="I936" s="158" t="s">
        <v>6</v>
      </c>
    </row>
    <row r="937" spans="1:10" x14ac:dyDescent="0.3">
      <c r="A937" s="18">
        <v>936</v>
      </c>
      <c r="B937" s="120" t="s">
        <v>41</v>
      </c>
      <c r="C937" s="121">
        <v>45860</v>
      </c>
      <c r="D937" s="121" t="s">
        <v>218</v>
      </c>
      <c r="E937" s="122">
        <v>25000</v>
      </c>
      <c r="F937" s="122"/>
      <c r="G937" s="123">
        <v>75202.080000000002</v>
      </c>
      <c r="H937" s="125" t="s">
        <v>25</v>
      </c>
      <c r="I937" s="124" t="s">
        <v>25</v>
      </c>
    </row>
    <row r="938" spans="1:10" x14ac:dyDescent="0.3">
      <c r="A938" s="18">
        <v>937</v>
      </c>
      <c r="B938" s="120" t="s">
        <v>41</v>
      </c>
      <c r="C938" s="121">
        <v>45860</v>
      </c>
      <c r="D938" s="121" t="s">
        <v>52</v>
      </c>
      <c r="E938" s="122"/>
      <c r="F938" s="122">
        <v>11200</v>
      </c>
      <c r="G938" s="123">
        <v>86402.08</v>
      </c>
      <c r="H938" s="125" t="s">
        <v>10</v>
      </c>
      <c r="I938" s="124" t="s">
        <v>10</v>
      </c>
      <c r="J938" s="177"/>
    </row>
    <row r="939" spans="1:10" x14ac:dyDescent="0.3">
      <c r="A939" s="160">
        <v>938</v>
      </c>
      <c r="B939" s="161" t="s">
        <v>42</v>
      </c>
      <c r="C939" s="162">
        <v>45861</v>
      </c>
      <c r="D939" s="168" t="s">
        <v>266</v>
      </c>
      <c r="E939" s="163">
        <v>190008</v>
      </c>
      <c r="F939" s="163"/>
      <c r="G939" s="164">
        <v>-103605.92</v>
      </c>
      <c r="H939" s="166" t="s">
        <v>26</v>
      </c>
      <c r="I939" s="165" t="s">
        <v>26</v>
      </c>
    </row>
    <row r="940" spans="1:10" x14ac:dyDescent="0.3">
      <c r="A940" s="160">
        <v>939</v>
      </c>
      <c r="B940" s="161" t="s">
        <v>42</v>
      </c>
      <c r="C940" s="162">
        <v>45861</v>
      </c>
      <c r="D940" s="168" t="s">
        <v>266</v>
      </c>
      <c r="E940" s="163"/>
      <c r="F940" s="163">
        <v>190008</v>
      </c>
      <c r="G940" s="164">
        <v>86402.08</v>
      </c>
      <c r="H940" s="166" t="s">
        <v>31</v>
      </c>
      <c r="I940" s="165" t="s">
        <v>31</v>
      </c>
    </row>
    <row r="941" spans="1:10" x14ac:dyDescent="0.3">
      <c r="A941" s="160">
        <v>940</v>
      </c>
      <c r="B941" s="161" t="s">
        <v>42</v>
      </c>
      <c r="C941" s="162">
        <v>45861</v>
      </c>
      <c r="D941" s="168" t="s">
        <v>266</v>
      </c>
      <c r="E941" s="163">
        <v>314720</v>
      </c>
      <c r="F941" s="163"/>
      <c r="G941" s="164">
        <v>-228317.92</v>
      </c>
      <c r="H941" s="166" t="s">
        <v>26</v>
      </c>
      <c r="I941" s="165" t="s">
        <v>26</v>
      </c>
    </row>
    <row r="942" spans="1:10" x14ac:dyDescent="0.3">
      <c r="A942" s="160">
        <v>941</v>
      </c>
      <c r="B942" s="161" t="s">
        <v>42</v>
      </c>
      <c r="C942" s="162">
        <v>45861</v>
      </c>
      <c r="D942" s="168" t="s">
        <v>266</v>
      </c>
      <c r="E942" s="163"/>
      <c r="F942" s="163">
        <v>314720</v>
      </c>
      <c r="G942" s="164">
        <v>86402.08</v>
      </c>
      <c r="H942" s="166" t="s">
        <v>31</v>
      </c>
      <c r="I942" s="165" t="s">
        <v>31</v>
      </c>
    </row>
    <row r="943" spans="1:10" x14ac:dyDescent="0.3">
      <c r="A943" s="160">
        <v>942</v>
      </c>
      <c r="B943" s="161" t="s">
        <v>42</v>
      </c>
      <c r="C943" s="162">
        <v>45861</v>
      </c>
      <c r="D943" s="168" t="s">
        <v>266</v>
      </c>
      <c r="E943" s="163">
        <v>191520</v>
      </c>
      <c r="F943" s="163"/>
      <c r="G943" s="164">
        <v>-105117.92</v>
      </c>
      <c r="H943" s="166" t="s">
        <v>26</v>
      </c>
      <c r="I943" s="165" t="s">
        <v>26</v>
      </c>
    </row>
    <row r="944" spans="1:10" x14ac:dyDescent="0.3">
      <c r="A944" s="160">
        <v>943</v>
      </c>
      <c r="B944" s="161" t="s">
        <v>42</v>
      </c>
      <c r="C944" s="162">
        <v>45861</v>
      </c>
      <c r="D944" s="168" t="s">
        <v>266</v>
      </c>
      <c r="E944" s="163"/>
      <c r="F944" s="163">
        <v>191520</v>
      </c>
      <c r="G944" s="164">
        <v>86402.08</v>
      </c>
      <c r="H944" s="166" t="s">
        <v>31</v>
      </c>
      <c r="I944" s="165" t="s">
        <v>31</v>
      </c>
    </row>
    <row r="945" spans="1:9" x14ac:dyDescent="0.3">
      <c r="A945" s="126">
        <v>944</v>
      </c>
      <c r="B945" s="127" t="s">
        <v>45</v>
      </c>
      <c r="C945" s="128">
        <v>45861</v>
      </c>
      <c r="D945" s="128" t="s">
        <v>240</v>
      </c>
      <c r="E945" s="129">
        <v>65000</v>
      </c>
      <c r="F945" s="129"/>
      <c r="G945" s="130">
        <v>21402.080000000002</v>
      </c>
      <c r="H945" s="132" t="s">
        <v>26</v>
      </c>
      <c r="I945" s="131" t="s">
        <v>26</v>
      </c>
    </row>
    <row r="946" spans="1:9" x14ac:dyDescent="0.3">
      <c r="A946" s="18">
        <v>945</v>
      </c>
      <c r="B946" s="120" t="s">
        <v>41</v>
      </c>
      <c r="C946" s="121">
        <v>45861</v>
      </c>
      <c r="D946" s="20" t="s">
        <v>193</v>
      </c>
      <c r="E946" s="122"/>
      <c r="F946" s="122">
        <v>500000</v>
      </c>
      <c r="G946" s="123">
        <v>521402.08</v>
      </c>
      <c r="H946" s="125" t="s">
        <v>7</v>
      </c>
      <c r="I946" s="124" t="s">
        <v>7</v>
      </c>
    </row>
    <row r="947" spans="1:9" x14ac:dyDescent="0.3">
      <c r="A947" s="153">
        <v>946</v>
      </c>
      <c r="B947" s="35" t="s">
        <v>48</v>
      </c>
      <c r="C947" s="155">
        <v>45861</v>
      </c>
      <c r="D947" s="36" t="s">
        <v>270</v>
      </c>
      <c r="E947" s="156">
        <v>130000</v>
      </c>
      <c r="F947" s="156"/>
      <c r="G947" s="157">
        <v>391402.08</v>
      </c>
      <c r="H947" s="159" t="s">
        <v>13</v>
      </c>
      <c r="I947" s="158" t="s">
        <v>13</v>
      </c>
    </row>
    <row r="948" spans="1:9" x14ac:dyDescent="0.3">
      <c r="A948" s="18">
        <v>947</v>
      </c>
      <c r="B948" s="120" t="s">
        <v>41</v>
      </c>
      <c r="C948" s="121">
        <v>45861</v>
      </c>
      <c r="D948" s="20" t="s">
        <v>222</v>
      </c>
      <c r="E948" s="122">
        <v>191520</v>
      </c>
      <c r="F948" s="122"/>
      <c r="G948" s="123">
        <v>199882.08</v>
      </c>
      <c r="H948" s="125" t="s">
        <v>26</v>
      </c>
      <c r="I948" s="124" t="s">
        <v>26</v>
      </c>
    </row>
    <row r="949" spans="1:9" x14ac:dyDescent="0.3">
      <c r="A949" s="18">
        <v>948</v>
      </c>
      <c r="B949" s="120" t="s">
        <v>41</v>
      </c>
      <c r="C949" s="121">
        <v>45861</v>
      </c>
      <c r="D949" s="20" t="s">
        <v>213</v>
      </c>
      <c r="E949" s="122">
        <v>190008</v>
      </c>
      <c r="F949" s="122"/>
      <c r="G949" s="123">
        <v>9874.08</v>
      </c>
      <c r="H949" s="125" t="s">
        <v>26</v>
      </c>
      <c r="I949" s="124" t="s">
        <v>26</v>
      </c>
    </row>
    <row r="950" spans="1:9" x14ac:dyDescent="0.3">
      <c r="A950" s="18">
        <v>949</v>
      </c>
      <c r="B950" s="120" t="s">
        <v>41</v>
      </c>
      <c r="C950" s="121">
        <v>45861</v>
      </c>
      <c r="D950" s="20" t="s">
        <v>227</v>
      </c>
      <c r="E950" s="122"/>
      <c r="F950" s="122">
        <v>416003</v>
      </c>
      <c r="G950" s="123">
        <v>425877.08</v>
      </c>
      <c r="H950" s="125" t="s">
        <v>5</v>
      </c>
      <c r="I950" s="124" t="s">
        <v>5</v>
      </c>
    </row>
    <row r="951" spans="1:9" x14ac:dyDescent="0.3">
      <c r="A951" s="18">
        <v>950</v>
      </c>
      <c r="B951" s="120" t="s">
        <v>41</v>
      </c>
      <c r="C951" s="121">
        <v>45861</v>
      </c>
      <c r="D951" s="20" t="s">
        <v>198</v>
      </c>
      <c r="E951" s="122"/>
      <c r="F951" s="122">
        <v>31360</v>
      </c>
      <c r="G951" s="123">
        <v>457237.08</v>
      </c>
      <c r="H951" s="125" t="s">
        <v>5</v>
      </c>
      <c r="I951" s="124" t="s">
        <v>5</v>
      </c>
    </row>
    <row r="952" spans="1:9" x14ac:dyDescent="0.3">
      <c r="A952" s="18">
        <v>951</v>
      </c>
      <c r="B952" s="5" t="s">
        <v>39</v>
      </c>
      <c r="C952" s="6">
        <v>45861</v>
      </c>
      <c r="D952" s="25" t="s">
        <v>260</v>
      </c>
      <c r="E952" s="8">
        <v>7000</v>
      </c>
      <c r="F952" s="9"/>
      <c r="G952" s="7">
        <v>450237.08</v>
      </c>
      <c r="H952" s="2" t="s">
        <v>12</v>
      </c>
      <c r="I952" s="1" t="s">
        <v>12</v>
      </c>
    </row>
    <row r="953" spans="1:9" x14ac:dyDescent="0.3">
      <c r="A953" s="18">
        <v>952</v>
      </c>
      <c r="B953" s="120" t="s">
        <v>41</v>
      </c>
      <c r="C953" s="121">
        <v>45862</v>
      </c>
      <c r="D953" s="121" t="s">
        <v>207</v>
      </c>
      <c r="E953" s="122">
        <v>432971</v>
      </c>
      <c r="F953" s="122"/>
      <c r="G953" s="123">
        <v>17266.080000000002</v>
      </c>
      <c r="H953" s="125" t="s">
        <v>26</v>
      </c>
      <c r="I953" s="124" t="s">
        <v>26</v>
      </c>
    </row>
    <row r="954" spans="1:9" x14ac:dyDescent="0.3">
      <c r="A954" s="18">
        <v>953</v>
      </c>
      <c r="B954" s="120" t="s">
        <v>41</v>
      </c>
      <c r="C954" s="121">
        <v>45862</v>
      </c>
      <c r="D954" s="20" t="s">
        <v>229</v>
      </c>
      <c r="E954" s="122"/>
      <c r="F954" s="122">
        <v>10710</v>
      </c>
      <c r="G954" s="123">
        <v>27976.080000000002</v>
      </c>
      <c r="H954" s="125" t="s">
        <v>5</v>
      </c>
      <c r="I954" s="124" t="s">
        <v>5</v>
      </c>
    </row>
    <row r="955" spans="1:9" x14ac:dyDescent="0.3">
      <c r="A955" s="18">
        <v>954</v>
      </c>
      <c r="B955" s="120" t="s">
        <v>41</v>
      </c>
      <c r="C955" s="121">
        <v>45862</v>
      </c>
      <c r="D955" s="20" t="s">
        <v>230</v>
      </c>
      <c r="E955" s="122"/>
      <c r="F955" s="122">
        <v>19898</v>
      </c>
      <c r="G955" s="123">
        <v>47874.080000000002</v>
      </c>
      <c r="H955" s="125" t="s">
        <v>5</v>
      </c>
      <c r="I955" s="124" t="s">
        <v>5</v>
      </c>
    </row>
    <row r="956" spans="1:9" x14ac:dyDescent="0.3">
      <c r="A956" s="18">
        <v>955</v>
      </c>
      <c r="B956" s="120" t="s">
        <v>41</v>
      </c>
      <c r="C956" s="121">
        <v>45862</v>
      </c>
      <c r="D956" s="20" t="s">
        <v>227</v>
      </c>
      <c r="E956" s="122"/>
      <c r="F956" s="122">
        <v>126000</v>
      </c>
      <c r="G956" s="123">
        <v>173874.08</v>
      </c>
      <c r="H956" s="125" t="s">
        <v>5</v>
      </c>
      <c r="I956" s="124" t="s">
        <v>5</v>
      </c>
    </row>
    <row r="957" spans="1:9" x14ac:dyDescent="0.3">
      <c r="A957" s="18">
        <v>956</v>
      </c>
      <c r="B957" s="120" t="s">
        <v>41</v>
      </c>
      <c r="C957" s="121">
        <v>45862</v>
      </c>
      <c r="D957" s="121" t="s">
        <v>218</v>
      </c>
      <c r="E957" s="122">
        <v>113983</v>
      </c>
      <c r="F957" s="122"/>
      <c r="G957" s="123">
        <v>59891.08</v>
      </c>
      <c r="H957" s="125" t="s">
        <v>25</v>
      </c>
      <c r="I957" s="124" t="s">
        <v>25</v>
      </c>
    </row>
    <row r="958" spans="1:9" x14ac:dyDescent="0.3">
      <c r="A958" s="18">
        <v>957</v>
      </c>
      <c r="B958" s="120" t="s">
        <v>41</v>
      </c>
      <c r="C958" s="121">
        <v>45862</v>
      </c>
      <c r="D958" s="20" t="s">
        <v>233</v>
      </c>
      <c r="E958" s="122">
        <v>33211</v>
      </c>
      <c r="F958" s="122"/>
      <c r="G958" s="123">
        <v>26680.080000000002</v>
      </c>
      <c r="H958" s="125" t="s">
        <v>25</v>
      </c>
      <c r="I958" s="124" t="s">
        <v>25</v>
      </c>
    </row>
    <row r="959" spans="1:9" x14ac:dyDescent="0.3">
      <c r="A959" s="160">
        <v>958</v>
      </c>
      <c r="B959" s="161" t="s">
        <v>42</v>
      </c>
      <c r="C959" s="162">
        <v>45862</v>
      </c>
      <c r="D959" s="162" t="s">
        <v>267</v>
      </c>
      <c r="E959" s="163">
        <v>54000</v>
      </c>
      <c r="F959" s="163"/>
      <c r="G959" s="164">
        <v>-27319.919999999998</v>
      </c>
      <c r="H959" s="166" t="s">
        <v>26</v>
      </c>
      <c r="I959" s="165" t="s">
        <v>26</v>
      </c>
    </row>
    <row r="960" spans="1:9" x14ac:dyDescent="0.3">
      <c r="A960" s="160">
        <v>959</v>
      </c>
      <c r="B960" s="161" t="s">
        <v>42</v>
      </c>
      <c r="C960" s="162">
        <v>45862</v>
      </c>
      <c r="D960" s="162" t="s">
        <v>267</v>
      </c>
      <c r="E960" s="163"/>
      <c r="F960" s="163">
        <v>54000</v>
      </c>
      <c r="G960" s="164">
        <v>26680.080000000002</v>
      </c>
      <c r="H960" s="166" t="s">
        <v>31</v>
      </c>
      <c r="I960" s="165" t="s">
        <v>31</v>
      </c>
    </row>
    <row r="961" spans="1:10" x14ac:dyDescent="0.3">
      <c r="A961" s="153">
        <v>960</v>
      </c>
      <c r="B961" s="154" t="s">
        <v>48</v>
      </c>
      <c r="C961" s="155">
        <v>45862</v>
      </c>
      <c r="D961" s="36" t="s">
        <v>269</v>
      </c>
      <c r="E961" s="156"/>
      <c r="F961" s="156">
        <v>30000</v>
      </c>
      <c r="G961" s="157">
        <v>56680.08</v>
      </c>
      <c r="H961" s="159" t="s">
        <v>8</v>
      </c>
      <c r="I961" s="158" t="s">
        <v>8</v>
      </c>
      <c r="J961" s="177"/>
    </row>
    <row r="962" spans="1:10" x14ac:dyDescent="0.3">
      <c r="A962" s="153">
        <v>961</v>
      </c>
      <c r="B962" s="154" t="s">
        <v>48</v>
      </c>
      <c r="C962" s="155">
        <v>45862</v>
      </c>
      <c r="D962" s="36" t="s">
        <v>271</v>
      </c>
      <c r="E962" s="156">
        <v>1000</v>
      </c>
      <c r="F962" s="156"/>
      <c r="G962" s="157">
        <v>55680.08</v>
      </c>
      <c r="H962" s="159" t="s">
        <v>25</v>
      </c>
      <c r="I962" s="158" t="s">
        <v>25</v>
      </c>
    </row>
    <row r="963" spans="1:10" x14ac:dyDescent="0.3">
      <c r="A963" s="153">
        <v>962</v>
      </c>
      <c r="B963" s="154" t="s">
        <v>48</v>
      </c>
      <c r="C963" s="155">
        <v>45863</v>
      </c>
      <c r="D963" s="36" t="s">
        <v>271</v>
      </c>
      <c r="E963" s="156">
        <v>1500</v>
      </c>
      <c r="F963" s="156"/>
      <c r="G963" s="157">
        <v>54180.08</v>
      </c>
      <c r="H963" s="159" t="s">
        <v>25</v>
      </c>
      <c r="I963" s="158" t="s">
        <v>25</v>
      </c>
    </row>
    <row r="964" spans="1:10" x14ac:dyDescent="0.3">
      <c r="A964" s="18">
        <v>963</v>
      </c>
      <c r="B964" s="120" t="s">
        <v>41</v>
      </c>
      <c r="C964" s="121">
        <v>45863</v>
      </c>
      <c r="D964" s="20" t="s">
        <v>193</v>
      </c>
      <c r="E964" s="122"/>
      <c r="F964" s="122">
        <v>300000</v>
      </c>
      <c r="G964" s="123">
        <v>354180.08</v>
      </c>
      <c r="H964" s="125" t="s">
        <v>7</v>
      </c>
      <c r="I964" s="124" t="s">
        <v>7</v>
      </c>
    </row>
    <row r="965" spans="1:10" x14ac:dyDescent="0.3">
      <c r="A965" s="153">
        <v>964</v>
      </c>
      <c r="B965" s="35" t="s">
        <v>48</v>
      </c>
      <c r="C965" s="155">
        <v>45863</v>
      </c>
      <c r="D965" s="36" t="s">
        <v>270</v>
      </c>
      <c r="E965" s="156">
        <v>290000</v>
      </c>
      <c r="F965" s="156"/>
      <c r="G965" s="157">
        <v>64180.08</v>
      </c>
      <c r="H965" s="159" t="s">
        <v>25</v>
      </c>
      <c r="I965" s="158" t="s">
        <v>25</v>
      </c>
    </row>
    <row r="966" spans="1:10" x14ac:dyDescent="0.3">
      <c r="A966" s="18">
        <v>965</v>
      </c>
      <c r="B966" s="120" t="s">
        <v>41</v>
      </c>
      <c r="C966" s="121">
        <v>45863</v>
      </c>
      <c r="D966" s="121" t="s">
        <v>220</v>
      </c>
      <c r="E966" s="122">
        <v>40250</v>
      </c>
      <c r="F966" s="122"/>
      <c r="G966" s="123">
        <v>23930.080000000002</v>
      </c>
      <c r="H966" s="125" t="s">
        <v>13</v>
      </c>
      <c r="I966" s="124" t="s">
        <v>13</v>
      </c>
    </row>
    <row r="967" spans="1:10" x14ac:dyDescent="0.3">
      <c r="A967" s="133">
        <v>966</v>
      </c>
      <c r="B967" s="135" t="s">
        <v>44</v>
      </c>
      <c r="C967" s="134">
        <v>45864</v>
      </c>
      <c r="D967" s="134" t="s">
        <v>256</v>
      </c>
      <c r="E967" s="136"/>
      <c r="F967" s="136">
        <v>500000</v>
      </c>
      <c r="G967" s="137">
        <v>523930.08</v>
      </c>
      <c r="H967" s="139" t="s">
        <v>5</v>
      </c>
      <c r="I967" s="138" t="s">
        <v>5</v>
      </c>
    </row>
    <row r="968" spans="1:10" x14ac:dyDescent="0.3">
      <c r="A968" s="153">
        <v>967</v>
      </c>
      <c r="B968" s="35" t="s">
        <v>48</v>
      </c>
      <c r="C968" s="155">
        <v>45864</v>
      </c>
      <c r="D968" s="36" t="s">
        <v>270</v>
      </c>
      <c r="E968" s="156">
        <v>500000</v>
      </c>
      <c r="F968" s="156"/>
      <c r="G968" s="157">
        <v>23930.080000000002</v>
      </c>
      <c r="H968" s="159" t="s">
        <v>9</v>
      </c>
      <c r="I968" s="158" t="s">
        <v>9</v>
      </c>
    </row>
    <row r="969" spans="1:10" x14ac:dyDescent="0.3">
      <c r="A969" s="133">
        <v>968</v>
      </c>
      <c r="B969" s="135" t="s">
        <v>44</v>
      </c>
      <c r="C969" s="134">
        <v>45864</v>
      </c>
      <c r="D969" s="134" t="s">
        <v>248</v>
      </c>
      <c r="E969" s="136"/>
      <c r="F969" s="136">
        <v>400000</v>
      </c>
      <c r="G969" s="137">
        <v>423930.08</v>
      </c>
      <c r="H969" s="139" t="s">
        <v>7</v>
      </c>
      <c r="I969" s="138" t="s">
        <v>7</v>
      </c>
    </row>
    <row r="970" spans="1:10" x14ac:dyDescent="0.3">
      <c r="A970" s="133">
        <v>969</v>
      </c>
      <c r="B970" s="135" t="s">
        <v>44</v>
      </c>
      <c r="C970" s="134">
        <v>45864</v>
      </c>
      <c r="D970" s="134" t="s">
        <v>250</v>
      </c>
      <c r="E970" s="136"/>
      <c r="F970" s="136">
        <v>1000</v>
      </c>
      <c r="G970" s="137">
        <v>424930.08</v>
      </c>
      <c r="H970" s="139" t="s">
        <v>10</v>
      </c>
      <c r="I970" s="138" t="s">
        <v>10</v>
      </c>
    </row>
    <row r="971" spans="1:10" x14ac:dyDescent="0.3">
      <c r="A971" s="153">
        <v>970</v>
      </c>
      <c r="B971" s="35" t="s">
        <v>48</v>
      </c>
      <c r="C971" s="155">
        <v>45864</v>
      </c>
      <c r="D971" s="36" t="s">
        <v>270</v>
      </c>
      <c r="E971" s="156">
        <v>210000</v>
      </c>
      <c r="F971" s="156"/>
      <c r="G971" s="157">
        <v>214930.08</v>
      </c>
      <c r="H971" s="159" t="s">
        <v>9</v>
      </c>
      <c r="I971" s="158" t="s">
        <v>9</v>
      </c>
    </row>
    <row r="972" spans="1:10" x14ac:dyDescent="0.3">
      <c r="A972" s="18">
        <v>971</v>
      </c>
      <c r="B972" s="120" t="s">
        <v>41</v>
      </c>
      <c r="C972" s="121">
        <v>45864</v>
      </c>
      <c r="D972" s="20" t="s">
        <v>219</v>
      </c>
      <c r="E972" s="122">
        <v>15000</v>
      </c>
      <c r="F972" s="122"/>
      <c r="G972" s="123">
        <v>199930.08</v>
      </c>
      <c r="H972" s="125" t="s">
        <v>13</v>
      </c>
      <c r="I972" s="124" t="s">
        <v>13</v>
      </c>
    </row>
    <row r="973" spans="1:10" x14ac:dyDescent="0.3">
      <c r="A973" s="18">
        <v>972</v>
      </c>
      <c r="B973" s="120" t="s">
        <v>41</v>
      </c>
      <c r="C973" s="121">
        <v>45864</v>
      </c>
      <c r="D973" s="20" t="s">
        <v>188</v>
      </c>
      <c r="E973" s="122">
        <v>30000</v>
      </c>
      <c r="F973" s="122"/>
      <c r="G973" s="123">
        <v>169930.08</v>
      </c>
      <c r="H973" s="125" t="s">
        <v>13</v>
      </c>
      <c r="I973" s="124" t="s">
        <v>13</v>
      </c>
    </row>
    <row r="974" spans="1:10" x14ac:dyDescent="0.3">
      <c r="A974" s="146">
        <v>973</v>
      </c>
      <c r="B974" s="147" t="s">
        <v>42</v>
      </c>
      <c r="C974" s="148">
        <v>45864</v>
      </c>
      <c r="D974" s="30" t="s">
        <v>54</v>
      </c>
      <c r="E974" s="149">
        <v>30000</v>
      </c>
      <c r="F974" s="149"/>
      <c r="G974" s="150">
        <v>139930.07999999999</v>
      </c>
      <c r="H974" s="152" t="s">
        <v>33</v>
      </c>
      <c r="I974" s="151" t="s">
        <v>33</v>
      </c>
    </row>
    <row r="975" spans="1:10" x14ac:dyDescent="0.3">
      <c r="A975" s="18">
        <v>974</v>
      </c>
      <c r="B975" s="120" t="s">
        <v>41</v>
      </c>
      <c r="C975" s="121">
        <v>45864</v>
      </c>
      <c r="D975" s="20" t="s">
        <v>230</v>
      </c>
      <c r="E975" s="122"/>
      <c r="F975" s="122">
        <v>205328</v>
      </c>
      <c r="G975" s="123">
        <v>345258.08</v>
      </c>
      <c r="H975" s="125" t="s">
        <v>5</v>
      </c>
      <c r="I975" s="124" t="s">
        <v>5</v>
      </c>
    </row>
    <row r="976" spans="1:10" x14ac:dyDescent="0.3">
      <c r="A976" s="133">
        <v>975</v>
      </c>
      <c r="B976" s="135" t="s">
        <v>44</v>
      </c>
      <c r="C976" s="134">
        <v>45864</v>
      </c>
      <c r="D976" s="134" t="s">
        <v>250</v>
      </c>
      <c r="E976" s="136"/>
      <c r="F976" s="136">
        <v>239000</v>
      </c>
      <c r="G976" s="137">
        <v>584258.07999999996</v>
      </c>
      <c r="H976" s="139" t="s">
        <v>10</v>
      </c>
      <c r="I976" s="138" t="s">
        <v>10</v>
      </c>
    </row>
    <row r="977" spans="1:10" x14ac:dyDescent="0.3">
      <c r="A977" s="18">
        <v>976</v>
      </c>
      <c r="B977" s="120" t="s">
        <v>41</v>
      </c>
      <c r="C977" s="121">
        <v>45864</v>
      </c>
      <c r="D977" s="20" t="s">
        <v>201</v>
      </c>
      <c r="E977" s="122">
        <v>102900</v>
      </c>
      <c r="F977" s="122"/>
      <c r="G977" s="123">
        <v>481358.08000000002</v>
      </c>
      <c r="H977" s="125" t="s">
        <v>13</v>
      </c>
      <c r="I977" s="124" t="s">
        <v>13</v>
      </c>
    </row>
    <row r="978" spans="1:10" x14ac:dyDescent="0.3">
      <c r="A978" s="18">
        <v>977</v>
      </c>
      <c r="B978" s="120" t="s">
        <v>41</v>
      </c>
      <c r="C978" s="121">
        <v>45864</v>
      </c>
      <c r="D978" s="20" t="s">
        <v>226</v>
      </c>
      <c r="E978" s="122">
        <v>314720</v>
      </c>
      <c r="F978" s="122"/>
      <c r="G978" s="123">
        <v>166638.07999999999</v>
      </c>
      <c r="H978" s="125" t="s">
        <v>9</v>
      </c>
      <c r="I978" s="124" t="s">
        <v>9</v>
      </c>
    </row>
    <row r="979" spans="1:10" x14ac:dyDescent="0.3">
      <c r="A979" s="133">
        <v>978</v>
      </c>
      <c r="B979" s="135" t="s">
        <v>44</v>
      </c>
      <c r="C979" s="134">
        <v>45864</v>
      </c>
      <c r="D979" s="134" t="s">
        <v>256</v>
      </c>
      <c r="E979" s="136"/>
      <c r="F979" s="136">
        <v>460000</v>
      </c>
      <c r="G979" s="137">
        <v>626638.07999999996</v>
      </c>
      <c r="H979" s="139" t="s">
        <v>7</v>
      </c>
      <c r="I979" s="138" t="s">
        <v>7</v>
      </c>
    </row>
    <row r="980" spans="1:10" x14ac:dyDescent="0.3">
      <c r="A980" s="133">
        <v>979</v>
      </c>
      <c r="B980" s="135" t="s">
        <v>44</v>
      </c>
      <c r="C980" s="134">
        <v>45864</v>
      </c>
      <c r="D980" s="134" t="s">
        <v>248</v>
      </c>
      <c r="E980" s="136"/>
      <c r="F980" s="136">
        <v>75000</v>
      </c>
      <c r="G980" s="137">
        <v>701638.08</v>
      </c>
      <c r="H980" s="139" t="s">
        <v>8</v>
      </c>
      <c r="I980" s="138" t="s">
        <v>8</v>
      </c>
    </row>
    <row r="981" spans="1:10" x14ac:dyDescent="0.3">
      <c r="A981" s="18">
        <v>980</v>
      </c>
      <c r="B981" s="120" t="s">
        <v>41</v>
      </c>
      <c r="C981" s="121">
        <v>45864</v>
      </c>
      <c r="D981" s="20" t="s">
        <v>233</v>
      </c>
      <c r="E981" s="122">
        <v>2744</v>
      </c>
      <c r="F981" s="122"/>
      <c r="G981" s="123">
        <v>698894.08</v>
      </c>
      <c r="H981" s="125" t="s">
        <v>13</v>
      </c>
      <c r="I981" s="124" t="s">
        <v>13</v>
      </c>
    </row>
    <row r="982" spans="1:10" x14ac:dyDescent="0.3">
      <c r="A982" s="153">
        <v>981</v>
      </c>
      <c r="B982" s="154" t="s">
        <v>48</v>
      </c>
      <c r="C982" s="155">
        <v>45864</v>
      </c>
      <c r="D982" s="36" t="s">
        <v>276</v>
      </c>
      <c r="E982" s="156">
        <v>10000</v>
      </c>
      <c r="F982" s="156"/>
      <c r="G982" s="157">
        <v>688894.08</v>
      </c>
      <c r="H982" s="159" t="s">
        <v>6</v>
      </c>
      <c r="I982" s="158" t="s">
        <v>6</v>
      </c>
    </row>
    <row r="983" spans="1:10" x14ac:dyDescent="0.3">
      <c r="A983" s="133">
        <v>982</v>
      </c>
      <c r="B983" s="135" t="s">
        <v>44</v>
      </c>
      <c r="C983" s="134">
        <v>45864</v>
      </c>
      <c r="D983" s="134" t="s">
        <v>248</v>
      </c>
      <c r="E983" s="136"/>
      <c r="F983" s="136">
        <v>250000</v>
      </c>
      <c r="G983" s="137">
        <v>938894.08</v>
      </c>
      <c r="H983" s="139" t="s">
        <v>7</v>
      </c>
      <c r="I983" s="138" t="s">
        <v>7</v>
      </c>
    </row>
    <row r="984" spans="1:10" x14ac:dyDescent="0.3">
      <c r="A984" s="133">
        <v>983</v>
      </c>
      <c r="B984" s="135" t="s">
        <v>44</v>
      </c>
      <c r="C984" s="134">
        <v>45864</v>
      </c>
      <c r="D984" s="134" t="s">
        <v>248</v>
      </c>
      <c r="E984" s="136"/>
      <c r="F984" s="136">
        <v>75000</v>
      </c>
      <c r="G984" s="137">
        <v>1013894.08</v>
      </c>
      <c r="H984" s="139" t="s">
        <v>5</v>
      </c>
      <c r="I984" s="138" t="s">
        <v>5</v>
      </c>
    </row>
    <row r="985" spans="1:10" x14ac:dyDescent="0.3">
      <c r="A985" s="153">
        <v>984</v>
      </c>
      <c r="B985" s="154" t="s">
        <v>48</v>
      </c>
      <c r="C985" s="155">
        <v>45864</v>
      </c>
      <c r="D985" s="36" t="s">
        <v>276</v>
      </c>
      <c r="E985" s="156">
        <v>913000</v>
      </c>
      <c r="F985" s="156"/>
      <c r="G985" s="157">
        <v>100894.08</v>
      </c>
      <c r="H985" s="159" t="s">
        <v>6</v>
      </c>
      <c r="I985" s="158" t="s">
        <v>6</v>
      </c>
    </row>
    <row r="986" spans="1:10" x14ac:dyDescent="0.3">
      <c r="A986" s="153">
        <v>985</v>
      </c>
      <c r="B986" s="154" t="s">
        <v>48</v>
      </c>
      <c r="C986" s="155">
        <v>45864</v>
      </c>
      <c r="D986" s="36" t="s">
        <v>276</v>
      </c>
      <c r="E986" s="156"/>
      <c r="F986" s="156">
        <v>900000</v>
      </c>
      <c r="G986" s="157">
        <v>1000894.08</v>
      </c>
      <c r="H986" s="159" t="s">
        <v>8</v>
      </c>
      <c r="I986" s="158" t="s">
        <v>8</v>
      </c>
    </row>
    <row r="987" spans="1:10" x14ac:dyDescent="0.3">
      <c r="A987" s="18">
        <v>986</v>
      </c>
      <c r="B987" s="120" t="s">
        <v>41</v>
      </c>
      <c r="C987" s="121">
        <v>45864</v>
      </c>
      <c r="D987" s="20" t="s">
        <v>226</v>
      </c>
      <c r="E987" s="122"/>
      <c r="F987" s="122">
        <v>151108</v>
      </c>
      <c r="G987" s="123">
        <v>1152002.08</v>
      </c>
      <c r="H987" s="125" t="s">
        <v>5</v>
      </c>
      <c r="I987" s="124" t="s">
        <v>5</v>
      </c>
    </row>
    <row r="988" spans="1:10" x14ac:dyDescent="0.3">
      <c r="A988" s="18">
        <v>987</v>
      </c>
      <c r="B988" s="120" t="s">
        <v>41</v>
      </c>
      <c r="C988" s="121">
        <v>45864</v>
      </c>
      <c r="D988" s="121" t="s">
        <v>52</v>
      </c>
      <c r="E988" s="122">
        <v>25000</v>
      </c>
      <c r="F988" s="122"/>
      <c r="G988" s="123">
        <v>1127002.08</v>
      </c>
      <c r="H988" s="125" t="s">
        <v>13</v>
      </c>
      <c r="I988" s="124" t="s">
        <v>13</v>
      </c>
      <c r="J988" s="177"/>
    </row>
    <row r="989" spans="1:10" x14ac:dyDescent="0.3">
      <c r="A989" s="153">
        <v>988</v>
      </c>
      <c r="B989" s="154" t="s">
        <v>48</v>
      </c>
      <c r="C989" s="155">
        <v>45864</v>
      </c>
      <c r="D989" s="36" t="s">
        <v>271</v>
      </c>
      <c r="E989" s="156">
        <v>1200</v>
      </c>
      <c r="F989" s="156"/>
      <c r="G989" s="157">
        <v>1125802.08</v>
      </c>
      <c r="H989" s="159" t="s">
        <v>25</v>
      </c>
      <c r="I989" s="158" t="s">
        <v>25</v>
      </c>
    </row>
    <row r="990" spans="1:10" x14ac:dyDescent="0.3">
      <c r="A990" s="18">
        <v>989</v>
      </c>
      <c r="B990" s="120" t="s">
        <v>41</v>
      </c>
      <c r="C990" s="121">
        <v>45865</v>
      </c>
      <c r="D990" s="20" t="s">
        <v>193</v>
      </c>
      <c r="E990" s="122"/>
      <c r="F990" s="122">
        <v>428100</v>
      </c>
      <c r="G990" s="123">
        <v>1553902.08</v>
      </c>
      <c r="H990" s="125" t="s">
        <v>7</v>
      </c>
      <c r="I990" s="124" t="s">
        <v>7</v>
      </c>
    </row>
    <row r="991" spans="1:10" x14ac:dyDescent="0.3">
      <c r="A991" s="153">
        <v>990</v>
      </c>
      <c r="B991" s="154" t="s">
        <v>48</v>
      </c>
      <c r="C991" s="155">
        <v>45865</v>
      </c>
      <c r="D991" s="36" t="s">
        <v>276</v>
      </c>
      <c r="E991" s="156">
        <v>1486500</v>
      </c>
      <c r="F991" s="156"/>
      <c r="G991" s="157">
        <v>67402.080000000002</v>
      </c>
      <c r="H991" s="159" t="s">
        <v>6</v>
      </c>
      <c r="I991" s="158" t="s">
        <v>6</v>
      </c>
    </row>
    <row r="992" spans="1:10" x14ac:dyDescent="0.3">
      <c r="A992" s="153">
        <v>991</v>
      </c>
      <c r="B992" s="154" t="s">
        <v>48</v>
      </c>
      <c r="C992" s="155">
        <v>45865</v>
      </c>
      <c r="D992" s="36" t="s">
        <v>276</v>
      </c>
      <c r="E992" s="156"/>
      <c r="F992" s="156">
        <v>1478000</v>
      </c>
      <c r="G992" s="157">
        <v>1545402.08</v>
      </c>
      <c r="H992" s="159" t="s">
        <v>8</v>
      </c>
      <c r="I992" s="158" t="s">
        <v>8</v>
      </c>
    </row>
    <row r="993" spans="1:9" x14ac:dyDescent="0.3">
      <c r="A993" s="133">
        <v>992</v>
      </c>
      <c r="B993" s="135" t="s">
        <v>44</v>
      </c>
      <c r="C993" s="134">
        <v>45866</v>
      </c>
      <c r="D993" s="41" t="s">
        <v>257</v>
      </c>
      <c r="E993" s="136">
        <v>150000</v>
      </c>
      <c r="F993" s="136"/>
      <c r="G993" s="137">
        <v>1395402.08</v>
      </c>
      <c r="H993" s="139" t="s">
        <v>26</v>
      </c>
      <c r="I993" s="138" t="s">
        <v>26</v>
      </c>
    </row>
    <row r="994" spans="1:9" x14ac:dyDescent="0.3">
      <c r="A994" s="133">
        <v>993</v>
      </c>
      <c r="B994" s="135" t="s">
        <v>44</v>
      </c>
      <c r="C994" s="134">
        <v>45866</v>
      </c>
      <c r="D994" s="41" t="s">
        <v>252</v>
      </c>
      <c r="E994" s="136">
        <v>100000</v>
      </c>
      <c r="F994" s="136"/>
      <c r="G994" s="137">
        <v>1295402.08</v>
      </c>
      <c r="H994" s="139" t="s">
        <v>26</v>
      </c>
      <c r="I994" s="138" t="s">
        <v>26</v>
      </c>
    </row>
    <row r="995" spans="1:9" x14ac:dyDescent="0.3">
      <c r="A995" s="133">
        <v>994</v>
      </c>
      <c r="B995" s="135" t="s">
        <v>44</v>
      </c>
      <c r="C995" s="134">
        <v>45866</v>
      </c>
      <c r="D995" s="41" t="s">
        <v>254</v>
      </c>
      <c r="E995" s="136">
        <v>150000</v>
      </c>
      <c r="F995" s="136"/>
      <c r="G995" s="137">
        <v>1145402.08</v>
      </c>
      <c r="H995" s="139" t="s">
        <v>26</v>
      </c>
      <c r="I995" s="138" t="s">
        <v>26</v>
      </c>
    </row>
    <row r="996" spans="1:9" x14ac:dyDescent="0.3">
      <c r="A996" s="18">
        <v>995</v>
      </c>
      <c r="B996" s="120" t="s">
        <v>41</v>
      </c>
      <c r="C996" s="121">
        <v>45866</v>
      </c>
      <c r="D996" s="20" t="s">
        <v>231</v>
      </c>
      <c r="E996" s="122">
        <v>80000</v>
      </c>
      <c r="F996" s="122"/>
      <c r="G996" s="123">
        <v>1065402.08</v>
      </c>
      <c r="H996" s="125" t="s">
        <v>13</v>
      </c>
      <c r="I996" s="124" t="s">
        <v>13</v>
      </c>
    </row>
    <row r="997" spans="1:9" x14ac:dyDescent="0.3">
      <c r="A997" s="18">
        <v>996</v>
      </c>
      <c r="B997" s="5" t="s">
        <v>39</v>
      </c>
      <c r="C997" s="6">
        <v>45866</v>
      </c>
      <c r="D997" s="6" t="s">
        <v>264</v>
      </c>
      <c r="E997" s="8">
        <v>45000</v>
      </c>
      <c r="F997" s="9"/>
      <c r="G997" s="7">
        <v>1020402.08</v>
      </c>
      <c r="H997" s="2" t="s">
        <v>14</v>
      </c>
      <c r="I997" s="1" t="s">
        <v>14</v>
      </c>
    </row>
    <row r="998" spans="1:9" x14ac:dyDescent="0.3">
      <c r="A998" s="153">
        <v>997</v>
      </c>
      <c r="B998" s="154" t="s">
        <v>48</v>
      </c>
      <c r="C998" s="155">
        <v>45866</v>
      </c>
      <c r="D998" s="36" t="s">
        <v>272</v>
      </c>
      <c r="E998" s="156">
        <v>20000</v>
      </c>
      <c r="F998" s="156"/>
      <c r="G998" s="157">
        <v>1000402.08</v>
      </c>
      <c r="H998" s="159" t="s">
        <v>13</v>
      </c>
      <c r="I998" s="158" t="s">
        <v>13</v>
      </c>
    </row>
    <row r="999" spans="1:9" x14ac:dyDescent="0.3">
      <c r="A999" s="18">
        <v>998</v>
      </c>
      <c r="B999" s="120" t="s">
        <v>41</v>
      </c>
      <c r="C999" s="121">
        <v>45866</v>
      </c>
      <c r="D999" s="121" t="s">
        <v>210</v>
      </c>
      <c r="E999" s="122">
        <v>54000</v>
      </c>
      <c r="F999" s="122"/>
      <c r="G999" s="123">
        <v>946402.08</v>
      </c>
      <c r="H999" s="125" t="s">
        <v>26</v>
      </c>
      <c r="I999" s="124" t="s">
        <v>26</v>
      </c>
    </row>
    <row r="1000" spans="1:9" x14ac:dyDescent="0.3">
      <c r="A1000" s="18">
        <v>999</v>
      </c>
      <c r="B1000" s="5" t="s">
        <v>39</v>
      </c>
      <c r="C1000" s="6">
        <v>45866</v>
      </c>
      <c r="D1000" s="6" t="s">
        <v>258</v>
      </c>
      <c r="E1000" s="8">
        <v>17.7</v>
      </c>
      <c r="F1000" s="9"/>
      <c r="G1000" s="7">
        <v>946384.38</v>
      </c>
      <c r="H1000" s="2" t="s">
        <v>24</v>
      </c>
      <c r="I1000" s="1" t="s">
        <v>24</v>
      </c>
    </row>
    <row r="1001" spans="1:9" x14ac:dyDescent="0.3">
      <c r="A1001" s="18">
        <v>1000</v>
      </c>
      <c r="B1001" s="5" t="s">
        <v>39</v>
      </c>
      <c r="C1001" s="6">
        <v>45866</v>
      </c>
      <c r="D1001" s="6" t="s">
        <v>258</v>
      </c>
      <c r="E1001" s="8">
        <v>5.9</v>
      </c>
      <c r="F1001" s="9"/>
      <c r="G1001" s="7">
        <v>946378.48</v>
      </c>
      <c r="H1001" s="2" t="s">
        <v>24</v>
      </c>
      <c r="I1001" s="1" t="s">
        <v>24</v>
      </c>
    </row>
    <row r="1002" spans="1:9" x14ac:dyDescent="0.3">
      <c r="A1002" s="18">
        <v>1001</v>
      </c>
      <c r="B1002" s="5" t="s">
        <v>39</v>
      </c>
      <c r="C1002" s="6">
        <v>45866</v>
      </c>
      <c r="D1002" s="6" t="s">
        <v>258</v>
      </c>
      <c r="E1002" s="8">
        <v>5.9</v>
      </c>
      <c r="F1002" s="9"/>
      <c r="G1002" s="7">
        <v>946372.58</v>
      </c>
      <c r="H1002" s="2" t="s">
        <v>24</v>
      </c>
      <c r="I1002" s="1" t="s">
        <v>24</v>
      </c>
    </row>
    <row r="1003" spans="1:9" x14ac:dyDescent="0.3">
      <c r="A1003" s="18">
        <v>1002</v>
      </c>
      <c r="B1003" s="5" t="s">
        <v>39</v>
      </c>
      <c r="C1003" s="6">
        <v>45866</v>
      </c>
      <c r="D1003" s="6" t="s">
        <v>258</v>
      </c>
      <c r="E1003" s="8">
        <v>17.7</v>
      </c>
      <c r="F1003" s="9"/>
      <c r="G1003" s="7">
        <v>946354.88</v>
      </c>
      <c r="H1003" s="2" t="s">
        <v>24</v>
      </c>
      <c r="I1003" s="1" t="s">
        <v>24</v>
      </c>
    </row>
    <row r="1004" spans="1:9" x14ac:dyDescent="0.3">
      <c r="A1004" s="18">
        <v>1003</v>
      </c>
      <c r="B1004" s="5" t="s">
        <v>39</v>
      </c>
      <c r="C1004" s="6">
        <v>45866</v>
      </c>
      <c r="D1004" s="6" t="s">
        <v>258</v>
      </c>
      <c r="E1004" s="8">
        <v>5.9</v>
      </c>
      <c r="F1004" s="9"/>
      <c r="G1004" s="7">
        <v>946348.98</v>
      </c>
      <c r="H1004" s="2" t="s">
        <v>24</v>
      </c>
      <c r="I1004" s="1" t="s">
        <v>24</v>
      </c>
    </row>
    <row r="1005" spans="1:9" x14ac:dyDescent="0.3">
      <c r="A1005" s="18">
        <v>1004</v>
      </c>
      <c r="B1005" s="5" t="s">
        <v>39</v>
      </c>
      <c r="C1005" s="6">
        <v>45866</v>
      </c>
      <c r="D1005" s="6" t="s">
        <v>258</v>
      </c>
      <c r="E1005" s="8">
        <v>17.7</v>
      </c>
      <c r="F1005" s="9"/>
      <c r="G1005" s="7">
        <v>946331.28</v>
      </c>
      <c r="H1005" s="2" t="s">
        <v>24</v>
      </c>
      <c r="I1005" s="1" t="s">
        <v>24</v>
      </c>
    </row>
    <row r="1006" spans="1:9" x14ac:dyDescent="0.3">
      <c r="A1006" s="18">
        <v>1005</v>
      </c>
      <c r="B1006" s="5" t="s">
        <v>39</v>
      </c>
      <c r="C1006" s="6">
        <v>45866</v>
      </c>
      <c r="D1006" s="6" t="s">
        <v>258</v>
      </c>
      <c r="E1006" s="8">
        <v>17.7</v>
      </c>
      <c r="F1006" s="9"/>
      <c r="G1006" s="7">
        <v>946313.58</v>
      </c>
      <c r="H1006" s="2" t="s">
        <v>24</v>
      </c>
      <c r="I1006" s="1" t="s">
        <v>24</v>
      </c>
    </row>
    <row r="1007" spans="1:9" x14ac:dyDescent="0.3">
      <c r="A1007" s="18">
        <v>1006</v>
      </c>
      <c r="B1007" s="5" t="s">
        <v>39</v>
      </c>
      <c r="C1007" s="6">
        <v>45866</v>
      </c>
      <c r="D1007" s="6" t="s">
        <v>258</v>
      </c>
      <c r="E1007" s="8">
        <v>5.9</v>
      </c>
      <c r="F1007" s="9"/>
      <c r="G1007" s="7">
        <v>946307.68</v>
      </c>
      <c r="H1007" s="2" t="s">
        <v>24</v>
      </c>
      <c r="I1007" s="1" t="s">
        <v>24</v>
      </c>
    </row>
    <row r="1008" spans="1:9" x14ac:dyDescent="0.3">
      <c r="A1008" s="18">
        <v>1007</v>
      </c>
      <c r="B1008" s="120" t="s">
        <v>41</v>
      </c>
      <c r="C1008" s="121">
        <v>45866</v>
      </c>
      <c r="D1008" s="20" t="s">
        <v>193</v>
      </c>
      <c r="E1008" s="122"/>
      <c r="F1008" s="122">
        <v>500000</v>
      </c>
      <c r="G1008" s="123">
        <v>1446307.68</v>
      </c>
      <c r="H1008" s="125" t="s">
        <v>7</v>
      </c>
      <c r="I1008" s="124" t="s">
        <v>7</v>
      </c>
    </row>
    <row r="1009" spans="1:9" x14ac:dyDescent="0.3">
      <c r="A1009" s="18">
        <v>1008</v>
      </c>
      <c r="B1009" s="120" t="s">
        <v>41</v>
      </c>
      <c r="C1009" s="121">
        <v>45866</v>
      </c>
      <c r="D1009" s="121" t="s">
        <v>214</v>
      </c>
      <c r="E1009" s="122"/>
      <c r="F1009" s="122">
        <v>25000</v>
      </c>
      <c r="G1009" s="123">
        <v>1471307.68</v>
      </c>
      <c r="H1009" s="125" t="s">
        <v>5</v>
      </c>
      <c r="I1009" s="124" t="s">
        <v>5</v>
      </c>
    </row>
    <row r="1010" spans="1:9" x14ac:dyDescent="0.3">
      <c r="A1010" s="18">
        <v>1009</v>
      </c>
      <c r="B1010" s="120" t="s">
        <v>41</v>
      </c>
      <c r="C1010" s="121">
        <v>45867</v>
      </c>
      <c r="D1010" s="121" t="s">
        <v>207</v>
      </c>
      <c r="E1010" s="122">
        <v>179200</v>
      </c>
      <c r="F1010" s="122"/>
      <c r="G1010" s="123">
        <v>1292107.68</v>
      </c>
      <c r="H1010" s="125" t="s">
        <v>26</v>
      </c>
      <c r="I1010" s="124" t="s">
        <v>26</v>
      </c>
    </row>
    <row r="1011" spans="1:9" x14ac:dyDescent="0.3">
      <c r="A1011" s="153">
        <v>1010</v>
      </c>
      <c r="B1011" s="35" t="s">
        <v>48</v>
      </c>
      <c r="C1011" s="155">
        <v>45867</v>
      </c>
      <c r="D1011" s="36" t="s">
        <v>270</v>
      </c>
      <c r="E1011" s="156">
        <v>284399</v>
      </c>
      <c r="F1011" s="156"/>
      <c r="G1011" s="157">
        <v>1007708.68</v>
      </c>
      <c r="H1011" s="159" t="s">
        <v>26</v>
      </c>
      <c r="I1011" s="158" t="s">
        <v>26</v>
      </c>
    </row>
    <row r="1012" spans="1:9" x14ac:dyDescent="0.3">
      <c r="A1012" s="153">
        <v>1011</v>
      </c>
      <c r="B1012" s="35" t="s">
        <v>48</v>
      </c>
      <c r="C1012" s="155">
        <v>45867</v>
      </c>
      <c r="D1012" s="36" t="s">
        <v>270</v>
      </c>
      <c r="E1012" s="156">
        <v>88452</v>
      </c>
      <c r="F1012" s="156"/>
      <c r="G1012" s="157">
        <v>919256.68</v>
      </c>
      <c r="H1012" s="159" t="s">
        <v>26</v>
      </c>
      <c r="I1012" s="158" t="s">
        <v>26</v>
      </c>
    </row>
    <row r="1013" spans="1:9" x14ac:dyDescent="0.3">
      <c r="A1013" s="153">
        <v>1012</v>
      </c>
      <c r="B1013" s="35" t="s">
        <v>48</v>
      </c>
      <c r="C1013" s="155">
        <v>45867</v>
      </c>
      <c r="D1013" s="36" t="s">
        <v>270</v>
      </c>
      <c r="E1013" s="156">
        <v>138750</v>
      </c>
      <c r="F1013" s="156"/>
      <c r="G1013" s="157">
        <v>780506.68</v>
      </c>
      <c r="H1013" s="159" t="s">
        <v>26</v>
      </c>
      <c r="I1013" s="158" t="s">
        <v>26</v>
      </c>
    </row>
    <row r="1014" spans="1:9" x14ac:dyDescent="0.3">
      <c r="A1014" s="153">
        <v>1013</v>
      </c>
      <c r="B1014" s="35" t="s">
        <v>48</v>
      </c>
      <c r="C1014" s="155">
        <v>45867</v>
      </c>
      <c r="D1014" s="36" t="s">
        <v>270</v>
      </c>
      <c r="E1014" s="156">
        <v>147420</v>
      </c>
      <c r="F1014" s="156"/>
      <c r="G1014" s="157">
        <v>633086.68000000005</v>
      </c>
      <c r="H1014" s="159" t="s">
        <v>26</v>
      </c>
      <c r="I1014" s="158" t="s">
        <v>26</v>
      </c>
    </row>
    <row r="1015" spans="1:9" x14ac:dyDescent="0.3">
      <c r="A1015" s="153">
        <v>1014</v>
      </c>
      <c r="B1015" s="35" t="s">
        <v>48</v>
      </c>
      <c r="C1015" s="155">
        <v>45867</v>
      </c>
      <c r="D1015" s="36" t="s">
        <v>270</v>
      </c>
      <c r="E1015" s="156">
        <v>546475</v>
      </c>
      <c r="F1015" s="156"/>
      <c r="G1015" s="157">
        <v>86611.68</v>
      </c>
      <c r="H1015" s="159" t="s">
        <v>26</v>
      </c>
      <c r="I1015" s="158" t="s">
        <v>26</v>
      </c>
    </row>
    <row r="1016" spans="1:9" x14ac:dyDescent="0.3">
      <c r="A1016" s="167">
        <v>1015</v>
      </c>
      <c r="B1016" s="140" t="s">
        <v>42</v>
      </c>
      <c r="C1016" s="141">
        <v>45867</v>
      </c>
      <c r="D1016" s="168" t="s">
        <v>266</v>
      </c>
      <c r="E1016" s="142">
        <v>250000</v>
      </c>
      <c r="F1016" s="142"/>
      <c r="G1016" s="143">
        <v>-163388.32</v>
      </c>
      <c r="H1016" s="145" t="s">
        <v>26</v>
      </c>
      <c r="I1016" s="144" t="s">
        <v>26</v>
      </c>
    </row>
    <row r="1017" spans="1:9" x14ac:dyDescent="0.3">
      <c r="A1017" s="167">
        <v>1016</v>
      </c>
      <c r="B1017" s="140" t="s">
        <v>42</v>
      </c>
      <c r="C1017" s="141">
        <v>45867</v>
      </c>
      <c r="D1017" s="168" t="s">
        <v>266</v>
      </c>
      <c r="E1017" s="142"/>
      <c r="F1017" s="142">
        <v>250000</v>
      </c>
      <c r="G1017" s="143">
        <v>86611.68</v>
      </c>
      <c r="H1017" s="145" t="s">
        <v>31</v>
      </c>
      <c r="I1017" s="144" t="s">
        <v>31</v>
      </c>
    </row>
    <row r="1018" spans="1:9" x14ac:dyDescent="0.3">
      <c r="A1018" s="167">
        <v>1017</v>
      </c>
      <c r="B1018" s="140" t="s">
        <v>42</v>
      </c>
      <c r="C1018" s="141">
        <v>45867</v>
      </c>
      <c r="D1018" s="168" t="s">
        <v>266</v>
      </c>
      <c r="E1018" s="142">
        <v>110000</v>
      </c>
      <c r="F1018" s="142"/>
      <c r="G1018" s="143">
        <v>-23388.32</v>
      </c>
      <c r="H1018" s="145" t="s">
        <v>26</v>
      </c>
      <c r="I1018" s="144" t="s">
        <v>26</v>
      </c>
    </row>
    <row r="1019" spans="1:9" x14ac:dyDescent="0.3">
      <c r="A1019" s="167">
        <v>1018</v>
      </c>
      <c r="B1019" s="140" t="s">
        <v>42</v>
      </c>
      <c r="C1019" s="141">
        <v>45867</v>
      </c>
      <c r="D1019" s="168" t="s">
        <v>266</v>
      </c>
      <c r="E1019" s="142"/>
      <c r="F1019" s="142">
        <v>110000</v>
      </c>
      <c r="G1019" s="143">
        <v>86611.68</v>
      </c>
      <c r="H1019" s="145" t="s">
        <v>31</v>
      </c>
      <c r="I1019" s="144" t="s">
        <v>31</v>
      </c>
    </row>
    <row r="1020" spans="1:9" x14ac:dyDescent="0.3">
      <c r="A1020" s="146">
        <v>1019</v>
      </c>
      <c r="B1020" s="147" t="s">
        <v>42</v>
      </c>
      <c r="C1020" s="148">
        <v>45867</v>
      </c>
      <c r="D1020" s="30" t="s">
        <v>54</v>
      </c>
      <c r="E1020" s="149"/>
      <c r="F1020" s="149">
        <v>40000</v>
      </c>
      <c r="G1020" s="150">
        <v>126611.68</v>
      </c>
      <c r="H1020" s="152" t="s">
        <v>33</v>
      </c>
      <c r="I1020" s="151" t="s">
        <v>33</v>
      </c>
    </row>
    <row r="1021" spans="1:9" x14ac:dyDescent="0.3">
      <c r="A1021" s="18">
        <v>1020</v>
      </c>
      <c r="B1021" s="120" t="s">
        <v>41</v>
      </c>
      <c r="C1021" s="121">
        <v>45867</v>
      </c>
      <c r="D1021" s="20" t="s">
        <v>193</v>
      </c>
      <c r="E1021" s="122"/>
      <c r="F1021" s="122">
        <v>250000</v>
      </c>
      <c r="G1021" s="123">
        <v>376611.68</v>
      </c>
      <c r="H1021" s="125" t="s">
        <v>7</v>
      </c>
      <c r="I1021" s="124" t="s">
        <v>7</v>
      </c>
    </row>
    <row r="1022" spans="1:9" x14ac:dyDescent="0.3">
      <c r="A1022" s="133">
        <v>1021</v>
      </c>
      <c r="B1022" s="135" t="s">
        <v>44</v>
      </c>
      <c r="C1022" s="134">
        <v>45867</v>
      </c>
      <c r="D1022" s="134" t="s">
        <v>251</v>
      </c>
      <c r="E1022" s="136">
        <v>250000</v>
      </c>
      <c r="F1022" s="136"/>
      <c r="G1022" s="137">
        <v>126611.68</v>
      </c>
      <c r="H1022" s="139" t="s">
        <v>26</v>
      </c>
      <c r="I1022" s="138" t="s">
        <v>26</v>
      </c>
    </row>
    <row r="1023" spans="1:9" x14ac:dyDescent="0.3">
      <c r="A1023" s="133">
        <v>1022</v>
      </c>
      <c r="B1023" s="135" t="s">
        <v>44</v>
      </c>
      <c r="C1023" s="134">
        <v>45867</v>
      </c>
      <c r="D1023" s="134" t="s">
        <v>247</v>
      </c>
      <c r="E1023" s="136">
        <v>110000</v>
      </c>
      <c r="F1023" s="136"/>
      <c r="G1023" s="137">
        <v>16611.68</v>
      </c>
      <c r="H1023" s="139" t="s">
        <v>26</v>
      </c>
      <c r="I1023" s="138" t="s">
        <v>26</v>
      </c>
    </row>
    <row r="1024" spans="1:9" x14ac:dyDescent="0.3">
      <c r="A1024" s="18">
        <v>1023</v>
      </c>
      <c r="B1024" s="5" t="s">
        <v>39</v>
      </c>
      <c r="C1024" s="6">
        <v>45867</v>
      </c>
      <c r="D1024" s="6" t="s">
        <v>258</v>
      </c>
      <c r="E1024" s="8">
        <v>5.9</v>
      </c>
      <c r="F1024" s="9"/>
      <c r="G1024" s="7">
        <v>16605.78</v>
      </c>
      <c r="H1024" s="2" t="s">
        <v>24</v>
      </c>
      <c r="I1024" s="1" t="s">
        <v>24</v>
      </c>
    </row>
    <row r="1025" spans="1:9" x14ac:dyDescent="0.3">
      <c r="A1025" s="18">
        <v>1024</v>
      </c>
      <c r="B1025" s="5" t="s">
        <v>39</v>
      </c>
      <c r="C1025" s="6">
        <v>45867</v>
      </c>
      <c r="D1025" s="6" t="s">
        <v>258</v>
      </c>
      <c r="E1025" s="8">
        <v>17.7</v>
      </c>
      <c r="F1025" s="9"/>
      <c r="G1025" s="7">
        <v>16588.080000000002</v>
      </c>
      <c r="H1025" s="2" t="s">
        <v>24</v>
      </c>
      <c r="I1025" s="1" t="s">
        <v>24</v>
      </c>
    </row>
    <row r="1026" spans="1:9" x14ac:dyDescent="0.3">
      <c r="A1026" s="18">
        <v>1025</v>
      </c>
      <c r="B1026" s="5" t="s">
        <v>39</v>
      </c>
      <c r="C1026" s="6">
        <v>45867</v>
      </c>
      <c r="D1026" s="6" t="s">
        <v>258</v>
      </c>
      <c r="E1026" s="8">
        <v>17.7</v>
      </c>
      <c r="F1026" s="9"/>
      <c r="G1026" s="7">
        <v>16570.38</v>
      </c>
      <c r="H1026" s="2" t="s">
        <v>24</v>
      </c>
      <c r="I1026" s="1" t="s">
        <v>24</v>
      </c>
    </row>
    <row r="1027" spans="1:9" x14ac:dyDescent="0.3">
      <c r="A1027" s="18">
        <v>1026</v>
      </c>
      <c r="B1027" s="5" t="s">
        <v>39</v>
      </c>
      <c r="C1027" s="6">
        <v>45867</v>
      </c>
      <c r="D1027" s="6" t="s">
        <v>258</v>
      </c>
      <c r="E1027" s="8">
        <v>5.9</v>
      </c>
      <c r="F1027" s="9"/>
      <c r="G1027" s="7">
        <v>16564.48</v>
      </c>
      <c r="H1027" s="2" t="s">
        <v>24</v>
      </c>
      <c r="I1027" s="1" t="s">
        <v>24</v>
      </c>
    </row>
    <row r="1028" spans="1:9" x14ac:dyDescent="0.3">
      <c r="A1028" s="18">
        <v>1027</v>
      </c>
      <c r="B1028" s="5" t="s">
        <v>39</v>
      </c>
      <c r="C1028" s="6">
        <v>45867</v>
      </c>
      <c r="D1028" s="6" t="s">
        <v>258</v>
      </c>
      <c r="E1028" s="8">
        <v>17.7</v>
      </c>
      <c r="F1028" s="9"/>
      <c r="G1028" s="7">
        <v>16546.78</v>
      </c>
      <c r="H1028" s="2" t="s">
        <v>24</v>
      </c>
      <c r="I1028" s="1" t="s">
        <v>24</v>
      </c>
    </row>
    <row r="1029" spans="1:9" x14ac:dyDescent="0.3">
      <c r="A1029" s="18">
        <v>1028</v>
      </c>
      <c r="B1029" s="5" t="s">
        <v>39</v>
      </c>
      <c r="C1029" s="6">
        <v>45867</v>
      </c>
      <c r="D1029" s="6" t="s">
        <v>258</v>
      </c>
      <c r="E1029" s="8">
        <v>5.9</v>
      </c>
      <c r="F1029" s="9"/>
      <c r="G1029" s="7">
        <v>16540.88</v>
      </c>
      <c r="H1029" s="2" t="s">
        <v>24</v>
      </c>
      <c r="I1029" s="1" t="s">
        <v>24</v>
      </c>
    </row>
    <row r="1030" spans="1:9" x14ac:dyDescent="0.3">
      <c r="A1030" s="18">
        <v>1029</v>
      </c>
      <c r="B1030" s="5" t="s">
        <v>39</v>
      </c>
      <c r="C1030" s="6">
        <v>45867</v>
      </c>
      <c r="D1030" s="6" t="s">
        <v>258</v>
      </c>
      <c r="E1030" s="8">
        <v>5.9</v>
      </c>
      <c r="F1030" s="9"/>
      <c r="G1030" s="7">
        <v>16534.98</v>
      </c>
      <c r="H1030" s="2" t="s">
        <v>24</v>
      </c>
      <c r="I1030" s="1" t="s">
        <v>24</v>
      </c>
    </row>
    <row r="1031" spans="1:9" x14ac:dyDescent="0.3">
      <c r="A1031" s="18">
        <v>1030</v>
      </c>
      <c r="B1031" s="5" t="s">
        <v>39</v>
      </c>
      <c r="C1031" s="6">
        <v>45867</v>
      </c>
      <c r="D1031" s="6" t="s">
        <v>258</v>
      </c>
      <c r="E1031" s="8">
        <v>5.9</v>
      </c>
      <c r="F1031" s="9"/>
      <c r="G1031" s="7">
        <v>16529.080000000002</v>
      </c>
      <c r="H1031" s="2" t="s">
        <v>24</v>
      </c>
      <c r="I1031" s="1" t="s">
        <v>24</v>
      </c>
    </row>
    <row r="1032" spans="1:9" x14ac:dyDescent="0.3">
      <c r="A1032" s="18">
        <v>1031</v>
      </c>
      <c r="B1032" s="120" t="s">
        <v>41</v>
      </c>
      <c r="C1032" s="121">
        <v>45867</v>
      </c>
      <c r="D1032" s="20" t="s">
        <v>230</v>
      </c>
      <c r="E1032" s="122"/>
      <c r="F1032" s="122">
        <v>143768</v>
      </c>
      <c r="G1032" s="123">
        <v>160297.07999999999</v>
      </c>
      <c r="H1032" s="125" t="s">
        <v>5</v>
      </c>
      <c r="I1032" s="124" t="s">
        <v>5</v>
      </c>
    </row>
    <row r="1033" spans="1:9" x14ac:dyDescent="0.3">
      <c r="A1033" s="160">
        <v>1032</v>
      </c>
      <c r="B1033" s="161" t="s">
        <v>42</v>
      </c>
      <c r="C1033" s="162">
        <v>45868</v>
      </c>
      <c r="D1033" s="168" t="s">
        <v>266</v>
      </c>
      <c r="E1033" s="163">
        <v>223565</v>
      </c>
      <c r="F1033" s="163"/>
      <c r="G1033" s="164">
        <v>-63267.92</v>
      </c>
      <c r="H1033" s="166" t="s">
        <v>26</v>
      </c>
      <c r="I1033" s="165" t="s">
        <v>26</v>
      </c>
    </row>
    <row r="1034" spans="1:9" x14ac:dyDescent="0.3">
      <c r="A1034" s="160">
        <v>1033</v>
      </c>
      <c r="B1034" s="161" t="s">
        <v>42</v>
      </c>
      <c r="C1034" s="162">
        <v>45868</v>
      </c>
      <c r="D1034" s="168" t="s">
        <v>266</v>
      </c>
      <c r="E1034" s="163"/>
      <c r="F1034" s="163">
        <v>223565</v>
      </c>
      <c r="G1034" s="164">
        <v>160297.07999999999</v>
      </c>
      <c r="H1034" s="166" t="s">
        <v>31</v>
      </c>
      <c r="I1034" s="165" t="s">
        <v>31</v>
      </c>
    </row>
    <row r="1035" spans="1:9" x14ac:dyDescent="0.3">
      <c r="A1035" s="18">
        <v>1034</v>
      </c>
      <c r="B1035" s="120" t="s">
        <v>41</v>
      </c>
      <c r="C1035" s="121">
        <v>45868</v>
      </c>
      <c r="D1035" s="121" t="s">
        <v>202</v>
      </c>
      <c r="E1035" s="122">
        <v>55000</v>
      </c>
      <c r="F1035" s="122"/>
      <c r="G1035" s="123">
        <v>105297.08</v>
      </c>
      <c r="H1035" s="125" t="s">
        <v>26</v>
      </c>
      <c r="I1035" s="124" t="s">
        <v>26</v>
      </c>
    </row>
    <row r="1036" spans="1:9" x14ac:dyDescent="0.3">
      <c r="A1036" s="18">
        <v>1035</v>
      </c>
      <c r="B1036" s="120" t="s">
        <v>41</v>
      </c>
      <c r="C1036" s="121">
        <v>45868</v>
      </c>
      <c r="D1036" s="20" t="s">
        <v>193</v>
      </c>
      <c r="E1036" s="122"/>
      <c r="F1036" s="122">
        <v>300000</v>
      </c>
      <c r="G1036" s="123">
        <v>405297.08</v>
      </c>
      <c r="H1036" s="125" t="s">
        <v>7</v>
      </c>
      <c r="I1036" s="124" t="s">
        <v>7</v>
      </c>
    </row>
    <row r="1037" spans="1:9" x14ac:dyDescent="0.3">
      <c r="A1037" s="18">
        <v>1036</v>
      </c>
      <c r="B1037" s="120" t="s">
        <v>41</v>
      </c>
      <c r="C1037" s="121">
        <v>45868</v>
      </c>
      <c r="D1037" s="20" t="s">
        <v>226</v>
      </c>
      <c r="E1037" s="122">
        <v>223565</v>
      </c>
      <c r="F1037" s="122"/>
      <c r="G1037" s="123">
        <v>181732.08</v>
      </c>
      <c r="H1037" s="125" t="s">
        <v>26</v>
      </c>
      <c r="I1037" s="124" t="s">
        <v>26</v>
      </c>
    </row>
    <row r="1038" spans="1:9" x14ac:dyDescent="0.3">
      <c r="A1038" s="153">
        <v>1037</v>
      </c>
      <c r="B1038" s="35" t="s">
        <v>48</v>
      </c>
      <c r="C1038" s="155">
        <v>45868</v>
      </c>
      <c r="D1038" s="36" t="s">
        <v>270</v>
      </c>
      <c r="E1038" s="156"/>
      <c r="F1038" s="156">
        <v>100000</v>
      </c>
      <c r="G1038" s="157">
        <v>281732.08</v>
      </c>
      <c r="H1038" s="159" t="s">
        <v>10</v>
      </c>
      <c r="I1038" s="158" t="s">
        <v>10</v>
      </c>
    </row>
    <row r="1039" spans="1:9" x14ac:dyDescent="0.3">
      <c r="A1039" s="18">
        <v>1038</v>
      </c>
      <c r="B1039" s="120" t="s">
        <v>41</v>
      </c>
      <c r="C1039" s="121">
        <v>45868</v>
      </c>
      <c r="D1039" s="121" t="s">
        <v>218</v>
      </c>
      <c r="E1039" s="122">
        <v>235887</v>
      </c>
      <c r="F1039" s="122"/>
      <c r="G1039" s="123">
        <v>45845.08</v>
      </c>
      <c r="H1039" s="125" t="s">
        <v>25</v>
      </c>
      <c r="I1039" s="124" t="s">
        <v>25</v>
      </c>
    </row>
    <row r="1040" spans="1:9" x14ac:dyDescent="0.3">
      <c r="A1040" s="18">
        <v>1039</v>
      </c>
      <c r="B1040" s="120" t="s">
        <v>41</v>
      </c>
      <c r="C1040" s="121">
        <v>45868</v>
      </c>
      <c r="D1040" s="121" t="s">
        <v>40</v>
      </c>
      <c r="E1040" s="122"/>
      <c r="F1040" s="122">
        <v>600000</v>
      </c>
      <c r="G1040" s="123">
        <v>645845.07999999996</v>
      </c>
      <c r="H1040" s="125" t="s">
        <v>30</v>
      </c>
      <c r="I1040" s="124" t="s">
        <v>30</v>
      </c>
    </row>
    <row r="1041" spans="1:9" x14ac:dyDescent="0.3">
      <c r="A1041" s="18">
        <v>1040</v>
      </c>
      <c r="B1041" s="120" t="s">
        <v>41</v>
      </c>
      <c r="C1041" s="121">
        <v>45868</v>
      </c>
      <c r="D1041" s="20" t="s">
        <v>216</v>
      </c>
      <c r="E1041" s="122">
        <v>110844</v>
      </c>
      <c r="F1041" s="122"/>
      <c r="G1041" s="123">
        <v>535001.07999999996</v>
      </c>
      <c r="H1041" s="125" t="s">
        <v>13</v>
      </c>
      <c r="I1041" s="124" t="s">
        <v>13</v>
      </c>
    </row>
    <row r="1042" spans="1:9" x14ac:dyDescent="0.3">
      <c r="A1042" s="18">
        <v>1041</v>
      </c>
      <c r="B1042" s="5" t="s">
        <v>39</v>
      </c>
      <c r="C1042" s="6">
        <v>45868</v>
      </c>
      <c r="D1042" s="25" t="s">
        <v>265</v>
      </c>
      <c r="E1042" s="8">
        <v>7684</v>
      </c>
      <c r="F1042" s="9"/>
      <c r="G1042" s="7">
        <v>527317.07999999996</v>
      </c>
      <c r="H1042" s="2" t="s">
        <v>6</v>
      </c>
      <c r="I1042" s="1" t="s">
        <v>6</v>
      </c>
    </row>
    <row r="1043" spans="1:9" x14ac:dyDescent="0.3">
      <c r="A1043" s="18">
        <v>1042</v>
      </c>
      <c r="B1043" s="5" t="s">
        <v>39</v>
      </c>
      <c r="C1043" s="6">
        <v>45868</v>
      </c>
      <c r="D1043" s="25" t="s">
        <v>265</v>
      </c>
      <c r="E1043" s="8">
        <v>1310.4000000000001</v>
      </c>
      <c r="F1043" s="9"/>
      <c r="G1043" s="7">
        <v>526006.68000000005</v>
      </c>
      <c r="H1043" s="2" t="s">
        <v>6</v>
      </c>
      <c r="I1043" s="1" t="s">
        <v>6</v>
      </c>
    </row>
    <row r="1044" spans="1:9" x14ac:dyDescent="0.3">
      <c r="A1044" s="18">
        <v>1043</v>
      </c>
      <c r="B1044" s="5" t="s">
        <v>39</v>
      </c>
      <c r="C1044" s="6">
        <v>45868</v>
      </c>
      <c r="D1044" s="6" t="s">
        <v>258</v>
      </c>
      <c r="E1044" s="8">
        <v>5.9</v>
      </c>
      <c r="F1044" s="9"/>
      <c r="G1044" s="7">
        <v>526000.78</v>
      </c>
      <c r="H1044" s="2" t="s">
        <v>24</v>
      </c>
      <c r="I1044" s="1" t="s">
        <v>24</v>
      </c>
    </row>
    <row r="1045" spans="1:9" x14ac:dyDescent="0.3">
      <c r="A1045" s="18">
        <v>1044</v>
      </c>
      <c r="B1045" s="5" t="s">
        <v>39</v>
      </c>
      <c r="C1045" s="6">
        <v>45868</v>
      </c>
      <c r="D1045" s="6" t="s">
        <v>258</v>
      </c>
      <c r="E1045" s="8">
        <v>17.7</v>
      </c>
      <c r="F1045" s="9"/>
      <c r="G1045" s="7">
        <v>525983.07999999996</v>
      </c>
      <c r="H1045" s="2" t="s">
        <v>24</v>
      </c>
      <c r="I1045" s="1" t="s">
        <v>24</v>
      </c>
    </row>
    <row r="1046" spans="1:9" x14ac:dyDescent="0.3">
      <c r="A1046" s="18">
        <v>1045</v>
      </c>
      <c r="B1046" s="120" t="s">
        <v>41</v>
      </c>
      <c r="C1046" s="121">
        <v>45868</v>
      </c>
      <c r="D1046" s="121" t="s">
        <v>209</v>
      </c>
      <c r="E1046" s="122"/>
      <c r="F1046" s="122">
        <v>200000</v>
      </c>
      <c r="G1046" s="123">
        <v>725983.08</v>
      </c>
      <c r="H1046" s="125" t="s">
        <v>7</v>
      </c>
      <c r="I1046" s="124" t="s">
        <v>7</v>
      </c>
    </row>
    <row r="1047" spans="1:9" x14ac:dyDescent="0.3">
      <c r="A1047" s="133">
        <v>1046</v>
      </c>
      <c r="B1047" s="135" t="s">
        <v>44</v>
      </c>
      <c r="C1047" s="134">
        <v>45869</v>
      </c>
      <c r="D1047" s="134" t="s">
        <v>255</v>
      </c>
      <c r="E1047" s="136">
        <v>312500</v>
      </c>
      <c r="F1047" s="136"/>
      <c r="G1047" s="137">
        <v>413483.08</v>
      </c>
      <c r="H1047" s="139" t="s">
        <v>26</v>
      </c>
      <c r="I1047" s="138" t="s">
        <v>26</v>
      </c>
    </row>
    <row r="1048" spans="1:9" x14ac:dyDescent="0.3">
      <c r="A1048" s="153">
        <v>1047</v>
      </c>
      <c r="B1048" s="35" t="s">
        <v>48</v>
      </c>
      <c r="C1048" s="155">
        <v>45869</v>
      </c>
      <c r="D1048" s="36" t="s">
        <v>270</v>
      </c>
      <c r="E1048" s="156">
        <v>339839</v>
      </c>
      <c r="F1048" s="156"/>
      <c r="G1048" s="157">
        <v>73644.08</v>
      </c>
      <c r="H1048" s="159" t="s">
        <v>26</v>
      </c>
      <c r="I1048" s="158" t="s">
        <v>26</v>
      </c>
    </row>
    <row r="1049" spans="1:9" x14ac:dyDescent="0.3">
      <c r="A1049" s="153">
        <v>1048</v>
      </c>
      <c r="B1049" s="154" t="s">
        <v>48</v>
      </c>
      <c r="C1049" s="155">
        <v>45869</v>
      </c>
      <c r="D1049" s="36" t="s">
        <v>271</v>
      </c>
      <c r="E1049" s="156">
        <v>10000</v>
      </c>
      <c r="F1049" s="156"/>
      <c r="G1049" s="157">
        <v>63644.08</v>
      </c>
      <c r="H1049" s="159" t="s">
        <v>25</v>
      </c>
      <c r="I1049" s="158" t="s">
        <v>25</v>
      </c>
    </row>
    <row r="1050" spans="1:9" x14ac:dyDescent="0.3">
      <c r="A1050" s="18">
        <v>1049</v>
      </c>
      <c r="B1050" s="5" t="s">
        <v>39</v>
      </c>
      <c r="C1050" s="6">
        <v>45869</v>
      </c>
      <c r="D1050" s="6" t="s">
        <v>258</v>
      </c>
      <c r="E1050" s="8">
        <v>354</v>
      </c>
      <c r="F1050" s="9"/>
      <c r="G1050" s="7">
        <v>63290.080000000002</v>
      </c>
      <c r="H1050" s="2" t="s">
        <v>24</v>
      </c>
      <c r="I1050" s="1" t="s">
        <v>24</v>
      </c>
    </row>
    <row r="1051" spans="1:9" x14ac:dyDescent="0.3">
      <c r="A1051" s="153">
        <v>1050</v>
      </c>
      <c r="B1051" s="154" t="s">
        <v>48</v>
      </c>
      <c r="C1051" s="155">
        <v>45869</v>
      </c>
      <c r="D1051" s="36" t="s">
        <v>276</v>
      </c>
      <c r="E1051" s="156">
        <v>13000</v>
      </c>
      <c r="F1051" s="156"/>
      <c r="G1051" s="157">
        <v>50290.080000000002</v>
      </c>
      <c r="H1051" s="159" t="s">
        <v>6</v>
      </c>
      <c r="I1051" s="158" t="s">
        <v>6</v>
      </c>
    </row>
    <row r="1052" spans="1:9" x14ac:dyDescent="0.3">
      <c r="A1052" s="153">
        <v>1051</v>
      </c>
      <c r="B1052" s="154" t="s">
        <v>48</v>
      </c>
      <c r="C1052" s="155">
        <v>45869</v>
      </c>
      <c r="D1052" s="36" t="s">
        <v>276</v>
      </c>
      <c r="E1052" s="156">
        <v>5000</v>
      </c>
      <c r="F1052" s="156"/>
      <c r="G1052" s="157">
        <v>45290.080000000002</v>
      </c>
      <c r="H1052" s="159" t="s">
        <v>6</v>
      </c>
      <c r="I1052" s="158" t="s">
        <v>6</v>
      </c>
    </row>
    <row r="1053" spans="1:9" x14ac:dyDescent="0.3">
      <c r="A1053" s="18">
        <v>1052</v>
      </c>
      <c r="B1053" s="120" t="s">
        <v>41</v>
      </c>
      <c r="C1053" s="121">
        <v>45869</v>
      </c>
      <c r="D1053" s="121" t="s">
        <v>214</v>
      </c>
      <c r="E1053" s="122"/>
      <c r="F1053" s="122">
        <v>52817</v>
      </c>
      <c r="G1053" s="123">
        <v>98107.08</v>
      </c>
      <c r="H1053" s="125" t="s">
        <v>28</v>
      </c>
      <c r="I1053" s="124" t="s">
        <v>28</v>
      </c>
    </row>
    <row r="1054" spans="1:9" x14ac:dyDescent="0.3">
      <c r="A1054" s="18">
        <v>1053</v>
      </c>
      <c r="B1054" s="120" t="s">
        <v>41</v>
      </c>
      <c r="C1054" s="121">
        <v>45869</v>
      </c>
      <c r="D1054" s="20" t="s">
        <v>230</v>
      </c>
      <c r="E1054" s="122"/>
      <c r="F1054" s="122">
        <v>93450</v>
      </c>
      <c r="G1054" s="123">
        <v>191557.08</v>
      </c>
      <c r="H1054" s="125" t="s">
        <v>5</v>
      </c>
      <c r="I1054" s="124" t="s">
        <v>5</v>
      </c>
    </row>
    <row r="1055" spans="1:9" x14ac:dyDescent="0.3">
      <c r="A1055" s="18">
        <v>1054</v>
      </c>
      <c r="B1055" s="120" t="s">
        <v>41</v>
      </c>
      <c r="C1055" s="121">
        <v>45869</v>
      </c>
      <c r="D1055" s="20" t="s">
        <v>230</v>
      </c>
      <c r="E1055" s="122"/>
      <c r="F1055" s="122">
        <v>82240</v>
      </c>
      <c r="G1055" s="123">
        <v>273797.08</v>
      </c>
      <c r="H1055" s="125" t="s">
        <v>5</v>
      </c>
      <c r="I1055" s="124" t="s">
        <v>5</v>
      </c>
    </row>
    <row r="1056" spans="1:9" x14ac:dyDescent="0.3">
      <c r="A1056" s="153">
        <v>1055</v>
      </c>
      <c r="B1056" s="35" t="s">
        <v>48</v>
      </c>
      <c r="C1056" s="155">
        <v>45870</v>
      </c>
      <c r="D1056" s="36" t="s">
        <v>270</v>
      </c>
      <c r="E1056" s="156">
        <v>83250</v>
      </c>
      <c r="F1056" s="156"/>
      <c r="G1056" s="157">
        <v>190547.08</v>
      </c>
      <c r="H1056" s="159" t="s">
        <v>26</v>
      </c>
      <c r="I1056" s="158" t="s">
        <v>26</v>
      </c>
    </row>
    <row r="1057" spans="1:9" x14ac:dyDescent="0.3">
      <c r="A1057" s="160">
        <v>1056</v>
      </c>
      <c r="B1057" s="161" t="s">
        <v>42</v>
      </c>
      <c r="C1057" s="162">
        <v>45870</v>
      </c>
      <c r="D1057" s="168" t="s">
        <v>266</v>
      </c>
      <c r="E1057" s="163">
        <v>225393</v>
      </c>
      <c r="F1057" s="163"/>
      <c r="G1057" s="164">
        <v>-34845.919999999998</v>
      </c>
      <c r="H1057" s="166" t="s">
        <v>26</v>
      </c>
      <c r="I1057" s="165" t="s">
        <v>26</v>
      </c>
    </row>
    <row r="1058" spans="1:9" x14ac:dyDescent="0.3">
      <c r="A1058" s="160">
        <v>1057</v>
      </c>
      <c r="B1058" s="161" t="s">
        <v>42</v>
      </c>
      <c r="C1058" s="162">
        <v>45870</v>
      </c>
      <c r="D1058" s="168" t="s">
        <v>266</v>
      </c>
      <c r="E1058" s="163"/>
      <c r="F1058" s="163">
        <v>225393</v>
      </c>
      <c r="G1058" s="164">
        <v>190547.08</v>
      </c>
      <c r="H1058" s="166" t="s">
        <v>31</v>
      </c>
      <c r="I1058" s="165" t="s">
        <v>31</v>
      </c>
    </row>
    <row r="1059" spans="1:9" x14ac:dyDescent="0.3">
      <c r="A1059" s="18">
        <v>1058</v>
      </c>
      <c r="B1059" s="120" t="s">
        <v>41</v>
      </c>
      <c r="C1059" s="121">
        <v>45870</v>
      </c>
      <c r="D1059" s="121" t="s">
        <v>210</v>
      </c>
      <c r="E1059" s="122"/>
      <c r="F1059" s="122">
        <v>200000</v>
      </c>
      <c r="G1059" s="123">
        <v>390547.08</v>
      </c>
      <c r="H1059" s="125" t="s">
        <v>7</v>
      </c>
      <c r="I1059" s="124" t="s">
        <v>7</v>
      </c>
    </row>
    <row r="1060" spans="1:9" x14ac:dyDescent="0.3">
      <c r="A1060" s="18">
        <v>1059</v>
      </c>
      <c r="B1060" s="120" t="s">
        <v>41</v>
      </c>
      <c r="C1060" s="121">
        <v>45870</v>
      </c>
      <c r="D1060" s="20" t="s">
        <v>226</v>
      </c>
      <c r="E1060" s="122">
        <v>225393</v>
      </c>
      <c r="F1060" s="122"/>
      <c r="G1060" s="123">
        <v>165154.07999999999</v>
      </c>
      <c r="H1060" s="125" t="s">
        <v>26</v>
      </c>
      <c r="I1060" s="124" t="s">
        <v>26</v>
      </c>
    </row>
    <row r="1061" spans="1:9" x14ac:dyDescent="0.3">
      <c r="A1061" s="18">
        <v>1060</v>
      </c>
      <c r="B1061" s="5" t="s">
        <v>39</v>
      </c>
      <c r="C1061" s="6">
        <v>45870</v>
      </c>
      <c r="D1061" s="25" t="s">
        <v>260</v>
      </c>
      <c r="E1061" s="8">
        <v>100000</v>
      </c>
      <c r="F1061" s="9"/>
      <c r="G1061" s="7">
        <v>65154.080000000002</v>
      </c>
      <c r="H1061" s="2" t="s">
        <v>12</v>
      </c>
      <c r="I1061" s="1" t="s">
        <v>12</v>
      </c>
    </row>
    <row r="1062" spans="1:9" x14ac:dyDescent="0.3">
      <c r="A1062" s="153">
        <v>1061</v>
      </c>
      <c r="B1062" s="154" t="s">
        <v>48</v>
      </c>
      <c r="C1062" s="155">
        <v>45870</v>
      </c>
      <c r="D1062" s="36" t="s">
        <v>271</v>
      </c>
      <c r="E1062" s="156">
        <v>5000</v>
      </c>
      <c r="F1062" s="156"/>
      <c r="G1062" s="157">
        <v>60154.080000000002</v>
      </c>
      <c r="H1062" s="159" t="s">
        <v>25</v>
      </c>
      <c r="I1062" s="158" t="s">
        <v>25</v>
      </c>
    </row>
    <row r="1063" spans="1:9" x14ac:dyDescent="0.3">
      <c r="A1063" s="167">
        <v>1062</v>
      </c>
      <c r="B1063" s="140" t="s">
        <v>44</v>
      </c>
      <c r="C1063" s="141">
        <v>45871</v>
      </c>
      <c r="D1063" s="141" t="s">
        <v>43</v>
      </c>
      <c r="E1063" s="142">
        <v>100000</v>
      </c>
      <c r="F1063" s="142"/>
      <c r="G1063" s="143">
        <v>-39845.919999999998</v>
      </c>
      <c r="H1063" s="145" t="s">
        <v>26</v>
      </c>
      <c r="I1063" s="144" t="s">
        <v>26</v>
      </c>
    </row>
    <row r="1064" spans="1:9" x14ac:dyDescent="0.3">
      <c r="A1064" s="167">
        <v>1063</v>
      </c>
      <c r="B1064" s="140" t="s">
        <v>44</v>
      </c>
      <c r="C1064" s="141">
        <v>45871</v>
      </c>
      <c r="D1064" s="141" t="s">
        <v>43</v>
      </c>
      <c r="E1064" s="142"/>
      <c r="F1064" s="142">
        <v>100000</v>
      </c>
      <c r="G1064" s="143">
        <v>60154.080000000002</v>
      </c>
      <c r="H1064" s="145" t="s">
        <v>31</v>
      </c>
      <c r="I1064" s="144" t="s">
        <v>31</v>
      </c>
    </row>
    <row r="1065" spans="1:9" x14ac:dyDescent="0.3">
      <c r="A1065" s="167">
        <v>1064</v>
      </c>
      <c r="B1065" s="140" t="s">
        <v>44</v>
      </c>
      <c r="C1065" s="141">
        <v>45871</v>
      </c>
      <c r="D1065" s="141" t="s">
        <v>43</v>
      </c>
      <c r="E1065" s="142">
        <v>150000</v>
      </c>
      <c r="F1065" s="142"/>
      <c r="G1065" s="143">
        <v>-89845.92</v>
      </c>
      <c r="H1065" s="145" t="s">
        <v>26</v>
      </c>
      <c r="I1065" s="144" t="s">
        <v>26</v>
      </c>
    </row>
    <row r="1066" spans="1:9" x14ac:dyDescent="0.3">
      <c r="A1066" s="167">
        <v>1065</v>
      </c>
      <c r="B1066" s="140" t="s">
        <v>44</v>
      </c>
      <c r="C1066" s="141">
        <v>45871</v>
      </c>
      <c r="D1066" s="141" t="s">
        <v>43</v>
      </c>
      <c r="E1066" s="142"/>
      <c r="F1066" s="142">
        <v>150000</v>
      </c>
      <c r="G1066" s="143">
        <v>60154.080000000002</v>
      </c>
      <c r="H1066" s="145" t="s">
        <v>31</v>
      </c>
      <c r="I1066" s="144" t="s">
        <v>31</v>
      </c>
    </row>
    <row r="1067" spans="1:9" x14ac:dyDescent="0.3">
      <c r="A1067" s="160">
        <v>1066</v>
      </c>
      <c r="B1067" s="161" t="s">
        <v>42</v>
      </c>
      <c r="C1067" s="162">
        <v>45871</v>
      </c>
      <c r="D1067" s="162" t="s">
        <v>267</v>
      </c>
      <c r="E1067" s="163">
        <v>390194</v>
      </c>
      <c r="F1067" s="163"/>
      <c r="G1067" s="164">
        <v>-330039.92</v>
      </c>
      <c r="H1067" s="166" t="s">
        <v>26</v>
      </c>
      <c r="I1067" s="165" t="s">
        <v>26</v>
      </c>
    </row>
    <row r="1068" spans="1:9" x14ac:dyDescent="0.3">
      <c r="A1068" s="160">
        <v>1067</v>
      </c>
      <c r="B1068" s="161" t="s">
        <v>42</v>
      </c>
      <c r="C1068" s="162">
        <v>45871</v>
      </c>
      <c r="D1068" s="162" t="s">
        <v>267</v>
      </c>
      <c r="E1068" s="163"/>
      <c r="F1068" s="163">
        <v>390194</v>
      </c>
      <c r="G1068" s="164">
        <v>60154.080000000002</v>
      </c>
      <c r="H1068" s="166" t="s">
        <v>31</v>
      </c>
      <c r="I1068" s="165" t="s">
        <v>31</v>
      </c>
    </row>
    <row r="1069" spans="1:9" x14ac:dyDescent="0.3">
      <c r="A1069" s="18">
        <v>1068</v>
      </c>
      <c r="B1069" s="120" t="s">
        <v>41</v>
      </c>
      <c r="C1069" s="121">
        <v>45871</v>
      </c>
      <c r="D1069" s="20" t="s">
        <v>193</v>
      </c>
      <c r="E1069" s="122"/>
      <c r="F1069" s="122">
        <v>300000</v>
      </c>
      <c r="G1069" s="123">
        <v>360154.08</v>
      </c>
      <c r="H1069" s="125" t="s">
        <v>7</v>
      </c>
      <c r="I1069" s="124" t="s">
        <v>7</v>
      </c>
    </row>
    <row r="1070" spans="1:9" x14ac:dyDescent="0.3">
      <c r="A1070" s="153">
        <v>1069</v>
      </c>
      <c r="B1070" s="154" t="s">
        <v>48</v>
      </c>
      <c r="C1070" s="155">
        <v>45871</v>
      </c>
      <c r="D1070" s="36" t="s">
        <v>276</v>
      </c>
      <c r="E1070" s="156">
        <v>10000</v>
      </c>
      <c r="F1070" s="156"/>
      <c r="G1070" s="157">
        <v>350154.08</v>
      </c>
      <c r="H1070" s="159" t="s">
        <v>6</v>
      </c>
      <c r="I1070" s="158" t="s">
        <v>6</v>
      </c>
    </row>
    <row r="1071" spans="1:9" x14ac:dyDescent="0.3">
      <c r="A1071" s="18">
        <v>1070</v>
      </c>
      <c r="B1071" s="120" t="s">
        <v>41</v>
      </c>
      <c r="C1071" s="121">
        <v>45871</v>
      </c>
      <c r="D1071" s="20" t="s">
        <v>194</v>
      </c>
      <c r="E1071" s="122"/>
      <c r="F1071" s="122">
        <v>29400</v>
      </c>
      <c r="G1071" s="123">
        <v>379554.08</v>
      </c>
      <c r="H1071" s="125" t="s">
        <v>28</v>
      </c>
      <c r="I1071" s="124" t="s">
        <v>28</v>
      </c>
    </row>
    <row r="1072" spans="1:9" x14ac:dyDescent="0.3">
      <c r="A1072" s="18">
        <v>1071</v>
      </c>
      <c r="B1072" s="120" t="s">
        <v>41</v>
      </c>
      <c r="C1072" s="121">
        <v>45871</v>
      </c>
      <c r="D1072" s="20" t="s">
        <v>224</v>
      </c>
      <c r="E1072" s="122">
        <v>50000</v>
      </c>
      <c r="F1072" s="122"/>
      <c r="G1072" s="123">
        <v>329554.08</v>
      </c>
      <c r="H1072" s="125" t="s">
        <v>25</v>
      </c>
      <c r="I1072" s="124" t="s">
        <v>25</v>
      </c>
    </row>
    <row r="1073" spans="1:10" x14ac:dyDescent="0.3">
      <c r="A1073" s="153">
        <v>1072</v>
      </c>
      <c r="B1073" s="154" t="s">
        <v>48</v>
      </c>
      <c r="C1073" s="155">
        <v>45872</v>
      </c>
      <c r="D1073" s="155" t="s">
        <v>274</v>
      </c>
      <c r="E1073" s="156">
        <v>22000</v>
      </c>
      <c r="F1073" s="156"/>
      <c r="G1073" s="157">
        <v>307554.08</v>
      </c>
      <c r="H1073" s="159" t="s">
        <v>25</v>
      </c>
      <c r="I1073" s="158" t="s">
        <v>25</v>
      </c>
    </row>
    <row r="1074" spans="1:10" x14ac:dyDescent="0.3">
      <c r="A1074" s="18">
        <v>1073</v>
      </c>
      <c r="B1074" s="120" t="s">
        <v>41</v>
      </c>
      <c r="C1074" s="121">
        <v>45872</v>
      </c>
      <c r="D1074" s="20" t="s">
        <v>193</v>
      </c>
      <c r="E1074" s="122"/>
      <c r="F1074" s="122">
        <v>500000</v>
      </c>
      <c r="G1074" s="123">
        <v>807554.08</v>
      </c>
      <c r="H1074" s="125" t="s">
        <v>7</v>
      </c>
      <c r="I1074" s="124" t="s">
        <v>7</v>
      </c>
    </row>
    <row r="1075" spans="1:10" x14ac:dyDescent="0.3">
      <c r="A1075" s="18">
        <v>1074</v>
      </c>
      <c r="B1075" s="120" t="s">
        <v>41</v>
      </c>
      <c r="C1075" s="121">
        <v>45872</v>
      </c>
      <c r="D1075" s="121" t="s">
        <v>220</v>
      </c>
      <c r="E1075" s="122">
        <v>390194</v>
      </c>
      <c r="F1075" s="122"/>
      <c r="G1075" s="123">
        <v>417360.08</v>
      </c>
      <c r="H1075" s="125" t="s">
        <v>25</v>
      </c>
      <c r="I1075" s="124" t="s">
        <v>25</v>
      </c>
    </row>
    <row r="1076" spans="1:10" x14ac:dyDescent="0.3">
      <c r="A1076" s="146">
        <v>1075</v>
      </c>
      <c r="B1076" s="147" t="s">
        <v>42</v>
      </c>
      <c r="C1076" s="148">
        <v>45872</v>
      </c>
      <c r="D1076" s="30" t="s">
        <v>54</v>
      </c>
      <c r="E1076" s="149">
        <v>30000</v>
      </c>
      <c r="F1076" s="149"/>
      <c r="G1076" s="150">
        <v>387360.08</v>
      </c>
      <c r="H1076" s="152" t="s">
        <v>33</v>
      </c>
      <c r="I1076" s="151" t="s">
        <v>33</v>
      </c>
    </row>
    <row r="1077" spans="1:10" x14ac:dyDescent="0.3">
      <c r="A1077" s="153">
        <v>1076</v>
      </c>
      <c r="B1077" s="154" t="s">
        <v>48</v>
      </c>
      <c r="C1077" s="155">
        <v>45872</v>
      </c>
      <c r="D1077" s="36" t="s">
        <v>276</v>
      </c>
      <c r="E1077" s="156">
        <v>7900</v>
      </c>
      <c r="F1077" s="156"/>
      <c r="G1077" s="157">
        <v>379460.08</v>
      </c>
      <c r="H1077" s="159" t="s">
        <v>6</v>
      </c>
      <c r="I1077" s="158" t="s">
        <v>6</v>
      </c>
    </row>
    <row r="1078" spans="1:10" x14ac:dyDescent="0.3">
      <c r="A1078" s="133">
        <v>1077</v>
      </c>
      <c r="B1078" s="135" t="s">
        <v>47</v>
      </c>
      <c r="C1078" s="134">
        <v>45872</v>
      </c>
      <c r="D1078" s="41" t="s">
        <v>246</v>
      </c>
      <c r="E1078" s="136">
        <v>53817</v>
      </c>
      <c r="F1078" s="136"/>
      <c r="G1078" s="137">
        <v>325643.08</v>
      </c>
      <c r="H1078" s="139" t="s">
        <v>18</v>
      </c>
      <c r="I1078" s="138" t="s">
        <v>18</v>
      </c>
    </row>
    <row r="1079" spans="1:10" x14ac:dyDescent="0.3">
      <c r="A1079" s="18">
        <v>1078</v>
      </c>
      <c r="B1079" s="120" t="s">
        <v>41</v>
      </c>
      <c r="C1079" s="121">
        <v>45872</v>
      </c>
      <c r="D1079" s="20" t="s">
        <v>230</v>
      </c>
      <c r="E1079" s="122"/>
      <c r="F1079" s="122">
        <v>204750</v>
      </c>
      <c r="G1079" s="123">
        <v>530393.07999999996</v>
      </c>
      <c r="H1079" s="125" t="s">
        <v>5</v>
      </c>
      <c r="I1079" s="124" t="s">
        <v>5</v>
      </c>
    </row>
    <row r="1080" spans="1:10" x14ac:dyDescent="0.3">
      <c r="A1080" s="18">
        <v>1079</v>
      </c>
      <c r="B1080" s="120" t="s">
        <v>41</v>
      </c>
      <c r="C1080" s="121">
        <v>45872</v>
      </c>
      <c r="D1080" s="20" t="s">
        <v>230</v>
      </c>
      <c r="E1080" s="122"/>
      <c r="F1080" s="122">
        <v>73653</v>
      </c>
      <c r="G1080" s="123">
        <v>604046.07999999996</v>
      </c>
      <c r="H1080" s="125" t="s">
        <v>5</v>
      </c>
      <c r="I1080" s="124" t="s">
        <v>5</v>
      </c>
    </row>
    <row r="1081" spans="1:10" x14ac:dyDescent="0.3">
      <c r="A1081" s="153">
        <v>1080</v>
      </c>
      <c r="B1081" s="154" t="s">
        <v>48</v>
      </c>
      <c r="C1081" s="155">
        <v>45873</v>
      </c>
      <c r="D1081" s="36" t="s">
        <v>271</v>
      </c>
      <c r="E1081" s="156">
        <v>5000</v>
      </c>
      <c r="F1081" s="156"/>
      <c r="G1081" s="157">
        <v>599046.07999999996</v>
      </c>
      <c r="H1081" s="159" t="s">
        <v>25</v>
      </c>
      <c r="I1081" s="158" t="s">
        <v>25</v>
      </c>
    </row>
    <row r="1082" spans="1:10" x14ac:dyDescent="0.3">
      <c r="A1082" s="18">
        <v>1081</v>
      </c>
      <c r="B1082" s="120" t="s">
        <v>41</v>
      </c>
      <c r="C1082" s="121">
        <v>45873</v>
      </c>
      <c r="D1082" s="121" t="s">
        <v>220</v>
      </c>
      <c r="E1082" s="122">
        <v>390194</v>
      </c>
      <c r="F1082" s="122"/>
      <c r="G1082" s="123">
        <v>208852.08</v>
      </c>
      <c r="H1082" s="125" t="s">
        <v>13</v>
      </c>
      <c r="I1082" s="124" t="s">
        <v>13</v>
      </c>
    </row>
    <row r="1083" spans="1:10" x14ac:dyDescent="0.3">
      <c r="A1083" s="133">
        <v>1082</v>
      </c>
      <c r="B1083" s="135" t="s">
        <v>44</v>
      </c>
      <c r="C1083" s="134">
        <v>45873</v>
      </c>
      <c r="D1083" s="41" t="s">
        <v>254</v>
      </c>
      <c r="E1083" s="136">
        <v>150000</v>
      </c>
      <c r="F1083" s="136"/>
      <c r="G1083" s="137">
        <v>58852.08</v>
      </c>
      <c r="H1083" s="139" t="s">
        <v>26</v>
      </c>
      <c r="I1083" s="138" t="s">
        <v>26</v>
      </c>
    </row>
    <row r="1084" spans="1:10" x14ac:dyDescent="0.3">
      <c r="A1084" s="18">
        <v>1083</v>
      </c>
      <c r="B1084" s="120" t="s">
        <v>41</v>
      </c>
      <c r="C1084" s="121">
        <v>45873</v>
      </c>
      <c r="D1084" s="121" t="s">
        <v>220</v>
      </c>
      <c r="E1084" s="122"/>
      <c r="F1084" s="122">
        <v>390194</v>
      </c>
      <c r="G1084" s="123">
        <v>449046.08</v>
      </c>
      <c r="H1084" s="125" t="s">
        <v>5</v>
      </c>
      <c r="I1084" s="124" t="s">
        <v>5</v>
      </c>
    </row>
    <row r="1085" spans="1:10" x14ac:dyDescent="0.3">
      <c r="A1085" s="153">
        <v>1084</v>
      </c>
      <c r="B1085" s="35" t="s">
        <v>48</v>
      </c>
      <c r="C1085" s="155">
        <v>45873</v>
      </c>
      <c r="D1085" s="36" t="s">
        <v>270</v>
      </c>
      <c r="E1085" s="156">
        <v>400000</v>
      </c>
      <c r="F1085" s="156"/>
      <c r="G1085" s="157">
        <v>49046.080000000002</v>
      </c>
      <c r="H1085" s="159" t="s">
        <v>25</v>
      </c>
      <c r="I1085" s="158" t="s">
        <v>25</v>
      </c>
    </row>
    <row r="1086" spans="1:10" x14ac:dyDescent="0.3">
      <c r="A1086" s="18">
        <v>1085</v>
      </c>
      <c r="B1086" s="120" t="s">
        <v>41</v>
      </c>
      <c r="C1086" s="121">
        <v>45873</v>
      </c>
      <c r="D1086" s="121" t="s">
        <v>52</v>
      </c>
      <c r="E1086" s="122"/>
      <c r="F1086" s="122">
        <v>1232</v>
      </c>
      <c r="G1086" s="123">
        <v>50278.080000000002</v>
      </c>
      <c r="H1086" s="125" t="s">
        <v>10</v>
      </c>
      <c r="I1086" s="124" t="s">
        <v>10</v>
      </c>
      <c r="J1086" s="177"/>
    </row>
    <row r="1087" spans="1:10" x14ac:dyDescent="0.3">
      <c r="A1087" s="153">
        <v>1086</v>
      </c>
      <c r="B1087" s="154" t="s">
        <v>48</v>
      </c>
      <c r="C1087" s="155">
        <v>45873</v>
      </c>
      <c r="D1087" s="36" t="s">
        <v>276</v>
      </c>
      <c r="E1087" s="156"/>
      <c r="F1087" s="156">
        <v>9000</v>
      </c>
      <c r="G1087" s="157">
        <v>59278.080000000002</v>
      </c>
      <c r="H1087" s="159" t="s">
        <v>8</v>
      </c>
      <c r="I1087" s="158" t="s">
        <v>8</v>
      </c>
    </row>
    <row r="1088" spans="1:10" x14ac:dyDescent="0.3">
      <c r="A1088" s="153">
        <v>1087</v>
      </c>
      <c r="B1088" s="154" t="s">
        <v>48</v>
      </c>
      <c r="C1088" s="155">
        <v>45873</v>
      </c>
      <c r="D1088" s="36" t="s">
        <v>271</v>
      </c>
      <c r="E1088" s="156">
        <v>55000</v>
      </c>
      <c r="F1088" s="156"/>
      <c r="G1088" s="157">
        <v>4278.08</v>
      </c>
      <c r="H1088" s="159" t="s">
        <v>25</v>
      </c>
      <c r="I1088" s="158" t="s">
        <v>25</v>
      </c>
    </row>
    <row r="1089" spans="1:10" x14ac:dyDescent="0.3">
      <c r="A1089" s="18">
        <v>1088</v>
      </c>
      <c r="B1089" s="120" t="s">
        <v>41</v>
      </c>
      <c r="C1089" s="121">
        <v>45873</v>
      </c>
      <c r="D1089" s="121" t="s">
        <v>214</v>
      </c>
      <c r="E1089" s="122"/>
      <c r="F1089" s="122">
        <v>71908</v>
      </c>
      <c r="G1089" s="123">
        <v>76186.080000000002</v>
      </c>
      <c r="H1089" s="125" t="s">
        <v>5</v>
      </c>
      <c r="I1089" s="124" t="s">
        <v>5</v>
      </c>
    </row>
    <row r="1090" spans="1:10" x14ac:dyDescent="0.3">
      <c r="A1090" s="153">
        <v>1089</v>
      </c>
      <c r="B1090" s="154" t="s">
        <v>48</v>
      </c>
      <c r="C1090" s="155">
        <v>45873</v>
      </c>
      <c r="D1090" s="36" t="s">
        <v>276</v>
      </c>
      <c r="E1090" s="156">
        <v>10000</v>
      </c>
      <c r="F1090" s="156"/>
      <c r="G1090" s="157">
        <v>66186.080000000002</v>
      </c>
      <c r="H1090" s="159" t="s">
        <v>6</v>
      </c>
      <c r="I1090" s="158" t="s">
        <v>6</v>
      </c>
    </row>
    <row r="1091" spans="1:10" x14ac:dyDescent="0.3">
      <c r="A1091" s="18">
        <v>1090</v>
      </c>
      <c r="B1091" s="120" t="s">
        <v>41</v>
      </c>
      <c r="C1091" s="121">
        <v>45873</v>
      </c>
      <c r="D1091" s="20" t="s">
        <v>230</v>
      </c>
      <c r="E1091" s="122"/>
      <c r="F1091" s="122">
        <v>148172</v>
      </c>
      <c r="G1091" s="123">
        <v>214358.08</v>
      </c>
      <c r="H1091" s="125" t="s">
        <v>5</v>
      </c>
      <c r="I1091" s="124" t="s">
        <v>5</v>
      </c>
    </row>
    <row r="1092" spans="1:10" x14ac:dyDescent="0.3">
      <c r="A1092" s="18">
        <v>1091</v>
      </c>
      <c r="B1092" s="120" t="s">
        <v>41</v>
      </c>
      <c r="C1092" s="121">
        <v>45873</v>
      </c>
      <c r="D1092" s="20" t="s">
        <v>230</v>
      </c>
      <c r="E1092" s="122"/>
      <c r="F1092" s="122">
        <v>34150</v>
      </c>
      <c r="G1092" s="123">
        <v>248508.08</v>
      </c>
      <c r="H1092" s="125" t="s">
        <v>5</v>
      </c>
      <c r="I1092" s="124" t="s">
        <v>5</v>
      </c>
    </row>
    <row r="1093" spans="1:10" x14ac:dyDescent="0.3">
      <c r="A1093" s="153">
        <v>1092</v>
      </c>
      <c r="B1093" s="154" t="s">
        <v>48</v>
      </c>
      <c r="C1093" s="155">
        <v>45874</v>
      </c>
      <c r="D1093" s="36" t="s">
        <v>276</v>
      </c>
      <c r="E1093" s="156"/>
      <c r="F1093" s="156">
        <v>10000</v>
      </c>
      <c r="G1093" s="157">
        <v>258508.08</v>
      </c>
      <c r="H1093" s="159" t="s">
        <v>8</v>
      </c>
      <c r="I1093" s="158" t="s">
        <v>8</v>
      </c>
    </row>
    <row r="1094" spans="1:10" x14ac:dyDescent="0.3">
      <c r="A1094" s="18">
        <v>1093</v>
      </c>
      <c r="B1094" s="120" t="s">
        <v>41</v>
      </c>
      <c r="C1094" s="121">
        <v>45874</v>
      </c>
      <c r="D1094" s="20" t="s">
        <v>226</v>
      </c>
      <c r="E1094" s="122">
        <v>141120</v>
      </c>
      <c r="F1094" s="122"/>
      <c r="G1094" s="123">
        <v>117388.08</v>
      </c>
      <c r="H1094" s="125" t="s">
        <v>26</v>
      </c>
      <c r="I1094" s="124" t="s">
        <v>26</v>
      </c>
    </row>
    <row r="1095" spans="1:10" x14ac:dyDescent="0.3">
      <c r="A1095" s="133">
        <v>1094</v>
      </c>
      <c r="B1095" s="135" t="s">
        <v>44</v>
      </c>
      <c r="C1095" s="134">
        <v>45874</v>
      </c>
      <c r="D1095" s="134" t="s">
        <v>247</v>
      </c>
      <c r="E1095" s="136">
        <v>110000</v>
      </c>
      <c r="F1095" s="136"/>
      <c r="G1095" s="137">
        <v>7388.08</v>
      </c>
      <c r="H1095" s="139" t="s">
        <v>26</v>
      </c>
      <c r="I1095" s="138" t="s">
        <v>26</v>
      </c>
    </row>
    <row r="1096" spans="1:10" x14ac:dyDescent="0.3">
      <c r="A1096" s="160">
        <v>1095</v>
      </c>
      <c r="B1096" s="161" t="s">
        <v>42</v>
      </c>
      <c r="C1096" s="162">
        <v>45874</v>
      </c>
      <c r="D1096" s="168" t="s">
        <v>266</v>
      </c>
      <c r="E1096" s="163">
        <v>280000</v>
      </c>
      <c r="F1096" s="163"/>
      <c r="G1096" s="164">
        <v>-272611.92</v>
      </c>
      <c r="H1096" s="166" t="s">
        <v>26</v>
      </c>
      <c r="I1096" s="165" t="s">
        <v>26</v>
      </c>
    </row>
    <row r="1097" spans="1:10" x14ac:dyDescent="0.3">
      <c r="A1097" s="160">
        <v>1096</v>
      </c>
      <c r="B1097" s="161" t="s">
        <v>42</v>
      </c>
      <c r="C1097" s="162">
        <v>45874</v>
      </c>
      <c r="D1097" s="168" t="s">
        <v>266</v>
      </c>
      <c r="E1097" s="163"/>
      <c r="F1097" s="163">
        <v>280000</v>
      </c>
      <c r="G1097" s="164">
        <v>7388.08</v>
      </c>
      <c r="H1097" s="166" t="s">
        <v>31</v>
      </c>
      <c r="I1097" s="165" t="s">
        <v>31</v>
      </c>
    </row>
    <row r="1098" spans="1:10" x14ac:dyDescent="0.3">
      <c r="A1098" s="18">
        <v>1097</v>
      </c>
      <c r="B1098" s="120" t="s">
        <v>41</v>
      </c>
      <c r="C1098" s="121">
        <v>45874</v>
      </c>
      <c r="D1098" s="20" t="s">
        <v>193</v>
      </c>
      <c r="E1098" s="122"/>
      <c r="F1098" s="122">
        <v>300000</v>
      </c>
      <c r="G1098" s="123">
        <v>307388.08</v>
      </c>
      <c r="H1098" s="125" t="s">
        <v>7</v>
      </c>
      <c r="I1098" s="124" t="s">
        <v>7</v>
      </c>
    </row>
    <row r="1099" spans="1:10" x14ac:dyDescent="0.3">
      <c r="A1099" s="133">
        <v>1098</v>
      </c>
      <c r="B1099" s="135" t="s">
        <v>47</v>
      </c>
      <c r="C1099" s="134">
        <v>45874</v>
      </c>
      <c r="D1099" s="41" t="s">
        <v>243</v>
      </c>
      <c r="E1099" s="136">
        <v>37200</v>
      </c>
      <c r="F1099" s="136"/>
      <c r="G1099" s="137">
        <v>270188.08</v>
      </c>
      <c r="H1099" s="139" t="s">
        <v>18</v>
      </c>
      <c r="I1099" s="138" t="s">
        <v>18</v>
      </c>
    </row>
    <row r="1100" spans="1:10" x14ac:dyDescent="0.3">
      <c r="A1100" s="153">
        <v>1099</v>
      </c>
      <c r="B1100" s="154" t="s">
        <v>48</v>
      </c>
      <c r="C1100" s="155">
        <v>45874</v>
      </c>
      <c r="D1100" s="36" t="s">
        <v>269</v>
      </c>
      <c r="E1100" s="156"/>
      <c r="F1100" s="156">
        <v>20000</v>
      </c>
      <c r="G1100" s="157">
        <v>290188.08</v>
      </c>
      <c r="H1100" s="159" t="s">
        <v>8</v>
      </c>
      <c r="I1100" s="158" t="s">
        <v>8</v>
      </c>
      <c r="J1100" s="177"/>
    </row>
    <row r="1101" spans="1:10" x14ac:dyDescent="0.3">
      <c r="A1101" s="18">
        <v>1100</v>
      </c>
      <c r="B1101" s="120" t="s">
        <v>41</v>
      </c>
      <c r="C1101" s="121">
        <v>45874</v>
      </c>
      <c r="D1101" s="121" t="s">
        <v>210</v>
      </c>
      <c r="E1101" s="122">
        <v>280000</v>
      </c>
      <c r="F1101" s="122"/>
      <c r="G1101" s="123">
        <v>10188.08</v>
      </c>
      <c r="H1101" s="125" t="s">
        <v>26</v>
      </c>
      <c r="I1101" s="124" t="s">
        <v>26</v>
      </c>
    </row>
    <row r="1102" spans="1:10" x14ac:dyDescent="0.3">
      <c r="A1102" s="153">
        <v>1101</v>
      </c>
      <c r="B1102" s="154" t="s">
        <v>48</v>
      </c>
      <c r="C1102" s="155">
        <v>45874</v>
      </c>
      <c r="D1102" s="36" t="s">
        <v>271</v>
      </c>
      <c r="E1102" s="156">
        <v>4000</v>
      </c>
      <c r="F1102" s="156"/>
      <c r="G1102" s="157">
        <v>6188.08</v>
      </c>
      <c r="H1102" s="159" t="s">
        <v>25</v>
      </c>
      <c r="I1102" s="158" t="s">
        <v>25</v>
      </c>
    </row>
    <row r="1103" spans="1:10" x14ac:dyDescent="0.3">
      <c r="A1103" s="153">
        <v>1102</v>
      </c>
      <c r="B1103" s="154" t="s">
        <v>48</v>
      </c>
      <c r="C1103" s="155">
        <v>45874</v>
      </c>
      <c r="D1103" s="36" t="s">
        <v>276</v>
      </c>
      <c r="E1103" s="156"/>
      <c r="F1103" s="156">
        <v>900000</v>
      </c>
      <c r="G1103" s="157">
        <v>906188.08</v>
      </c>
      <c r="H1103" s="159" t="s">
        <v>8</v>
      </c>
      <c r="I1103" s="158" t="s">
        <v>8</v>
      </c>
    </row>
    <row r="1104" spans="1:10" x14ac:dyDescent="0.3">
      <c r="A1104" s="18">
        <v>1103</v>
      </c>
      <c r="B1104" s="120" t="s">
        <v>41</v>
      </c>
      <c r="C1104" s="121">
        <v>45874</v>
      </c>
      <c r="D1104" s="20" t="s">
        <v>216</v>
      </c>
      <c r="E1104" s="122">
        <v>110844</v>
      </c>
      <c r="F1104" s="122"/>
      <c r="G1104" s="123">
        <v>795344.08</v>
      </c>
      <c r="H1104" s="125" t="s">
        <v>13</v>
      </c>
      <c r="I1104" s="124" t="s">
        <v>13</v>
      </c>
    </row>
    <row r="1105" spans="1:9" x14ac:dyDescent="0.3">
      <c r="A1105" s="18">
        <v>1104</v>
      </c>
      <c r="B1105" s="120" t="s">
        <v>41</v>
      </c>
      <c r="C1105" s="121">
        <v>45874</v>
      </c>
      <c r="D1105" s="20" t="s">
        <v>224</v>
      </c>
      <c r="E1105" s="122">
        <v>50000</v>
      </c>
      <c r="F1105" s="122"/>
      <c r="G1105" s="123">
        <v>745344.08</v>
      </c>
      <c r="H1105" s="125" t="s">
        <v>25</v>
      </c>
      <c r="I1105" s="124" t="s">
        <v>25</v>
      </c>
    </row>
    <row r="1106" spans="1:9" x14ac:dyDescent="0.3">
      <c r="A1106" s="153">
        <v>1105</v>
      </c>
      <c r="B1106" s="154" t="s">
        <v>48</v>
      </c>
      <c r="C1106" s="155">
        <v>45874</v>
      </c>
      <c r="D1106" s="155" t="s">
        <v>274</v>
      </c>
      <c r="E1106" s="156">
        <v>30000</v>
      </c>
      <c r="F1106" s="156"/>
      <c r="G1106" s="157">
        <v>715344.08</v>
      </c>
      <c r="H1106" s="159" t="s">
        <v>25</v>
      </c>
      <c r="I1106" s="158" t="s">
        <v>25</v>
      </c>
    </row>
    <row r="1107" spans="1:9" x14ac:dyDescent="0.3">
      <c r="A1107" s="153">
        <v>1106</v>
      </c>
      <c r="B1107" s="154" t="s">
        <v>48</v>
      </c>
      <c r="C1107" s="155">
        <v>45874</v>
      </c>
      <c r="D1107" s="36" t="s">
        <v>276</v>
      </c>
      <c r="E1107" s="156"/>
      <c r="F1107" s="156">
        <v>110000</v>
      </c>
      <c r="G1107" s="157">
        <v>825344.08</v>
      </c>
      <c r="H1107" s="159" t="s">
        <v>8</v>
      </c>
      <c r="I1107" s="158" t="s">
        <v>8</v>
      </c>
    </row>
    <row r="1108" spans="1:9" x14ac:dyDescent="0.3">
      <c r="A1108" s="18">
        <v>1107</v>
      </c>
      <c r="B1108" s="120" t="s">
        <v>41</v>
      </c>
      <c r="C1108" s="121">
        <v>45875</v>
      </c>
      <c r="D1108" s="121" t="s">
        <v>202</v>
      </c>
      <c r="E1108" s="122">
        <v>55000</v>
      </c>
      <c r="F1108" s="122"/>
      <c r="G1108" s="123">
        <v>770344.08</v>
      </c>
      <c r="H1108" s="125" t="s">
        <v>26</v>
      </c>
      <c r="I1108" s="124" t="s">
        <v>26</v>
      </c>
    </row>
    <row r="1109" spans="1:9" x14ac:dyDescent="0.3">
      <c r="A1109" s="133">
        <v>1108</v>
      </c>
      <c r="B1109" s="135" t="s">
        <v>44</v>
      </c>
      <c r="C1109" s="134">
        <v>45875</v>
      </c>
      <c r="D1109" s="134" t="s">
        <v>249</v>
      </c>
      <c r="E1109" s="136">
        <v>300000</v>
      </c>
      <c r="F1109" s="136"/>
      <c r="G1109" s="137">
        <v>470344.08</v>
      </c>
      <c r="H1109" s="139" t="s">
        <v>26</v>
      </c>
      <c r="I1109" s="138" t="s">
        <v>26</v>
      </c>
    </row>
    <row r="1110" spans="1:9" x14ac:dyDescent="0.3">
      <c r="A1110" s="133">
        <v>1109</v>
      </c>
      <c r="B1110" s="135" t="s">
        <v>44</v>
      </c>
      <c r="C1110" s="134">
        <v>45875</v>
      </c>
      <c r="D1110" s="41" t="s">
        <v>257</v>
      </c>
      <c r="E1110" s="136">
        <v>150000</v>
      </c>
      <c r="F1110" s="136"/>
      <c r="G1110" s="137">
        <v>320344.08</v>
      </c>
      <c r="H1110" s="139" t="s">
        <v>18</v>
      </c>
      <c r="I1110" s="138" t="s">
        <v>18</v>
      </c>
    </row>
    <row r="1111" spans="1:9" x14ac:dyDescent="0.3">
      <c r="A1111" s="133">
        <v>1110</v>
      </c>
      <c r="B1111" s="135" t="s">
        <v>44</v>
      </c>
      <c r="C1111" s="134">
        <v>45875</v>
      </c>
      <c r="D1111" s="41" t="s">
        <v>252</v>
      </c>
      <c r="E1111" s="136">
        <v>100000</v>
      </c>
      <c r="F1111" s="136"/>
      <c r="G1111" s="137">
        <v>220344.08</v>
      </c>
      <c r="H1111" s="139" t="s">
        <v>18</v>
      </c>
      <c r="I1111" s="138" t="s">
        <v>18</v>
      </c>
    </row>
    <row r="1112" spans="1:9" x14ac:dyDescent="0.3">
      <c r="A1112" s="160">
        <v>1111</v>
      </c>
      <c r="B1112" s="161" t="s">
        <v>42</v>
      </c>
      <c r="C1112" s="162">
        <v>45875</v>
      </c>
      <c r="D1112" s="162" t="s">
        <v>267</v>
      </c>
      <c r="E1112" s="163">
        <v>499198</v>
      </c>
      <c r="F1112" s="163"/>
      <c r="G1112" s="164">
        <v>-278853.92</v>
      </c>
      <c r="H1112" s="166" t="s">
        <v>26</v>
      </c>
      <c r="I1112" s="165" t="s">
        <v>26</v>
      </c>
    </row>
    <row r="1113" spans="1:9" x14ac:dyDescent="0.3">
      <c r="A1113" s="160">
        <v>1112</v>
      </c>
      <c r="B1113" s="161" t="s">
        <v>42</v>
      </c>
      <c r="C1113" s="162">
        <v>45875</v>
      </c>
      <c r="D1113" s="162" t="s">
        <v>267</v>
      </c>
      <c r="E1113" s="163"/>
      <c r="F1113" s="163">
        <v>499198</v>
      </c>
      <c r="G1113" s="164">
        <v>220344.08</v>
      </c>
      <c r="H1113" s="166" t="s">
        <v>31</v>
      </c>
      <c r="I1113" s="165" t="s">
        <v>31</v>
      </c>
    </row>
    <row r="1114" spans="1:9" x14ac:dyDescent="0.3">
      <c r="A1114" s="133">
        <v>1113</v>
      </c>
      <c r="B1114" s="135" t="s">
        <v>44</v>
      </c>
      <c r="C1114" s="134">
        <v>45875</v>
      </c>
      <c r="D1114" s="134" t="s">
        <v>256</v>
      </c>
      <c r="E1114" s="136">
        <v>200000</v>
      </c>
      <c r="F1114" s="136"/>
      <c r="G1114" s="137">
        <v>20344.080000000002</v>
      </c>
      <c r="H1114" s="139" t="s">
        <v>26</v>
      </c>
      <c r="I1114" s="138" t="s">
        <v>26</v>
      </c>
    </row>
    <row r="1115" spans="1:9" x14ac:dyDescent="0.3">
      <c r="A1115" s="18">
        <v>1114</v>
      </c>
      <c r="B1115" s="120" t="s">
        <v>41</v>
      </c>
      <c r="C1115" s="121">
        <v>45875</v>
      </c>
      <c r="D1115" s="20" t="s">
        <v>229</v>
      </c>
      <c r="E1115" s="122"/>
      <c r="F1115" s="122">
        <v>8925</v>
      </c>
      <c r="G1115" s="123">
        <v>29269.08</v>
      </c>
      <c r="H1115" s="125" t="s">
        <v>5</v>
      </c>
      <c r="I1115" s="124" t="s">
        <v>5</v>
      </c>
    </row>
    <row r="1116" spans="1:9" x14ac:dyDescent="0.3">
      <c r="A1116" s="18">
        <v>1115</v>
      </c>
      <c r="B1116" s="120" t="s">
        <v>41</v>
      </c>
      <c r="C1116" s="121">
        <v>45875</v>
      </c>
      <c r="D1116" s="20" t="s">
        <v>228</v>
      </c>
      <c r="E1116" s="122"/>
      <c r="F1116" s="122">
        <v>53200</v>
      </c>
      <c r="G1116" s="123">
        <v>82469.08</v>
      </c>
      <c r="H1116" s="125" t="s">
        <v>5</v>
      </c>
      <c r="I1116" s="124" t="s">
        <v>5</v>
      </c>
    </row>
    <row r="1117" spans="1:9" x14ac:dyDescent="0.3">
      <c r="A1117" s="18">
        <v>1116</v>
      </c>
      <c r="B1117" s="120" t="s">
        <v>41</v>
      </c>
      <c r="C1117" s="121">
        <v>45875</v>
      </c>
      <c r="D1117" s="20" t="s">
        <v>193</v>
      </c>
      <c r="E1117" s="122"/>
      <c r="F1117" s="122">
        <v>500000</v>
      </c>
      <c r="G1117" s="123">
        <v>582469.07999999996</v>
      </c>
      <c r="H1117" s="125" t="s">
        <v>7</v>
      </c>
      <c r="I1117" s="124" t="s">
        <v>7</v>
      </c>
    </row>
    <row r="1118" spans="1:9" x14ac:dyDescent="0.3">
      <c r="A1118" s="153">
        <v>1117</v>
      </c>
      <c r="B1118" s="35" t="s">
        <v>48</v>
      </c>
      <c r="C1118" s="155">
        <v>45875</v>
      </c>
      <c r="D1118" s="36" t="s">
        <v>270</v>
      </c>
      <c r="E1118" s="156">
        <v>517000</v>
      </c>
      <c r="F1118" s="156"/>
      <c r="G1118" s="157">
        <v>65469.08</v>
      </c>
      <c r="H1118" s="159" t="s">
        <v>9</v>
      </c>
      <c r="I1118" s="158" t="s">
        <v>9</v>
      </c>
    </row>
    <row r="1119" spans="1:9" x14ac:dyDescent="0.3">
      <c r="A1119" s="18">
        <v>1118</v>
      </c>
      <c r="B1119" s="5" t="s">
        <v>39</v>
      </c>
      <c r="C1119" s="6">
        <v>45875</v>
      </c>
      <c r="D1119" s="6" t="s">
        <v>264</v>
      </c>
      <c r="E1119" s="8">
        <v>10000</v>
      </c>
      <c r="F1119" s="9"/>
      <c r="G1119" s="7">
        <v>55469.08</v>
      </c>
      <c r="H1119" s="2" t="s">
        <v>14</v>
      </c>
      <c r="I1119" s="1" t="s">
        <v>14</v>
      </c>
    </row>
    <row r="1120" spans="1:9" x14ac:dyDescent="0.3">
      <c r="A1120" s="153">
        <v>1119</v>
      </c>
      <c r="B1120" s="154" t="s">
        <v>48</v>
      </c>
      <c r="C1120" s="155">
        <v>45875</v>
      </c>
      <c r="D1120" s="36" t="s">
        <v>271</v>
      </c>
      <c r="E1120" s="156">
        <v>30000</v>
      </c>
      <c r="F1120" s="156"/>
      <c r="G1120" s="157">
        <v>25469.08</v>
      </c>
      <c r="H1120" s="159" t="s">
        <v>15</v>
      </c>
      <c r="I1120" s="158" t="s">
        <v>25</v>
      </c>
    </row>
    <row r="1121" spans="1:10" x14ac:dyDescent="0.3">
      <c r="A1121" s="153">
        <v>1120</v>
      </c>
      <c r="B1121" s="154" t="s">
        <v>48</v>
      </c>
      <c r="C1121" s="155">
        <v>45875</v>
      </c>
      <c r="D1121" s="36" t="s">
        <v>271</v>
      </c>
      <c r="E1121" s="156"/>
      <c r="F1121" s="156">
        <v>13000</v>
      </c>
      <c r="G1121" s="157">
        <v>38469.08</v>
      </c>
      <c r="H1121" s="159" t="s">
        <v>21</v>
      </c>
      <c r="I1121" s="158" t="s">
        <v>8</v>
      </c>
    </row>
    <row r="1122" spans="1:10" x14ac:dyDescent="0.3">
      <c r="A1122" s="153">
        <v>1121</v>
      </c>
      <c r="B1122" s="154" t="s">
        <v>48</v>
      </c>
      <c r="C1122" s="155">
        <v>45875</v>
      </c>
      <c r="D1122" s="36" t="s">
        <v>271</v>
      </c>
      <c r="E1122" s="156"/>
      <c r="F1122" s="156">
        <v>20000</v>
      </c>
      <c r="G1122" s="157">
        <v>58469.08</v>
      </c>
      <c r="H1122" s="159" t="s">
        <v>21</v>
      </c>
      <c r="I1122" s="158" t="s">
        <v>8</v>
      </c>
    </row>
    <row r="1123" spans="1:10" x14ac:dyDescent="0.3">
      <c r="A1123" s="18">
        <v>1122</v>
      </c>
      <c r="B1123" s="120" t="s">
        <v>41</v>
      </c>
      <c r="C1123" s="121">
        <v>45875</v>
      </c>
      <c r="D1123" s="121" t="s">
        <v>52</v>
      </c>
      <c r="E1123" s="122"/>
      <c r="F1123" s="122">
        <v>900</v>
      </c>
      <c r="G1123" s="123">
        <v>59369.08</v>
      </c>
      <c r="H1123" s="125" t="s">
        <v>8</v>
      </c>
      <c r="I1123" s="124" t="s">
        <v>8</v>
      </c>
      <c r="J1123" s="177"/>
    </row>
    <row r="1124" spans="1:10" x14ac:dyDescent="0.3">
      <c r="A1124" s="153">
        <v>1123</v>
      </c>
      <c r="B1124" s="154" t="s">
        <v>48</v>
      </c>
      <c r="C1124" s="155">
        <v>45876</v>
      </c>
      <c r="D1124" s="36" t="s">
        <v>276</v>
      </c>
      <c r="E1124" s="156">
        <v>9000</v>
      </c>
      <c r="F1124" s="156"/>
      <c r="G1124" s="157">
        <v>50369.08</v>
      </c>
      <c r="H1124" s="159" t="s">
        <v>6</v>
      </c>
      <c r="I1124" s="158" t="s">
        <v>6</v>
      </c>
    </row>
    <row r="1125" spans="1:10" x14ac:dyDescent="0.3">
      <c r="A1125" s="133">
        <v>1124</v>
      </c>
      <c r="B1125" s="140" t="s">
        <v>47</v>
      </c>
      <c r="C1125" s="141">
        <v>45876</v>
      </c>
      <c r="D1125" s="141" t="s">
        <v>46</v>
      </c>
      <c r="E1125" s="142">
        <v>295</v>
      </c>
      <c r="F1125" s="142"/>
      <c r="G1125" s="143">
        <v>50074.080000000002</v>
      </c>
      <c r="H1125" s="145" t="s">
        <v>34</v>
      </c>
      <c r="I1125" s="144" t="s">
        <v>34</v>
      </c>
    </row>
    <row r="1126" spans="1:10" x14ac:dyDescent="0.3">
      <c r="A1126" s="18">
        <v>1125</v>
      </c>
      <c r="B1126" s="5" t="s">
        <v>39</v>
      </c>
      <c r="C1126" s="6">
        <v>45876</v>
      </c>
      <c r="D1126" s="6" t="s">
        <v>258</v>
      </c>
      <c r="E1126" s="8">
        <v>5.9</v>
      </c>
      <c r="F1126" s="9"/>
      <c r="G1126" s="7">
        <v>50068.18</v>
      </c>
      <c r="H1126" s="2" t="s">
        <v>24</v>
      </c>
      <c r="I1126" s="1" t="s">
        <v>24</v>
      </c>
    </row>
    <row r="1127" spans="1:10" x14ac:dyDescent="0.3">
      <c r="A1127" s="18">
        <v>1126</v>
      </c>
      <c r="B1127" s="5" t="s">
        <v>39</v>
      </c>
      <c r="C1127" s="6">
        <v>45876</v>
      </c>
      <c r="D1127" s="6" t="s">
        <v>258</v>
      </c>
      <c r="E1127" s="8">
        <v>5.9</v>
      </c>
      <c r="F1127" s="9"/>
      <c r="G1127" s="7">
        <v>50062.28</v>
      </c>
      <c r="H1127" s="2" t="s">
        <v>24</v>
      </c>
      <c r="I1127" s="1" t="s">
        <v>24</v>
      </c>
    </row>
    <row r="1128" spans="1:10" x14ac:dyDescent="0.3">
      <c r="A1128" s="18">
        <v>1127</v>
      </c>
      <c r="B1128" s="5" t="s">
        <v>39</v>
      </c>
      <c r="C1128" s="6">
        <v>45876</v>
      </c>
      <c r="D1128" s="6" t="s">
        <v>258</v>
      </c>
      <c r="E1128" s="8">
        <v>17.7</v>
      </c>
      <c r="F1128" s="9"/>
      <c r="G1128" s="7">
        <v>50044.58</v>
      </c>
      <c r="H1128" s="2" t="s">
        <v>24</v>
      </c>
      <c r="I1128" s="1" t="s">
        <v>24</v>
      </c>
    </row>
    <row r="1129" spans="1:10" x14ac:dyDescent="0.3">
      <c r="A1129" s="18">
        <v>1128</v>
      </c>
      <c r="B1129" s="5" t="s">
        <v>39</v>
      </c>
      <c r="C1129" s="6">
        <v>45876</v>
      </c>
      <c r="D1129" s="6" t="s">
        <v>258</v>
      </c>
      <c r="E1129" s="8">
        <v>5.9</v>
      </c>
      <c r="F1129" s="9"/>
      <c r="G1129" s="7">
        <v>50038.68</v>
      </c>
      <c r="H1129" s="2" t="s">
        <v>24</v>
      </c>
      <c r="I1129" s="1" t="s">
        <v>24</v>
      </c>
    </row>
    <row r="1130" spans="1:10" x14ac:dyDescent="0.3">
      <c r="A1130" s="18">
        <v>1129</v>
      </c>
      <c r="B1130" s="5" t="s">
        <v>39</v>
      </c>
      <c r="C1130" s="6">
        <v>45876</v>
      </c>
      <c r="D1130" s="6" t="s">
        <v>258</v>
      </c>
      <c r="E1130" s="8">
        <v>17.7</v>
      </c>
      <c r="F1130" s="9"/>
      <c r="G1130" s="7">
        <v>50020.98</v>
      </c>
      <c r="H1130" s="2" t="s">
        <v>24</v>
      </c>
      <c r="I1130" s="1" t="s">
        <v>24</v>
      </c>
    </row>
    <row r="1131" spans="1:10" x14ac:dyDescent="0.3">
      <c r="A1131" s="18">
        <v>1130</v>
      </c>
      <c r="B1131" s="5" t="s">
        <v>39</v>
      </c>
      <c r="C1131" s="6">
        <v>45876</v>
      </c>
      <c r="D1131" s="6" t="s">
        <v>258</v>
      </c>
      <c r="E1131" s="8">
        <v>35.4</v>
      </c>
      <c r="F1131" s="9"/>
      <c r="G1131" s="7">
        <v>49985.58</v>
      </c>
      <c r="H1131" s="2" t="s">
        <v>24</v>
      </c>
      <c r="I1131" s="1" t="s">
        <v>24</v>
      </c>
    </row>
    <row r="1132" spans="1:10" x14ac:dyDescent="0.3">
      <c r="A1132" s="18">
        <v>1131</v>
      </c>
      <c r="B1132" s="5" t="s">
        <v>39</v>
      </c>
      <c r="C1132" s="6">
        <v>45876</v>
      </c>
      <c r="D1132" s="10" t="s">
        <v>259</v>
      </c>
      <c r="E1132" s="8">
        <v>590</v>
      </c>
      <c r="F1132" s="9"/>
      <c r="G1132" s="7">
        <v>49395.58</v>
      </c>
      <c r="H1132" s="2" t="s">
        <v>24</v>
      </c>
      <c r="I1132" s="1" t="s">
        <v>24</v>
      </c>
    </row>
    <row r="1133" spans="1:10" x14ac:dyDescent="0.3">
      <c r="A1133" s="18">
        <v>1132</v>
      </c>
      <c r="B1133" s="5" t="s">
        <v>39</v>
      </c>
      <c r="C1133" s="6">
        <v>45876</v>
      </c>
      <c r="D1133" s="6" t="s">
        <v>258</v>
      </c>
      <c r="E1133" s="8">
        <v>5.9</v>
      </c>
      <c r="F1133" s="9"/>
      <c r="G1133" s="7">
        <v>49389.68</v>
      </c>
      <c r="H1133" s="2" t="s">
        <v>24</v>
      </c>
      <c r="I1133" s="1" t="s">
        <v>24</v>
      </c>
    </row>
    <row r="1134" spans="1:10" x14ac:dyDescent="0.3">
      <c r="A1134" s="18">
        <v>1133</v>
      </c>
      <c r="B1134" s="5" t="s">
        <v>39</v>
      </c>
      <c r="C1134" s="6">
        <v>45876</v>
      </c>
      <c r="D1134" s="6" t="s">
        <v>258</v>
      </c>
      <c r="E1134" s="8">
        <v>4.1399999999999997</v>
      </c>
      <c r="F1134" s="9"/>
      <c r="G1134" s="7">
        <v>49385.54</v>
      </c>
      <c r="H1134" s="2" t="s">
        <v>24</v>
      </c>
      <c r="I1134" s="1" t="s">
        <v>24</v>
      </c>
    </row>
    <row r="1135" spans="1:10" x14ac:dyDescent="0.3">
      <c r="A1135" s="18">
        <v>1134</v>
      </c>
      <c r="B1135" s="5" t="s">
        <v>39</v>
      </c>
      <c r="C1135" s="6">
        <v>45876</v>
      </c>
      <c r="D1135" s="6" t="s">
        <v>258</v>
      </c>
      <c r="E1135" s="8">
        <v>5.9</v>
      </c>
      <c r="F1135" s="9"/>
      <c r="G1135" s="7">
        <v>49379.64</v>
      </c>
      <c r="H1135" s="2" t="s">
        <v>24</v>
      </c>
      <c r="I1135" s="1" t="s">
        <v>24</v>
      </c>
    </row>
    <row r="1136" spans="1:10" x14ac:dyDescent="0.3">
      <c r="A1136" s="18">
        <v>1135</v>
      </c>
      <c r="B1136" s="5" t="s">
        <v>39</v>
      </c>
      <c r="C1136" s="6">
        <v>45876</v>
      </c>
      <c r="D1136" s="6" t="s">
        <v>258</v>
      </c>
      <c r="E1136" s="8">
        <v>5.9</v>
      </c>
      <c r="F1136" s="9"/>
      <c r="G1136" s="7">
        <v>49373.74</v>
      </c>
      <c r="H1136" s="2" t="s">
        <v>24</v>
      </c>
      <c r="I1136" s="1" t="s">
        <v>24</v>
      </c>
    </row>
    <row r="1137" spans="1:9" x14ac:dyDescent="0.3">
      <c r="A1137" s="18">
        <v>1136</v>
      </c>
      <c r="B1137" s="5" t="s">
        <v>39</v>
      </c>
      <c r="C1137" s="6">
        <v>45876</v>
      </c>
      <c r="D1137" s="6" t="s">
        <v>258</v>
      </c>
      <c r="E1137" s="8">
        <v>17.7</v>
      </c>
      <c r="F1137" s="9"/>
      <c r="G1137" s="7">
        <v>49356.04</v>
      </c>
      <c r="H1137" s="2" t="s">
        <v>24</v>
      </c>
      <c r="I1137" s="1" t="s">
        <v>24</v>
      </c>
    </row>
    <row r="1138" spans="1:9" x14ac:dyDescent="0.3">
      <c r="A1138" s="18">
        <v>1137</v>
      </c>
      <c r="B1138" s="5" t="s">
        <v>39</v>
      </c>
      <c r="C1138" s="6">
        <v>45876</v>
      </c>
      <c r="D1138" s="6" t="s">
        <v>258</v>
      </c>
      <c r="E1138" s="8">
        <v>5.9</v>
      </c>
      <c r="F1138" s="9"/>
      <c r="G1138" s="7">
        <v>49350.14</v>
      </c>
      <c r="H1138" s="2" t="s">
        <v>24</v>
      </c>
      <c r="I1138" s="1" t="s">
        <v>24</v>
      </c>
    </row>
    <row r="1139" spans="1:9" x14ac:dyDescent="0.3">
      <c r="A1139" s="133">
        <v>1138</v>
      </c>
      <c r="B1139" s="140" t="s">
        <v>47</v>
      </c>
      <c r="C1139" s="141">
        <v>45876</v>
      </c>
      <c r="D1139" s="141" t="s">
        <v>46</v>
      </c>
      <c r="E1139" s="142">
        <v>295</v>
      </c>
      <c r="F1139" s="142"/>
      <c r="G1139" s="143">
        <v>49055.14</v>
      </c>
      <c r="H1139" s="145" t="s">
        <v>34</v>
      </c>
      <c r="I1139" s="144" t="s">
        <v>34</v>
      </c>
    </row>
    <row r="1140" spans="1:9" x14ac:dyDescent="0.3">
      <c r="A1140" s="18">
        <v>1139</v>
      </c>
      <c r="B1140" s="5" t="s">
        <v>39</v>
      </c>
      <c r="C1140" s="6">
        <v>45877</v>
      </c>
      <c r="D1140" s="6" t="s">
        <v>258</v>
      </c>
      <c r="E1140" s="8">
        <v>354</v>
      </c>
      <c r="F1140" s="9"/>
      <c r="G1140" s="7">
        <v>48701.14</v>
      </c>
      <c r="H1140" s="2" t="s">
        <v>24</v>
      </c>
      <c r="I1140" s="1" t="s">
        <v>24</v>
      </c>
    </row>
    <row r="1141" spans="1:9" x14ac:dyDescent="0.3">
      <c r="A1141" s="18">
        <v>1140</v>
      </c>
      <c r="B1141" s="5" t="s">
        <v>39</v>
      </c>
      <c r="C1141" s="6">
        <v>45877</v>
      </c>
      <c r="D1141" s="6" t="s">
        <v>258</v>
      </c>
      <c r="E1141" s="8">
        <v>5.9</v>
      </c>
      <c r="F1141" s="9"/>
      <c r="G1141" s="7">
        <v>48695.24</v>
      </c>
      <c r="H1141" s="2" t="s">
        <v>24</v>
      </c>
      <c r="I1141" s="1" t="s">
        <v>24</v>
      </c>
    </row>
    <row r="1142" spans="1:9" x14ac:dyDescent="0.3">
      <c r="A1142" s="133">
        <v>1141</v>
      </c>
      <c r="B1142" s="140" t="s">
        <v>47</v>
      </c>
      <c r="C1142" s="141">
        <v>45877</v>
      </c>
      <c r="D1142" s="141" t="s">
        <v>46</v>
      </c>
      <c r="E1142" s="142">
        <v>295</v>
      </c>
      <c r="F1142" s="142"/>
      <c r="G1142" s="143">
        <v>48400.24</v>
      </c>
      <c r="H1142" s="145" t="s">
        <v>34</v>
      </c>
      <c r="I1142" s="144" t="s">
        <v>34</v>
      </c>
    </row>
    <row r="1143" spans="1:9" x14ac:dyDescent="0.3">
      <c r="A1143" s="18">
        <v>1142</v>
      </c>
      <c r="B1143" s="5" t="s">
        <v>39</v>
      </c>
      <c r="C1143" s="6">
        <v>45877</v>
      </c>
      <c r="D1143" s="6" t="s">
        <v>258</v>
      </c>
      <c r="E1143" s="8">
        <v>5.9</v>
      </c>
      <c r="F1143" s="9"/>
      <c r="G1143" s="7">
        <v>48394.34</v>
      </c>
      <c r="H1143" s="2" t="s">
        <v>24</v>
      </c>
      <c r="I1143" s="1" t="s">
        <v>24</v>
      </c>
    </row>
    <row r="1144" spans="1:9" x14ac:dyDescent="0.3">
      <c r="A1144" s="18">
        <v>1143</v>
      </c>
      <c r="B1144" s="5" t="s">
        <v>39</v>
      </c>
      <c r="C1144" s="6">
        <v>45877</v>
      </c>
      <c r="D1144" s="6" t="s">
        <v>258</v>
      </c>
      <c r="E1144" s="8">
        <v>5.9</v>
      </c>
      <c r="F1144" s="9"/>
      <c r="G1144" s="7">
        <v>48388.44</v>
      </c>
      <c r="H1144" s="2" t="s">
        <v>24</v>
      </c>
      <c r="I1144" s="1" t="s">
        <v>24</v>
      </c>
    </row>
    <row r="1145" spans="1:9" x14ac:dyDescent="0.3">
      <c r="A1145" s="18">
        <v>1144</v>
      </c>
      <c r="B1145" s="5" t="s">
        <v>39</v>
      </c>
      <c r="C1145" s="6">
        <v>45877</v>
      </c>
      <c r="D1145" s="6" t="s">
        <v>258</v>
      </c>
      <c r="E1145" s="8">
        <v>5.9</v>
      </c>
      <c r="F1145" s="9"/>
      <c r="G1145" s="7">
        <v>48382.54</v>
      </c>
      <c r="H1145" s="2" t="s">
        <v>24</v>
      </c>
      <c r="I1145" s="1" t="s">
        <v>24</v>
      </c>
    </row>
    <row r="1146" spans="1:9" x14ac:dyDescent="0.3">
      <c r="A1146" s="18">
        <v>1145</v>
      </c>
      <c r="B1146" s="5" t="s">
        <v>39</v>
      </c>
      <c r="C1146" s="6">
        <v>45877</v>
      </c>
      <c r="D1146" s="6" t="s">
        <v>258</v>
      </c>
      <c r="E1146" s="8">
        <v>5.9</v>
      </c>
      <c r="F1146" s="9"/>
      <c r="G1146" s="7">
        <v>48376.639999999999</v>
      </c>
      <c r="H1146" s="2" t="s">
        <v>24</v>
      </c>
      <c r="I1146" s="1" t="s">
        <v>24</v>
      </c>
    </row>
    <row r="1147" spans="1:9" x14ac:dyDescent="0.3">
      <c r="A1147" s="18">
        <v>1146</v>
      </c>
      <c r="B1147" s="5" t="s">
        <v>39</v>
      </c>
      <c r="C1147" s="6">
        <v>45877</v>
      </c>
      <c r="D1147" s="6" t="s">
        <v>258</v>
      </c>
      <c r="E1147" s="8">
        <v>5.9</v>
      </c>
      <c r="F1147" s="9"/>
      <c r="G1147" s="7">
        <v>48370.74</v>
      </c>
      <c r="H1147" s="2" t="s">
        <v>24</v>
      </c>
      <c r="I1147" s="1" t="s">
        <v>24</v>
      </c>
    </row>
    <row r="1148" spans="1:9" x14ac:dyDescent="0.3">
      <c r="A1148" s="153">
        <v>1147</v>
      </c>
      <c r="B1148" s="154" t="s">
        <v>48</v>
      </c>
      <c r="C1148" s="155">
        <v>45877</v>
      </c>
      <c r="D1148" s="36" t="s">
        <v>271</v>
      </c>
      <c r="E1148" s="156"/>
      <c r="F1148" s="156">
        <v>45000</v>
      </c>
      <c r="G1148" s="157">
        <v>93370.74</v>
      </c>
      <c r="H1148" s="159" t="s">
        <v>21</v>
      </c>
      <c r="I1148" s="158" t="s">
        <v>8</v>
      </c>
    </row>
    <row r="1149" spans="1:9" x14ac:dyDescent="0.3">
      <c r="A1149" s="18">
        <v>1148</v>
      </c>
      <c r="B1149" s="5" t="s">
        <v>39</v>
      </c>
      <c r="C1149" s="6">
        <v>45877</v>
      </c>
      <c r="D1149" s="6" t="s">
        <v>258</v>
      </c>
      <c r="E1149" s="8">
        <v>141.6</v>
      </c>
      <c r="F1149" s="9"/>
      <c r="G1149" s="7">
        <v>93229.14</v>
      </c>
      <c r="H1149" s="2" t="s">
        <v>24</v>
      </c>
      <c r="I1149" s="1" t="s">
        <v>24</v>
      </c>
    </row>
    <row r="1150" spans="1:9" x14ac:dyDescent="0.3">
      <c r="A1150" s="18">
        <v>1149</v>
      </c>
      <c r="B1150" s="120" t="s">
        <v>41</v>
      </c>
      <c r="C1150" s="121">
        <v>45877</v>
      </c>
      <c r="D1150" s="20" t="s">
        <v>230</v>
      </c>
      <c r="E1150" s="122"/>
      <c r="F1150" s="122">
        <v>452900</v>
      </c>
      <c r="G1150" s="123">
        <v>546129.14</v>
      </c>
      <c r="H1150" s="125" t="s">
        <v>5</v>
      </c>
      <c r="I1150" s="124" t="s">
        <v>5</v>
      </c>
    </row>
    <row r="1151" spans="1:9" x14ac:dyDescent="0.3">
      <c r="A1151" s="153">
        <v>1150</v>
      </c>
      <c r="B1151" s="35" t="s">
        <v>48</v>
      </c>
      <c r="C1151" s="155">
        <v>45877</v>
      </c>
      <c r="D1151" s="36" t="s">
        <v>270</v>
      </c>
      <c r="E1151" s="156">
        <v>300000</v>
      </c>
      <c r="F1151" s="156"/>
      <c r="G1151" s="157">
        <v>246129.14</v>
      </c>
      <c r="H1151" s="159" t="s">
        <v>25</v>
      </c>
      <c r="I1151" s="158" t="s">
        <v>25</v>
      </c>
    </row>
    <row r="1152" spans="1:9" x14ac:dyDescent="0.3">
      <c r="A1152" s="18">
        <v>1151</v>
      </c>
      <c r="B1152" s="120" t="s">
        <v>41</v>
      </c>
      <c r="C1152" s="121">
        <v>45877</v>
      </c>
      <c r="D1152" s="121" t="s">
        <v>220</v>
      </c>
      <c r="E1152" s="122">
        <v>198900</v>
      </c>
      <c r="F1152" s="122"/>
      <c r="G1152" s="123">
        <v>47229.14</v>
      </c>
      <c r="H1152" s="125" t="s">
        <v>25</v>
      </c>
      <c r="I1152" s="124" t="s">
        <v>25</v>
      </c>
    </row>
  </sheetData>
  <autoFilter ref="A1:J1152" xr:uid="{17FCB039-7093-4739-9D6C-55CD4E82B0ED}">
    <sortState xmlns:xlrd2="http://schemas.microsoft.com/office/spreadsheetml/2017/richdata2" ref="A2:J1152">
      <sortCondition ref="A1:A11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CF7B-EA9F-4366-8C29-78A5143F9137}">
  <dimension ref="A1:S98"/>
  <sheetViews>
    <sheetView tabSelected="1" topLeftCell="G1" zoomScaleNormal="100" workbookViewId="0">
      <selection activeCell="I14" sqref="I14"/>
    </sheetView>
  </sheetViews>
  <sheetFormatPr defaultRowHeight="14.4" x14ac:dyDescent="0.3"/>
  <cols>
    <col min="1" max="1" width="43.88671875" style="4" bestFit="1" customWidth="1"/>
    <col min="2" max="2" width="14" style="4" bestFit="1" customWidth="1"/>
    <col min="3" max="5" width="13.109375" style="4" bestFit="1" customWidth="1"/>
    <col min="6" max="7" width="14" style="4" bestFit="1" customWidth="1"/>
    <col min="8" max="8" width="14.6640625" style="4" bestFit="1" customWidth="1"/>
    <col min="9" max="9" width="18" style="4" customWidth="1"/>
    <col min="10" max="10" width="5.44140625" customWidth="1"/>
    <col min="11" max="11" width="7.88671875" bestFit="1" customWidth="1"/>
    <col min="12" max="12" width="26.88671875" bestFit="1" customWidth="1"/>
    <col min="13" max="13" width="14.6640625" style="58" bestFit="1" customWidth="1"/>
    <col min="14" max="14" width="10.6640625" style="53" bestFit="1" customWidth="1"/>
    <col min="15" max="15" width="4.44140625" customWidth="1"/>
    <col min="16" max="16" width="7.88671875" bestFit="1" customWidth="1"/>
    <col min="17" max="17" width="36.33203125" bestFit="1" customWidth="1"/>
    <col min="18" max="18" width="11.33203125" bestFit="1" customWidth="1"/>
    <col min="19" max="19" width="12.33203125" bestFit="1" customWidth="1"/>
    <col min="20" max="20" width="5.44140625" customWidth="1"/>
  </cols>
  <sheetData>
    <row r="1" spans="1:19" x14ac:dyDescent="0.3">
      <c r="A1" s="55" t="s">
        <v>55</v>
      </c>
      <c r="B1" s="56" t="s">
        <v>56</v>
      </c>
      <c r="C1" s="55" t="s">
        <v>57</v>
      </c>
      <c r="D1" s="55" t="s">
        <v>58</v>
      </c>
      <c r="E1" s="55" t="s">
        <v>59</v>
      </c>
      <c r="F1" s="55" t="s">
        <v>60</v>
      </c>
      <c r="G1" s="57" t="s">
        <v>61</v>
      </c>
      <c r="H1" s="55" t="s">
        <v>62</v>
      </c>
      <c r="I1"/>
      <c r="M1" s="170"/>
      <c r="N1" s="170"/>
    </row>
    <row r="2" spans="1:19" x14ac:dyDescent="0.3">
      <c r="A2" s="59"/>
      <c r="B2" s="60">
        <v>45689</v>
      </c>
      <c r="C2" s="61">
        <f>EDATE(Table5106[[#This Row],[M1]],1)</f>
        <v>45717</v>
      </c>
      <c r="D2" s="61">
        <f>EDATE(Table5106[[#This Row],[M2]],1)</f>
        <v>45748</v>
      </c>
      <c r="E2" s="61">
        <f>EDATE(Table5106[[#This Row],[M3]],1)</f>
        <v>45778</v>
      </c>
      <c r="F2" s="61">
        <f>EDATE(Table5106[[#This Row],[M4]],1)</f>
        <v>45809</v>
      </c>
      <c r="G2" s="61">
        <f>EDATE(Table5106[[#This Row],[M5]],1)</f>
        <v>45839</v>
      </c>
      <c r="H2"/>
      <c r="I2"/>
      <c r="K2" s="171"/>
      <c r="L2" s="171"/>
      <c r="M2" s="171"/>
      <c r="N2" s="171"/>
      <c r="P2" s="172"/>
      <c r="Q2" s="172"/>
      <c r="R2" s="172"/>
      <c r="S2" s="172"/>
    </row>
    <row r="3" spans="1:19" x14ac:dyDescent="0.3">
      <c r="A3" s="62" t="s">
        <v>63</v>
      </c>
      <c r="B3" s="63">
        <f t="shared" ref="B3:G3" si="0">B44</f>
        <v>106630.37749999996</v>
      </c>
      <c r="C3" s="63">
        <f t="shared" si="0"/>
        <v>94706.595806451616</v>
      </c>
      <c r="D3" s="63">
        <f t="shared" si="0"/>
        <v>183782.62666666668</v>
      </c>
      <c r="E3" s="63">
        <f t="shared" si="0"/>
        <v>270815.78806451603</v>
      </c>
      <c r="F3" s="63">
        <f t="shared" si="0"/>
        <v>830276.67333333346</v>
      </c>
      <c r="G3" s="63">
        <f t="shared" si="0"/>
        <v>569009.87354838708</v>
      </c>
      <c r="H3"/>
      <c r="I3"/>
      <c r="K3" t="s">
        <v>64</v>
      </c>
      <c r="L3" t="s">
        <v>65</v>
      </c>
      <c r="M3" s="64" t="s">
        <v>66</v>
      </c>
      <c r="N3" s="65" t="s">
        <v>67</v>
      </c>
      <c r="P3" s="66" t="s">
        <v>64</v>
      </c>
      <c r="Q3" s="67" t="s">
        <v>68</v>
      </c>
      <c r="R3" s="68" t="s">
        <v>66</v>
      </c>
      <c r="S3" s="69" t="s">
        <v>69</v>
      </c>
    </row>
    <row r="4" spans="1:19" x14ac:dyDescent="0.3">
      <c r="A4" s="62" t="s">
        <v>70</v>
      </c>
      <c r="B4" s="70">
        <f>SUMIFS(SRT!$F:$F, SRT!$B:$B, "BT",SRT!$C:$C, "&lt;=" &amp; EOMONTH(B2, 0), SRT!$C:$C, "&gt;" &amp; EOMONTH(B2, -1))</f>
        <v>7324946</v>
      </c>
      <c r="C4" s="70">
        <f>SUMIFS(SRT!$F:$F, SRT!$B:$B, "BT",SRT!$C:$C, "&lt;=" &amp; EOMONTH(C2, 0), SRT!$C:$C, "&gt;" &amp; EOMONTH(C2, -1))</f>
        <v>4125698</v>
      </c>
      <c r="D4" s="70">
        <f>SUMIFS(SRT!$F:$F, SRT!$B:$B, "BT",SRT!$C:$C, "&lt;=" &amp; EOMONTH(D2, 0), SRT!$C:$C, "&gt;" &amp; EOMONTH(D2, -1))</f>
        <v>3052181</v>
      </c>
      <c r="E4" s="70">
        <f>SUMIFS(SRT!$F:$F, SRT!$B:$B, "BT",SRT!$C:$C, "&lt;=" &amp; EOMONTH(E2, 0), SRT!$C:$C, "&gt;" &amp; EOMONTH(E2, -1))</f>
        <v>7921462</v>
      </c>
      <c r="F4" s="70">
        <f>SUMIFS(SRT!$F:$F, SRT!$B:$B, "BT",SRT!$C:$C, "&lt;=" &amp; EOMONTH(F2, 0), SRT!$C:$C, "&gt;" &amp; EOMONTH(F2, -1))</f>
        <v>6325909</v>
      </c>
      <c r="G4" s="71">
        <f>SUMIFS(SRT!$F:$F, SRT!$B:$B, "BT",SRT!$C:$C, "&lt;=" &amp; EOMONTH(G2, 0), SRT!$C:$C, "&gt;" &amp; EOMONTH(G2, -1))</f>
        <v>12649619</v>
      </c>
      <c r="H4"/>
      <c r="I4"/>
      <c r="K4">
        <v>1</v>
      </c>
      <c r="L4" t="s">
        <v>71</v>
      </c>
      <c r="M4" s="72">
        <f>COUNTIF(B4:G4,"&gt;0")</f>
        <v>6</v>
      </c>
      <c r="N4" s="73"/>
      <c r="P4" s="74"/>
      <c r="Q4" s="74" t="s">
        <v>72</v>
      </c>
      <c r="R4" s="74"/>
      <c r="S4" s="74"/>
    </row>
    <row r="5" spans="1:19" ht="15" thickBot="1" x14ac:dyDescent="0.35">
      <c r="A5" s="62" t="s">
        <v>73</v>
      </c>
      <c r="B5" s="70">
        <f>SUMIFS(SRT!$E:$E, SRT!$B:$B, "BT",SRT!$C:$C, "&lt;=" &amp; EOMONTH(B2, 0), SRT!$C:$C, "&gt;" &amp; EOMONTH(B2, -1))</f>
        <v>10697782.449999999</v>
      </c>
      <c r="C5" s="70">
        <f>SUMIFS(SRT!$E:$E, SRT!$B:$B, "BT",SRT!$C:$C, "&lt;=" &amp; EOMONTH(C2, 0), SRT!$C:$C, "&gt;" &amp; EOMONTH(C2, -1))</f>
        <v>7789309.1399999997</v>
      </c>
      <c r="D5" s="70">
        <f>SUMIFS(SRT!$E:$E, SRT!$B:$B, "BT",SRT!$C:$C, "&lt;=" &amp; EOMONTH(D2, 0), SRT!$C:$C, "&gt;" &amp; EOMONTH(D2, -1))</f>
        <v>5640758.1399999997</v>
      </c>
      <c r="E5" s="70">
        <f>SUMIFS(SRT!$E:$E, SRT!$B:$B, "BT",SRT!$C:$C, "&lt;=" &amp; EOMONTH(E2, 0), SRT!$C:$C, "&gt;" &amp; EOMONTH(E2, -1))</f>
        <v>6468519.0799999991</v>
      </c>
      <c r="F5" s="70">
        <f>SUMIFS(SRT!$E:$E, SRT!$B:$B, "BT",SRT!$C:$C, "&lt;=" &amp; EOMONTH(F2, 0), SRT!$C:$C, "&gt;" &amp; EOMONTH(F2, -1))</f>
        <v>8397521.5800000001</v>
      </c>
      <c r="G5" s="70">
        <f>SUMIFS(SRT!$E:$E, SRT!$B:$B, "BT",SRT!$C:$C, "&lt;=" &amp; EOMONTH(G2, 0), SRT!$C:$C, "&gt;" &amp; EOMONTH(G2, -1))</f>
        <v>6158951</v>
      </c>
      <c r="H5"/>
      <c r="I5"/>
      <c r="K5">
        <v>2</v>
      </c>
      <c r="L5" t="s">
        <v>74</v>
      </c>
      <c r="M5" s="58">
        <f>SUM(B3:G3)/COUNTIF(B3:G3,"&lt;&gt;0")</f>
        <v>342536.98915322585</v>
      </c>
      <c r="N5" s="73"/>
      <c r="P5" s="4">
        <v>1</v>
      </c>
      <c r="Q5" s="62" t="s">
        <v>75</v>
      </c>
      <c r="R5" s="70">
        <f>ABS(M6)/M9</f>
        <v>0</v>
      </c>
      <c r="S5" s="64">
        <f>IF(R5=0,0,
IF(R5&lt;1,5,
IF(R5&lt;=1.5,4,
IF(R5&lt;=2,3,
IF(R5&lt;=2.5,2,
IF(R5&lt;=3,1,
IF(R5&lt;=4,0,
IF(R5&lt;=5,-2,
IF(R5&lt;=6,-3,-5)))))))))</f>
        <v>0</v>
      </c>
    </row>
    <row r="6" spans="1:19" ht="15" thickBot="1" x14ac:dyDescent="0.35">
      <c r="A6" s="75" t="s">
        <v>76</v>
      </c>
      <c r="B6" s="70">
        <f>SUMIFS(SRT!$E:$E, SRT!$B:$B, "EXP",SRT!$C:$C, "&lt;=" &amp; EOMONTH(B2, 0), SRT!$C:$C, "&gt;" &amp; EOMONTH(B2, -1))</f>
        <v>39493.749999999993</v>
      </c>
      <c r="C6" s="70">
        <f>SUMIFS(SRT!$E:$E, SRT!$B:$B, "EXP",SRT!$C:$C, "&lt;=" &amp; EOMONTH(C2, 0), SRT!$C:$C, "&gt;" &amp; EOMONTH(C2, -1))</f>
        <v>33242.200000000004</v>
      </c>
      <c r="D6" s="70">
        <f>SUMIFS(SRT!$E:$E, SRT!$B:$B, "EXP",SRT!$C:$C, "&lt;=" &amp; EOMONTH(D2, 0), SRT!$C:$C, "&gt;" &amp; EOMONTH(D2, -1))</f>
        <v>77519.199999999968</v>
      </c>
      <c r="E6" s="70">
        <f>SUMIFS(SRT!$E:$E, SRT!$B:$B, "EXP",SRT!$C:$C, "&lt;=" &amp; EOMONTH(E2, 0), SRT!$C:$C, "&gt;" &amp; EOMONTH(E2, -1))</f>
        <v>196233.91999999998</v>
      </c>
      <c r="F6" s="70">
        <f>SUMIFS(SRT!$E:$E, SRT!$B:$B, "EXP",SRT!$C:$C, "&lt;=" &amp; EOMONTH(F2, 0), SRT!$C:$C, "&gt;" &amp; EOMONTH(F2, -1))</f>
        <v>102637.21999999997</v>
      </c>
      <c r="G6" s="70">
        <f>SUMIFS(SRT!$E:$E, SRT!$B:$B, "EXP",SRT!$C:$C, "&lt;=" &amp; EOMONTH(G2, 0), SRT!$C:$C, "&gt;" &amp; EOMONTH(G2, -1))</f>
        <v>152933.00000000003</v>
      </c>
      <c r="H6"/>
      <c r="I6"/>
      <c r="K6">
        <v>3</v>
      </c>
      <c r="L6" t="s">
        <v>77</v>
      </c>
      <c r="M6" s="76">
        <v>0</v>
      </c>
      <c r="N6" s="73"/>
      <c r="P6" s="4">
        <v>2</v>
      </c>
      <c r="Q6" s="62" t="s">
        <v>78</v>
      </c>
      <c r="R6" s="70" t="str">
        <f>IF( OR(M6=0, M5&gt;0), "", ABS(M5/M6) )</f>
        <v/>
      </c>
      <c r="S6" s="64"/>
    </row>
    <row r="7" spans="1:19" x14ac:dyDescent="0.3">
      <c r="A7" s="77" t="s">
        <v>79</v>
      </c>
      <c r="B7" s="70"/>
      <c r="C7" s="70"/>
      <c r="D7" s="70"/>
      <c r="E7" s="70"/>
      <c r="F7" s="70"/>
      <c r="G7" s="70"/>
      <c r="H7"/>
      <c r="I7"/>
      <c r="K7">
        <v>4</v>
      </c>
      <c r="L7" t="s">
        <v>80</v>
      </c>
      <c r="M7" s="58">
        <f>M5-M6</f>
        <v>342536.98915322585</v>
      </c>
      <c r="N7" s="73"/>
      <c r="P7" s="4">
        <v>3</v>
      </c>
      <c r="Q7" s="78" t="s">
        <v>81</v>
      </c>
      <c r="R7" s="52">
        <f>(M9/30)/M7</f>
        <v>0.67145733017270615</v>
      </c>
      <c r="S7" s="64">
        <f>IF(R7&lt;0,-3, IF(R7&lt;0.2,5, IF(R7&lt;0.4,4, IF(R7&lt;0.6,3, IF(R7&lt;0.8,2, IF(R7&lt;1.2,1,-1))))))</f>
        <v>2</v>
      </c>
    </row>
    <row r="8" spans="1:19" x14ac:dyDescent="0.3">
      <c r="A8" s="77" t="s">
        <v>82</v>
      </c>
      <c r="B8" s="70"/>
      <c r="C8" s="70"/>
      <c r="D8" s="70"/>
      <c r="E8" s="70"/>
      <c r="F8" s="70"/>
      <c r="G8" s="70"/>
      <c r="H8"/>
      <c r="I8"/>
      <c r="K8" s="79"/>
      <c r="L8" s="74" t="s">
        <v>72</v>
      </c>
      <c r="M8" s="80"/>
      <c r="N8" s="81"/>
      <c r="P8" s="4">
        <v>4</v>
      </c>
      <c r="Q8" s="62" t="s">
        <v>83</v>
      </c>
      <c r="R8" s="70">
        <f>_xlfn.STDEV.S($B$4:$G$4)/(SUM($B$4:$G$4)/M4)</f>
        <v>0.48982349578243556</v>
      </c>
      <c r="S8" s="64">
        <f>IF(R8&lt;=0.5, 0, IF(R8&lt;=0.8, -1, IF(R8&lt;=1, -2, -3)))</f>
        <v>0</v>
      </c>
    </row>
    <row r="9" spans="1:19" x14ac:dyDescent="0.3">
      <c r="A9" s="77" t="s">
        <v>84</v>
      </c>
      <c r="B9" s="82">
        <f>SUMIFS(SRT!$F:$F, SRT!$B:$B, "ZIH",SRT!$C:$C, "&lt;=" &amp; EOMONTH(B2, 0), SRT!$C:$C, "&gt;" &amp; EOMONTH(B2, -1))</f>
        <v>3883445</v>
      </c>
      <c r="C9" s="82">
        <f>SUMIFS(SRT!$F:$F, SRT!$B:$B, "ZIH",SRT!$C:$C, "&lt;=" &amp; EOMONTH(C2, 0), SRT!$C:$C, "&gt;" &amp; EOMONTH(C2, -1))</f>
        <v>4167495</v>
      </c>
      <c r="D9" s="82">
        <f>SUMIFS(SRT!$F:$F, SRT!$B:$B, "ZIH",SRT!$C:$C, "&lt;=" &amp; EOMONTH(D2, 0), SRT!$C:$C, "&gt;" &amp; EOMONTH(D2, -1))</f>
        <v>3726308</v>
      </c>
      <c r="E9" s="82">
        <f>SUMIFS(SRT!$F:$F, SRT!$B:$B, "ZIH",SRT!$C:$C, "&lt;=" &amp; EOMONTH(E2, 0), SRT!$C:$C, "&gt;" &amp; EOMONTH(E2, -1))</f>
        <v>180000</v>
      </c>
      <c r="F9" s="82">
        <f>SUMIFS(SRT!$F:$F, SRT!$B:$B, "ZIH",SRT!$C:$C, "&lt;=" &amp; EOMONTH(F2, 0), SRT!$C:$C, "&gt;" &amp; EOMONTH(F2, -1))</f>
        <v>3693389</v>
      </c>
      <c r="G9" s="82">
        <f>SUMIFS(SRT!$F:$F, SRT!$B:$B, "ZIH",SRT!$C:$C, "&lt;=" &amp; EOMONTH(G2, 0), SRT!$C:$C, "&gt;" &amp; EOMONTH(G2, -1))</f>
        <v>3035285</v>
      </c>
      <c r="H9"/>
      <c r="I9"/>
      <c r="K9">
        <v>5</v>
      </c>
      <c r="L9" t="s">
        <v>70</v>
      </c>
      <c r="M9" s="58">
        <f>SUM($B$4:$G$4)*$M$43/$M$4</f>
        <v>6899969.166666667</v>
      </c>
      <c r="N9" s="83">
        <f>SUM($B$4:$G$4)*$M$43</f>
        <v>41399815</v>
      </c>
      <c r="P9" s="4">
        <v>5</v>
      </c>
      <c r="Q9" s="62" t="s">
        <v>85</v>
      </c>
      <c r="R9" s="70">
        <f>_xlfn.STDEV.S($B$5:$G$5)/(SUM($B$5:$G$5)/M4)</f>
        <v>0.24810396980156008</v>
      </c>
      <c r="S9" s="64"/>
    </row>
    <row r="10" spans="1:19" x14ac:dyDescent="0.3">
      <c r="A10" s="77" t="s">
        <v>86</v>
      </c>
      <c r="B10" s="82">
        <f>SUMIFS(SRT!$E:$E, SRT!$B:$B, "ZIH",SRT!$C:$C, "&lt;=" &amp; EOMONTH(B2, 0), SRT!$C:$C, "&gt;" &amp; EOMONTH(B2, -1))</f>
        <v>190000</v>
      </c>
      <c r="C10" s="82">
        <f>SUMIFS(SRT!$E:$E, SRT!$B:$B, "ZIH",SRT!$C:$C, "&lt;=" &amp; EOMONTH(C2, 0), SRT!$C:$C, "&gt;" &amp; EOMONTH(C2, -1))</f>
        <v>450200</v>
      </c>
      <c r="D10" s="82">
        <f>SUMIFS(SRT!$E:$E, SRT!$B:$B, "ZIH",SRT!$C:$C, "&lt;=" &amp; EOMONTH(D2, 0), SRT!$C:$C, "&gt;" &amp; EOMONTH(D2, -1))</f>
        <v>889000</v>
      </c>
      <c r="E10" s="82">
        <f>SUMIFS(SRT!$E:$E, SRT!$B:$B, "ZIH",SRT!$C:$C, "&lt;=" &amp; EOMONTH(E2, 0), SRT!$C:$C, "&gt;" &amp; EOMONTH(E2, -1))</f>
        <v>6281551</v>
      </c>
      <c r="F10" s="82">
        <f>SUMIFS(SRT!$E:$E, SRT!$B:$B, "ZIH",SRT!$C:$C, "&lt;=" &amp; EOMONTH(F2, 0), SRT!$C:$C, "&gt;" &amp; EOMONTH(F2, -1))</f>
        <v>10141654</v>
      </c>
      <c r="G10" s="82">
        <f>SUMIFS(SRT!$E:$E, SRT!$B:$B, "ZIH",SRT!$C:$C, "&lt;=" &amp; EOMONTH(G2, 0), SRT!$C:$C, "&gt;" &amp; EOMONTH(G2, -1))</f>
        <v>12008174</v>
      </c>
      <c r="H10"/>
      <c r="I10"/>
      <c r="K10">
        <v>6</v>
      </c>
      <c r="L10" t="s">
        <v>73</v>
      </c>
      <c r="M10" s="58">
        <f>SUM($B$5:$G$5)*M43/$M$4</f>
        <v>7525473.5650000004</v>
      </c>
      <c r="N10" s="83">
        <f>SUM($B$5:$G$5)*M43</f>
        <v>45152841.390000001</v>
      </c>
      <c r="P10" s="4">
        <v>6</v>
      </c>
      <c r="Q10" s="84" t="s">
        <v>87</v>
      </c>
      <c r="R10" s="52">
        <f>(M35-M36)/M9</f>
        <v>-0.27233592710498822</v>
      </c>
      <c r="S10" s="64"/>
    </row>
    <row r="11" spans="1:19" x14ac:dyDescent="0.3">
      <c r="A11" s="85" t="s">
        <v>88</v>
      </c>
      <c r="B11" s="82">
        <f>SUMIFS(SRT!$F:$F, SRT!$B:$B, "DBT",SRT!$C:$C, "&lt;=" &amp; EOMONTH(B2, 0), SRT!$C:$C, "&gt;" &amp; EOMONTH(B2, -1))</f>
        <v>0</v>
      </c>
      <c r="C11" s="82">
        <f>SUMIFS(SRT!$F:$F, SRT!$B:$B, "DBT",SRT!$C:$C, "&lt;=" &amp; EOMONTH(C2, 0), SRT!$C:$C, "&gt;" &amp; EOMONTH(C2, -1))</f>
        <v>0</v>
      </c>
      <c r="D11" s="82">
        <f>SUMIFS(SRT!$F:$F, SRT!$B:$B, "DBT",SRT!$C:$C, "&lt;=" &amp; EOMONTH(D2, 0), SRT!$C:$C, "&gt;" &amp; EOMONTH(D2, -1))</f>
        <v>0</v>
      </c>
      <c r="E11" s="82">
        <f>SUMIFS(SRT!$F:$F, SRT!$B:$B, "DBT",SRT!$C:$C, "&lt;=" &amp; EOMONTH(E2, 0), SRT!$C:$C, "&gt;" &amp; EOMONTH(E2, -1))</f>
        <v>0</v>
      </c>
      <c r="F11" s="82">
        <f>SUMIFS(SRT!$F:$F, SRT!$B:$B, "DBT",SRT!$C:$C, "&lt;=" &amp; EOMONTH(F2, 0), SRT!$C:$C, "&gt;" &amp; EOMONTH(F2, -1))</f>
        <v>0</v>
      </c>
      <c r="G11" s="82">
        <f>SUMIFS(SRT!$F:$F, SRT!$B:$B, "DBT",SRT!$C:$C, "&lt;=" &amp; EOMONTH(G2, 0), SRT!$C:$C, "&gt;" &amp; EOMONTH(G2, -1))</f>
        <v>600000</v>
      </c>
      <c r="H11"/>
      <c r="I11"/>
      <c r="K11" s="79"/>
      <c r="L11" s="74" t="s">
        <v>89</v>
      </c>
      <c r="M11" s="86"/>
      <c r="N11" s="81"/>
      <c r="P11" s="4">
        <v>7</v>
      </c>
      <c r="Q11" s="87" t="s">
        <v>90</v>
      </c>
      <c r="R11" s="88">
        <f>M33/(M9*$M$4)</f>
        <v>0</v>
      </c>
      <c r="S11" s="89">
        <f>IF(R11&lt;0.1,2, IF(R11&lt;0.2,-1,-2))</f>
        <v>2</v>
      </c>
    </row>
    <row r="12" spans="1:19" x14ac:dyDescent="0.3">
      <c r="A12" s="85" t="s">
        <v>91</v>
      </c>
      <c r="B12" s="82">
        <f>SUMIFS(SRT!$E:$E, SRT!$B:$B, "DBT",SRT!$C:$C, "&lt;=" &amp; EOMONTH(B2, 0), SRT!$C:$C, "&gt;" &amp; EOMONTH(B2, -1))</f>
        <v>0</v>
      </c>
      <c r="C12" s="82">
        <f>SUMIFS(SRT!$E:$E, SRT!$B:$B, "DBT",SRT!$C:$C, "&lt;=" &amp; EOMONTH(C2, 0), SRT!$C:$C, "&gt;" &amp; EOMONTH(C2, -1))</f>
        <v>0</v>
      </c>
      <c r="D12" s="82">
        <f>SUMIFS(SRT!$E:$E, SRT!$B:$B, "DBT",SRT!$C:$C, "&lt;=" &amp; EOMONTH(D2, 0), SRT!$C:$C, "&gt;" &amp; EOMONTH(D2, -1))</f>
        <v>0</v>
      </c>
      <c r="E12" s="82">
        <f>SUMIFS(SRT!$E:$E, SRT!$B:$B, "DBT",SRT!$C:$C, "&lt;=" &amp; EOMONTH(E2, 0), SRT!$C:$C, "&gt;" &amp; EOMONTH(E2, -1))</f>
        <v>0</v>
      </c>
      <c r="F12" s="82">
        <f>SUMIFS(SRT!$E:$E, SRT!$B:$B, "DBT",SRT!$C:$C, "&lt;=" &amp; EOMONTH(F2, 0), SRT!$C:$C, "&gt;" &amp; EOMONTH(F2, -1))</f>
        <v>0</v>
      </c>
      <c r="G12" s="82">
        <f>SUMIFS(SRT!$E:$E, SRT!$B:$B, "DBT",SRT!$C:$C, "&lt;=" &amp; EOMONTH(G2, 0), SRT!$C:$C, "&gt;" &amp; EOMONTH(G2, -1))</f>
        <v>65000</v>
      </c>
      <c r="H12"/>
      <c r="I12"/>
      <c r="K12">
        <v>7</v>
      </c>
      <c r="L12" t="s">
        <v>92</v>
      </c>
      <c r="M12" s="58">
        <f>SUM(B13:G13)/M4</f>
        <v>102281</v>
      </c>
      <c r="N12" s="73">
        <f>SUM(B13:G13)</f>
        <v>613686</v>
      </c>
      <c r="P12" s="4">
        <v>8</v>
      </c>
      <c r="Q12" s="62" t="s">
        <v>93</v>
      </c>
      <c r="R12" s="70">
        <f>(SUM(B4:D4)/COUNTIF(B4:D4,"&gt;0"))/(SUM(E4:G4)/COUNTIF(E4:G4,"&gt;0"))</f>
        <v>0.53919880997836556</v>
      </c>
      <c r="S12" s="64">
        <f>IF(R12&lt;0.5,5,
   IF(R12&lt;=0.7,5,
   IF(R12&lt;=0.8,4,
   IF(R12&lt;=1.1,3,
   IF(R12&lt;=1.2,2,
   IF(R12&lt;=1.4,-1,
   IF(R12&lt;=1.6,-2,
   IF(R12&lt;=1.8,-3,-5))))))))</f>
        <v>5</v>
      </c>
    </row>
    <row r="13" spans="1:19" x14ac:dyDescent="0.3">
      <c r="A13" s="62" t="s">
        <v>94</v>
      </c>
      <c r="B13" s="70">
        <f>SUMIFS(SRT!$E:$E,SRT!$B:$B,"ecs",SRT!$C:$C,"&lt;="&amp;EOMONTH(B2,0),SRT!$C:$C,"&gt;"&amp;EOMONTH(B2,-1),SRT!$D:$D,"&lt;&gt;*RTN*")</f>
        <v>67200</v>
      </c>
      <c r="C13" s="70">
        <f>SUMIFS(SRT!$E:$E,SRT!$B:$B,"ecs",SRT!$C:$C,"&lt;="&amp;EOMONTH(C2,0),SRT!$C:$C,"&gt;"&amp;EOMONTH(C2,-1),SRT!$D:$D,"&lt;&gt;*RTN*")</f>
        <v>149620</v>
      </c>
      <c r="D13" s="70">
        <f>SUMIFS(SRT!$E:$E,SRT!$B:$B,"ecs",SRT!$C:$C,"&lt;="&amp;EOMONTH(D2,0),SRT!$C:$C,"&gt;"&amp;EOMONTH(D2,-1),SRT!$D:$D,"&lt;&gt;*RTN*")</f>
        <v>74496</v>
      </c>
      <c r="E13" s="70">
        <f>SUMIFS(SRT!$E:$E,SRT!$B:$B,"ecs",SRT!$C:$C,"&lt;="&amp;EOMONTH(E2,0),SRT!$C:$C,"&gt;"&amp;EOMONTH(E2,-1),SRT!$D:$D,"&lt;&gt;*RTN*")</f>
        <v>74496</v>
      </c>
      <c r="F13" s="70">
        <f>SUMIFS(SRT!$E:$E,SRT!$B:$B,"ecs",SRT!$C:$C,"&lt;="&amp;EOMONTH(F2,0),SRT!$C:$C,"&gt;"&amp;EOMONTH(F2,-1),SRT!$D:$D,"&lt;&gt;*RTN*")</f>
        <v>116437</v>
      </c>
      <c r="G13" s="70">
        <f>SUMIFS(SRT!$E:$E,SRT!$B:$B,"ecs",SRT!$C:$C,"&lt;="&amp;EOMONTH(G2,0),SRT!$C:$C,"&gt;"&amp;EOMONTH(G2,-1),SRT!$D:$D,"&lt;&gt;*RTN*")</f>
        <v>131437</v>
      </c>
      <c r="H13"/>
      <c r="I13"/>
      <c r="K13">
        <v>8</v>
      </c>
      <c r="L13" t="s">
        <v>95</v>
      </c>
      <c r="M13" s="58">
        <f>SUM(B14:G14)/M4</f>
        <v>985833.33333333337</v>
      </c>
      <c r="N13" s="73">
        <f>SUM(B14:G14)</f>
        <v>5915000</v>
      </c>
      <c r="P13" s="4">
        <v>9</v>
      </c>
      <c r="Q13" s="62" t="s">
        <v>96</v>
      </c>
      <c r="R13" s="70">
        <f>(SUM(B5:D5)/COUNTIF(B5:D5,"&gt;0"))/(SUM(E5:G5)/COUNTIF(E5:G5,"&gt;0"))</f>
        <v>1.1475795149019337</v>
      </c>
      <c r="S13" s="64">
        <f>IF(R13&lt;0.5,5,
   IF(R13&lt;=0.7,5,
   IF(R13&lt;=0.8,4,
   IF(R13&lt;=1.1,3,
   IF(R13&lt;=1.2,2,
   IF(R13&lt;=1.4,-1,
   IF(R13&lt;=1.6,-2,
   IF(R13&lt;=1.8,-3,-5))))))))</f>
        <v>2</v>
      </c>
    </row>
    <row r="14" spans="1:19" x14ac:dyDescent="0.3">
      <c r="A14" s="62" t="s">
        <v>97</v>
      </c>
      <c r="B14" s="70">
        <f>SUMIFS(SRT!$E:$E,SRT!$B:$B,"ecs pvt",SRT!$C:$C,"&lt;="&amp;EOMONTH(B2,0),SRT!$C:$C,"&gt;"&amp;EOMONTH(B2,-1),SRT!$D:$D,"&lt;&gt;*RTN*")</f>
        <v>0</v>
      </c>
      <c r="C14" s="70">
        <f>SUMIFS(SRT!$E:$E,SRT!$B:$B,"ecs pvt",SRT!$C:$C,"&lt;="&amp;EOMONTH(C2,0),SRT!$C:$C,"&gt;"&amp;EOMONTH(C2,-1),SRT!$D:$D,"&lt;&gt;*RTN*")</f>
        <v>0</v>
      </c>
      <c r="D14" s="70">
        <f>SUMIFS(SRT!$E:$E,SRT!$B:$B,"ecs pvt",SRT!$C:$C,"&lt;="&amp;EOMONTH(D2,0),SRT!$C:$C,"&gt;"&amp;EOMONTH(D2,-1),SRT!$D:$D,"&lt;&gt;*RTN*")</f>
        <v>0</v>
      </c>
      <c r="E14" s="70">
        <f>SUMIFS(SRT!$E:$E,SRT!$B:$B,"ecs pvt",SRT!$C:$C,"&lt;="&amp;EOMONTH(E2,0),SRT!$C:$C,"&gt;"&amp;EOMONTH(E2,-1),SRT!$D:$D,"&lt;&gt;*RTN*")</f>
        <v>500000</v>
      </c>
      <c r="F14" s="70">
        <f>SUMIFS(SRT!$E:$E,SRT!$B:$B,"ecs pvt",SRT!$C:$C,"&lt;="&amp;EOMONTH(F2,0),SRT!$C:$C,"&gt;"&amp;EOMONTH(F2,-1),SRT!$D:$D,"&lt;&gt;*RTN*")</f>
        <v>1600000</v>
      </c>
      <c r="G14" s="70">
        <f>SUMIFS(SRT!$E:$E,SRT!$B:$B,"ecs pvt",SRT!$C:$C,"&lt;="&amp;EOMONTH(G2,0),SRT!$C:$C,"&gt;"&amp;EOMONTH(G2,-1),SRT!$D:$D,"&lt;&gt;*RTN*")</f>
        <v>3815000</v>
      </c>
      <c r="H14"/>
      <c r="I14"/>
      <c r="K14">
        <v>9</v>
      </c>
      <c r="L14" t="s">
        <v>98</v>
      </c>
      <c r="M14" s="58">
        <f>SUM(B15:G15)/M4</f>
        <v>248062.62833333333</v>
      </c>
      <c r="N14" s="83">
        <f>SUM(B15:G15)</f>
        <v>1488375.77</v>
      </c>
      <c r="P14" s="4">
        <v>10</v>
      </c>
      <c r="Q14" s="62" t="s">
        <v>99</v>
      </c>
      <c r="R14" s="90">
        <f>SUM(B25:G25)/SUM(B4:G4)</f>
        <v>3.7954275882633774E-2</v>
      </c>
      <c r="S14" s="91"/>
    </row>
    <row r="15" spans="1:19" x14ac:dyDescent="0.3">
      <c r="A15" s="62" t="s">
        <v>98</v>
      </c>
      <c r="B15" s="70">
        <f>SUMIFS(SRT!$F:$F, SRT!$B:$B, "ecs",SRT!$C:$C, "&lt;=" &amp; EOMONTH(B2, 0), SRT!$C:$C, "&gt;" &amp; EOMONTH(B2, -1))</f>
        <v>0</v>
      </c>
      <c r="C15" s="70">
        <f>SUMIFS(SRT!$F:$F, SRT!$B:$B, "ecs",SRT!$C:$C, "&lt;=" &amp; EOMONTH(C2, 0), SRT!$C:$C, "&gt;" &amp; EOMONTH(C2, -1))</f>
        <v>25420</v>
      </c>
      <c r="D15" s="70">
        <f>SUMIFS(SRT!$F:$F, SRT!$B:$B, "ecs",SRT!$C:$C, "&lt;=" &amp; EOMONTH(D2, 0), SRT!$C:$C, "&gt;" &amp; EOMONTH(D2, -1))</f>
        <v>0</v>
      </c>
      <c r="E15" s="70">
        <f>SUMIFS(SRT!$F:$F, SRT!$B:$B, "ecs",SRT!$C:$C, "&lt;=" &amp; EOMONTH(E2, 0), SRT!$C:$C, "&gt;" &amp; EOMONTH(E2, -1))</f>
        <v>1462955.77</v>
      </c>
      <c r="F15" s="70">
        <f>SUMIFS(SRT!$F:$F, SRT!$B:$B, "ecs",SRT!$C:$C, "&lt;=" &amp; EOMONTH(F2, 0), SRT!$C:$C, "&gt;" &amp; EOMONTH(F2, -1))</f>
        <v>0</v>
      </c>
      <c r="G15" s="71">
        <f>SUMIFS(SRT!$F:$F, SRT!$B:$B, "ecs",SRT!$C:$C, "&lt;=" &amp; EOMONTH(G2, 0), SRT!$C:$C, "&gt;" &amp; EOMONTH(G2, -1))</f>
        <v>0</v>
      </c>
      <c r="H15"/>
      <c r="I15"/>
      <c r="K15">
        <v>10</v>
      </c>
      <c r="L15" t="s">
        <v>100</v>
      </c>
      <c r="M15" s="58">
        <f>SUM(B16:G16)/M4</f>
        <v>3498333.3333333335</v>
      </c>
      <c r="N15" s="73">
        <f>SUM(B16:G16)</f>
        <v>20990000</v>
      </c>
      <c r="P15" s="4">
        <v>11</v>
      </c>
      <c r="Q15" s="62" t="s">
        <v>101</v>
      </c>
      <c r="R15" s="90">
        <f>SUM(B26:G26)/SUM(B4:G4)</f>
        <v>1.2318895627915247E-3</v>
      </c>
      <c r="S15" s="91"/>
    </row>
    <row r="16" spans="1:19" x14ac:dyDescent="0.3">
      <c r="A16" s="62" t="s">
        <v>100</v>
      </c>
      <c r="B16" s="70">
        <f>SUMIFS(SRT!$F:$F, SRT!$B:$B, "ecs pvt",SRT!$C:$C, "&lt;=" &amp; EOMONTH(B2, 0), SRT!$C:$C, "&gt;" &amp; EOMONTH(B2, -1))</f>
        <v>0</v>
      </c>
      <c r="C16" s="70">
        <f>SUMIFS(SRT!$F:$F, SRT!$B:$B, "ecs pvt",SRT!$C:$C, "&lt;=" &amp; EOMONTH(C2, 0), SRT!$C:$C, "&gt;" &amp; EOMONTH(C2, -1))</f>
        <v>0</v>
      </c>
      <c r="D16" s="70">
        <f>SUMIFS(SRT!$F:$F, SRT!$B:$B, "ecs pvt",SRT!$C:$C, "&lt;=" &amp; EOMONTH(D2, 0), SRT!$C:$C, "&gt;" &amp; EOMONTH(D2, -1))</f>
        <v>0</v>
      </c>
      <c r="E16" s="70">
        <f>SUMIFS(SRT!$F:$F, SRT!$B:$B, "ecs pvt",SRT!$C:$C, "&lt;=" &amp; EOMONTH(E2, 0), SRT!$C:$C, "&gt;" &amp; EOMONTH(E2, -1))</f>
        <v>4000000</v>
      </c>
      <c r="F16" s="70">
        <f>SUMIFS(SRT!$F:$F, SRT!$B:$B, "ecs pvt",SRT!$C:$C, "&lt;=" &amp; EOMONTH(F2, 0), SRT!$C:$C, "&gt;" &amp; EOMONTH(F2, -1))</f>
        <v>11190000</v>
      </c>
      <c r="G16" s="71">
        <f>SUMIFS(SRT!$F:$F, SRT!$B:$B, "ecs pvt",SRT!$C:$C, "&lt;=" &amp; EOMONTH(G2, 0), SRT!$C:$C, "&gt;" &amp; EOMONTH(G2, -1))</f>
        <v>5800000</v>
      </c>
      <c r="H16"/>
      <c r="I16" s="92"/>
      <c r="K16" s="79"/>
      <c r="L16" s="74" t="s">
        <v>102</v>
      </c>
      <c r="M16" s="80"/>
      <c r="N16" s="81"/>
      <c r="P16" s="4">
        <v>12</v>
      </c>
      <c r="Q16" s="62" t="s">
        <v>103</v>
      </c>
      <c r="R16" s="90">
        <f>SUM(B27:G27)/SUM(B5:G5,B13:G13)</f>
        <v>0.20445215168421368</v>
      </c>
      <c r="S16" s="91">
        <f>IF(R16=0,0,
IF(R16&gt;0.3,5,
IF(R16&gt;=0.2,4,
IF(R16&gt;=0.1,3,
IF(R16&gt;=0.05,2,
IF(R16&gt;0,1,0))))))</f>
        <v>4</v>
      </c>
    </row>
    <row r="17" spans="1:19" x14ac:dyDescent="0.3">
      <c r="A17" s="93" t="s">
        <v>104</v>
      </c>
      <c r="B17" s="82">
        <f t="shared" ref="B17:G17" si="1">B9-B10</f>
        <v>3693445</v>
      </c>
      <c r="C17" s="82">
        <f t="shared" si="1"/>
        <v>3717295</v>
      </c>
      <c r="D17" s="82">
        <f t="shared" si="1"/>
        <v>2837308</v>
      </c>
      <c r="E17" s="82">
        <f t="shared" si="1"/>
        <v>-6101551</v>
      </c>
      <c r="F17" s="82">
        <f t="shared" si="1"/>
        <v>-6448265</v>
      </c>
      <c r="G17" s="82">
        <f t="shared" si="1"/>
        <v>-8972889</v>
      </c>
      <c r="H17" s="94">
        <f>SUM(Table5106[[#This Row],[M1]:[M6]])</f>
        <v>-11274657</v>
      </c>
      <c r="I17" s="95"/>
      <c r="K17">
        <v>11</v>
      </c>
      <c r="L17" t="s">
        <v>105</v>
      </c>
      <c r="M17" s="58">
        <f>SUM(B34:G34)</f>
        <v>574</v>
      </c>
      <c r="N17" s="96"/>
      <c r="P17" s="4">
        <v>13</v>
      </c>
      <c r="Q17" s="62" t="s">
        <v>106</v>
      </c>
      <c r="R17" s="90">
        <f>SUM(B39:G39)</f>
        <v>0</v>
      </c>
      <c r="S17" s="91" cm="1">
        <f t="array" ref="S17">_xlfn.IFS(
  R17=0, 0,
  AND(R17&gt;=1, R17&lt;=3), -1,
  AND(R17&gt;3, R17&lt;=5), -2,
  AND(R17&gt;5, R17&lt;=7), -3,
  AND(R17&gt;7, R17&lt;=10), -4,
  R17&gt;10, -5
)</f>
        <v>0</v>
      </c>
    </row>
    <row r="18" spans="1:19" x14ac:dyDescent="0.3">
      <c r="A18" s="97" t="s">
        <v>107</v>
      </c>
      <c r="B18" s="70">
        <f t="shared" ref="B18:G18" si="2">B4-B5-B6</f>
        <v>-3412330.1999999993</v>
      </c>
      <c r="C18" s="70">
        <f t="shared" si="2"/>
        <v>-3696853.34</v>
      </c>
      <c r="D18" s="70">
        <f t="shared" si="2"/>
        <v>-2666096.34</v>
      </c>
      <c r="E18" s="70">
        <f t="shared" si="2"/>
        <v>1256709.0000000009</v>
      </c>
      <c r="F18" s="70">
        <f t="shared" si="2"/>
        <v>-2174249.7999999998</v>
      </c>
      <c r="G18" s="70">
        <f t="shared" si="2"/>
        <v>6337735</v>
      </c>
      <c r="H18" s="58">
        <f>SUM(Table5106[[#This Row],[M1]:[M6]])</f>
        <v>-4355085.68</v>
      </c>
      <c r="I18" s="98"/>
      <c r="K18">
        <v>12</v>
      </c>
      <c r="L18" t="s">
        <v>108</v>
      </c>
      <c r="M18" s="58">
        <f>SUM(B29:G29)</f>
        <v>75</v>
      </c>
      <c r="N18" s="73"/>
      <c r="P18" s="4">
        <v>14</v>
      </c>
      <c r="Q18" s="62" t="s">
        <v>109</v>
      </c>
      <c r="R18" s="90">
        <f>M24/(M18)</f>
        <v>0</v>
      </c>
      <c r="S18" s="91"/>
    </row>
    <row r="19" spans="1:19" x14ac:dyDescent="0.3">
      <c r="A19" s="99" t="s">
        <v>110</v>
      </c>
      <c r="B19" s="70">
        <f t="shared" ref="B19:G20" si="3">(B15)-(B13)</f>
        <v>-67200</v>
      </c>
      <c r="C19" s="70">
        <f t="shared" si="3"/>
        <v>-124200</v>
      </c>
      <c r="D19" s="70">
        <f t="shared" si="3"/>
        <v>-74496</v>
      </c>
      <c r="E19" s="70">
        <f t="shared" si="3"/>
        <v>1388459.77</v>
      </c>
      <c r="F19" s="70">
        <f t="shared" si="3"/>
        <v>-116437</v>
      </c>
      <c r="G19" s="70">
        <f t="shared" si="3"/>
        <v>-131437</v>
      </c>
      <c r="H19" s="94">
        <f>SUM(Table5106[[#This Row],[M1]:[M6]])</f>
        <v>874689.77</v>
      </c>
      <c r="I19" s="92"/>
      <c r="K19">
        <v>13</v>
      </c>
      <c r="L19" s="100" t="s">
        <v>111</v>
      </c>
      <c r="M19" s="58" cm="1">
        <f t="array" ref="M19">IFERROR(
  MEDIAN(
    IF(
      (SRT!$H$2:$H$1169="Cheque Payment") *
      (SRT!$B$2:$B$1169&lt;&gt;"ZIH") *
      (SRT!$B$2:$B$1169&lt;&gt;"ECS PVT") *
      (SRT!$B$2:$B$1169&lt;&gt;"RTN") *
      ISERROR(SEARCH("RTN", SRT!$D$2:$D$1169)),
      SRT!$E$2:$E$1169
    )
  ),
  ""
)</f>
        <v>100000</v>
      </c>
      <c r="N19" s="73"/>
      <c r="P19" s="101"/>
      <c r="Q19" s="102" t="s">
        <v>89</v>
      </c>
      <c r="R19" s="103"/>
      <c r="S19" s="104"/>
    </row>
    <row r="20" spans="1:19" x14ac:dyDescent="0.3">
      <c r="A20" s="99" t="s">
        <v>112</v>
      </c>
      <c r="B20" s="70">
        <f t="shared" si="3"/>
        <v>0</v>
      </c>
      <c r="C20" s="70">
        <f t="shared" si="3"/>
        <v>0</v>
      </c>
      <c r="D20" s="70">
        <f t="shared" si="3"/>
        <v>0</v>
      </c>
      <c r="E20" s="70">
        <f t="shared" si="3"/>
        <v>3500000</v>
      </c>
      <c r="F20" s="70">
        <f t="shared" si="3"/>
        <v>9590000</v>
      </c>
      <c r="G20" s="70">
        <f t="shared" si="3"/>
        <v>1985000</v>
      </c>
      <c r="H20" s="94">
        <f>SUM(Table5106[[#This Row],[M1]:[M6]])</f>
        <v>15075000</v>
      </c>
      <c r="I20"/>
      <c r="K20">
        <v>14</v>
      </c>
      <c r="L20" s="105" t="s">
        <v>113</v>
      </c>
      <c r="M20" s="58">
        <f>SUM(B33:G33)</f>
        <v>36</v>
      </c>
      <c r="N20" s="73"/>
      <c r="P20" s="4">
        <v>15</v>
      </c>
      <c r="Q20" s="77" t="s">
        <v>114</v>
      </c>
      <c r="R20" s="90">
        <f>IFERROR(
  (SUM(F14:G14)/COUNTIF(F14:G14,"&gt;0")) / (SUM(B14:C14)/COUNTIF(B14:C14,"&gt;0")),
  1
)</f>
        <v>1</v>
      </c>
      <c r="S20" s="91"/>
    </row>
    <row r="21" spans="1:19" x14ac:dyDescent="0.3">
      <c r="A21" s="99" t="s">
        <v>115</v>
      </c>
      <c r="B21" s="70">
        <f t="shared" ref="B21:G21" si="4">B11-B12</f>
        <v>0</v>
      </c>
      <c r="C21" s="70">
        <f t="shared" si="4"/>
        <v>0</v>
      </c>
      <c r="D21" s="70">
        <f t="shared" si="4"/>
        <v>0</v>
      </c>
      <c r="E21" s="70">
        <f t="shared" si="4"/>
        <v>0</v>
      </c>
      <c r="F21" s="70">
        <f t="shared" si="4"/>
        <v>0</v>
      </c>
      <c r="G21" s="70">
        <f t="shared" si="4"/>
        <v>535000</v>
      </c>
      <c r="H21" s="94">
        <f>SUM(Table5106[[#This Row],[M1]:[M6]])</f>
        <v>535000</v>
      </c>
      <c r="I21"/>
      <c r="K21">
        <v>15</v>
      </c>
      <c r="L21" s="105" t="s">
        <v>116</v>
      </c>
      <c r="M21" s="58">
        <f>SUM(B32:G32)</f>
        <v>36</v>
      </c>
      <c r="N21" s="73"/>
      <c r="P21" s="4">
        <v>16</v>
      </c>
      <c r="Q21" s="62" t="s">
        <v>117</v>
      </c>
      <c r="R21" s="90">
        <f>M13/M9</f>
        <v>0.14287503458650722</v>
      </c>
      <c r="S21" s="91">
        <f>IF(OR(R21=0,R25=0,NOT(ISNUMBER(R21)),NOT(ISNUMBER(R25))),
0,
_xlfn.LET(
_xlpm.score,R21*R25,
IF(_xlpm.score&lt;0.1,5,
IF(_xlpm.score&lt;0.2,4,
IF(_xlpm.score&lt;0.3,3,
IF(_xlpm.score&lt;0.4,2,
IF(_xlpm.score&lt;0.5,1,
IF(_xlpm.score&lt;0.6,0,
IF(_xlpm.score&lt;0.7,-1,
IF(_xlpm.score&lt;0.8,-2,
IF(_xlpm.score&lt;0.9,-3,
IF(_xlpm.score&lt;1,-4,
-5))))))))))
))</f>
        <v>4</v>
      </c>
    </row>
    <row r="22" spans="1:19" x14ac:dyDescent="0.3">
      <c r="A22" s="99" t="s">
        <v>118</v>
      </c>
      <c r="B22" s="70">
        <f t="shared" ref="B22:G22" si="5">B18+B17+B19+B20+B21</f>
        <v>213914.80000000075</v>
      </c>
      <c r="C22" s="70">
        <f t="shared" si="5"/>
        <v>-103758.33999999985</v>
      </c>
      <c r="D22" s="70">
        <f t="shared" si="5"/>
        <v>96715.660000000149</v>
      </c>
      <c r="E22" s="70">
        <f t="shared" si="5"/>
        <v>43617.77000000095</v>
      </c>
      <c r="F22" s="70">
        <f t="shared" si="5"/>
        <v>851048.19999999925</v>
      </c>
      <c r="G22" s="70">
        <f t="shared" si="5"/>
        <v>-246591</v>
      </c>
      <c r="H22" s="94">
        <f>SUM(Table5106[[#This Row],[M1]:[M6]])</f>
        <v>854947.09000000125</v>
      </c>
      <c r="I22"/>
      <c r="K22">
        <v>16</v>
      </c>
      <c r="L22" s="106" t="s">
        <v>119</v>
      </c>
      <c r="M22" s="58">
        <f>SUM(B31:G31)</f>
        <v>13</v>
      </c>
      <c r="N22" s="73"/>
      <c r="P22" s="4">
        <v>17</v>
      </c>
      <c r="Q22" s="62" t="s">
        <v>120</v>
      </c>
      <c r="R22" s="90">
        <f>(M12)/M9</f>
        <v>1.4823399573162343E-2</v>
      </c>
      <c r="S22" s="91">
        <f>IF(OR(R22=0,R24=0,NOT(ISNUMBER(R22)),NOT(ISNUMBER(R24))),
0,
_xlfn.LET(
_xlpm.score,R22*R24,
IF(_xlpm.score&lt;0.06,5,
IF(_xlpm.score&lt;0.12,4,
IF(_xlpm.score&lt;0.18,3,
IF(_xlpm.score&lt;0.24,2,
IF(_xlpm.score&lt;0.3,1,
IF(_xlpm.score&lt;0.36,0,
IF(_xlpm.score&lt;0.42,-1,
IF(_xlpm.score&lt;0.48,-2,
IF(_xlpm.score&lt;0.54,-3,
IF(_xlpm.score&lt;0.6,-4,
-5))))))))))
))</f>
        <v>5</v>
      </c>
    </row>
    <row r="23" spans="1:19" x14ac:dyDescent="0.3">
      <c r="A23" s="75" t="s">
        <v>121</v>
      </c>
      <c r="B23" s="70" t="e">
        <f t="shared" ref="B23:G23" si="6">(B16)/(B14)</f>
        <v>#DIV/0!</v>
      </c>
      <c r="C23" s="70" t="e">
        <f t="shared" si="6"/>
        <v>#DIV/0!</v>
      </c>
      <c r="D23" s="70" t="e">
        <f t="shared" si="6"/>
        <v>#DIV/0!</v>
      </c>
      <c r="E23" s="70">
        <f t="shared" si="6"/>
        <v>8</v>
      </c>
      <c r="F23" s="70">
        <f t="shared" si="6"/>
        <v>6.9937500000000004</v>
      </c>
      <c r="G23" s="70">
        <f t="shared" si="6"/>
        <v>1.5203145478374835</v>
      </c>
      <c r="H23"/>
      <c r="I23" s="107"/>
      <c r="K23">
        <v>17</v>
      </c>
      <c r="L23" s="106" t="s">
        <v>122</v>
      </c>
      <c r="M23" s="58">
        <f>SUM(B30:G30)</f>
        <v>16</v>
      </c>
      <c r="N23" s="73"/>
      <c r="P23" s="4">
        <v>18</v>
      </c>
      <c r="Q23" s="62" t="s">
        <v>123</v>
      </c>
      <c r="R23" s="90">
        <f>(MAX(B14:G14)+ MAX(B13:G13))/ABS(M7)</f>
        <v>11.574282852782712</v>
      </c>
      <c r="S23" s="91">
        <f>IF(OR(R23=0,NOT(ISNUMBER(R23))),
0,
IF(R23&lt;=2,5,
IF(R23&lt;=2.4,4,
IF(R23&lt;=2.8,3,
IF(R23&lt;=3.2,2,
IF(R23&lt;=3.6,1,
IF(R23&lt;=4,0,
IF(R23&lt;=4.4,-1,
IF(R23&lt;=4.8,-2,
IF(R23&lt;=5.2,-3,
IF(R23&lt;=5.6,-4,
-5)))))))))))</f>
        <v>-5</v>
      </c>
    </row>
    <row r="24" spans="1:19" x14ac:dyDescent="0.3">
      <c r="A24" s="62" t="s">
        <v>124</v>
      </c>
      <c r="B24" s="70">
        <f>SUM(
    COUNTIFS(SRT!$H:$H, "Cash Deposit", SRT!$C:$C, "&lt;=" &amp; EOMONTH(B2, 0), SRT!$C:$C, "&gt;" &amp; EOMONTH(B2, -1), SRT!$B:$B, "BT"),
    COUNTIFS(SRT!$H:$H, "Cash Withdrawal", SRT!$C:$C, "&lt;=" &amp; EOMONTH(B2, 0), SRT!$C:$C, "&gt;" &amp; EOMONTH(B2, -1), SRT!$B:$B, "BT")
)</f>
        <v>2</v>
      </c>
      <c r="C24" s="70">
        <f>SUM(
    COUNTIFS(SRT!$H:$H, "Cash Deposit", SRT!$C:$C, "&lt;=" &amp; EOMONTH(C2, 0), SRT!$C:$C, "&gt;" &amp; EOMONTH(C2, -1), SRT!$B:$B, "BT"),
    COUNTIFS(SRT!$H:$H, "Cash Withdrawal", SRT!$C:$C, "&lt;=" &amp; EOMONTH(C2, 0), SRT!$C:$C, "&gt;" &amp; EOMONTH(C2, -1), SRT!$B:$B, "BT")
)</f>
        <v>8</v>
      </c>
      <c r="D24" s="70">
        <f>SUM(
    COUNTIFS(SRT!$H:$H, "Cash Deposit", SRT!$C:$C, "&lt;=" &amp; EOMONTH(D2, 0), SRT!$C:$C, "&gt;" &amp; EOMONTH(D2, -1), SRT!$B:$B, "BT"),
    COUNTIFS(SRT!$H:$H, "Cash Withdrawal", SRT!$C:$C, "&lt;=" &amp; EOMONTH(D2, 0), SRT!$C:$C, "&gt;" &amp; EOMONTH(D2, -1), SRT!$B:$B, "BT")
)</f>
        <v>2</v>
      </c>
      <c r="E24" s="70">
        <f>SUM(
    COUNTIFS(SRT!$H:$H, "Cash Deposit", SRT!$C:$C, "&lt;=" &amp; EOMONTH(E2, 0), SRT!$C:$C, "&gt;" &amp; EOMONTH(E2, -1), SRT!$B:$B, "BT"),
    COUNTIFS(SRT!$H:$H, "Cash Withdrawal", SRT!$C:$C, "&lt;=" &amp; EOMONTH(E2, 0), SRT!$C:$C, "&gt;" &amp; EOMONTH(E2, -1), SRT!$B:$B, "BT")
)</f>
        <v>3</v>
      </c>
      <c r="F24" s="70">
        <f>SUM(
    COUNTIFS(SRT!$H:$H, "Cash Deposit", SRT!$C:$C, "&lt;=" &amp; EOMONTH(F2, 0), SRT!$C:$C, "&gt;" &amp; EOMONTH(F2, -1), SRT!$B:$B, "BT"),
    COUNTIFS(SRT!$H:$H, "Cash Withdrawal", SRT!$C:$C, "&lt;=" &amp; EOMONTH(F2, 0), SRT!$C:$C, "&gt;" &amp; EOMONTH(F2, -1), SRT!$B:$B, "BT")
)</f>
        <v>1</v>
      </c>
      <c r="G24" s="70">
        <f>SUM(
    COUNTIFS(SRT!$H:$H, "Cash Deposit", SRT!$C:$C, "&lt;=" &amp; EOMONTH(G2, 0), SRT!$C:$C, "&gt;" &amp; EOMONTH(G2, -1), SRT!$B:$B, "BT"),
    COUNTIFS(SRT!$H:$H, "Cash Withdrawal", SRT!$C:$C, "&lt;=" &amp; EOMONTH(G2, 0), SRT!$C:$C, "&gt;" &amp; EOMONTH(G2, -1), SRT!$B:$B, "BT")
)</f>
        <v>3</v>
      </c>
      <c r="H24"/>
      <c r="I24"/>
      <c r="K24">
        <v>18</v>
      </c>
      <c r="L24" t="s">
        <v>106</v>
      </c>
      <c r="M24" s="58">
        <f>SUM(B39:G39)</f>
        <v>0</v>
      </c>
      <c r="N24" s="73"/>
      <c r="P24" s="4">
        <v>19</v>
      </c>
      <c r="Q24" s="62" t="s">
        <v>125</v>
      </c>
      <c r="R24" s="90">
        <f>IFERROR(
  IF(
    SUM(F15:G15)/COUNTIF(F15:G15,"&gt;0") &gt;= M9*0.05,
    SUM(F15:G15)/COUNTIF(F15:G15,"&gt;0"),
    0
  )
  /
  IF(
    SUM(B15:C15)/COUNTIF(B15:C15,"&gt;0") &gt;= M9*0.05,
    SUM(B15:C15)/COUNTIF(B15:C15,"&gt;0"),
    0
  ),
  1
)</f>
        <v>1</v>
      </c>
      <c r="S24" s="91"/>
    </row>
    <row r="25" spans="1:19" x14ac:dyDescent="0.3">
      <c r="A25" s="75" t="s">
        <v>126</v>
      </c>
      <c r="B25" s="70" cm="1">
        <f t="array" ref="B25">SUM(SUMIFS(SRT!$F:$F,
            SRT!$H:$H,"Cash Deposit",
            SRT!$C:$C,"&gt;"&amp;EOMONTH(B2,-1),
            SRT!$C:$C,"&lt;="&amp;EOMONTH(B2,0),
            SRT!$B:$B,{"ZIH","DBT","BT"}))</f>
        <v>128000</v>
      </c>
      <c r="C25" s="70" cm="1">
        <f t="array" ref="C25">SUM(SUMIFS(SRT!$F:$F,
            SRT!$H:$H,"Cash Deposit",
            SRT!$C:$C,"&gt;"&amp;EOMONTH(C2,-1),
            SRT!$C:$C,"&lt;="&amp;EOMONTH(C2,0),
            SRT!$B:$B,{"ZIH","DBT","BT"}))</f>
        <v>310000</v>
      </c>
      <c r="D25" s="70" cm="1">
        <f t="array" ref="D25">SUM(SUMIFS(SRT!$F:$F,
            SRT!$H:$H,"Cash Deposit",
            SRT!$C:$C,"&gt;"&amp;EOMONTH(D2,-1),
            SRT!$C:$C,"&lt;="&amp;EOMONTH(D2,0),
            SRT!$B:$B,{"ZIH","DBT","BT"}))</f>
        <v>26000</v>
      </c>
      <c r="E25" s="70" cm="1">
        <f t="array" ref="E25">SUM(SUMIFS(SRT!$F:$F,
            SRT!$H:$H,"Cash Deposit",
            SRT!$C:$C,"&gt;"&amp;EOMONTH(E2,-1),
            SRT!$C:$C,"&lt;="&amp;EOMONTH(E2,0),
            SRT!$B:$B,{"ZIH","DBT","BT"}))</f>
        <v>185300</v>
      </c>
      <c r="F25" s="70" cm="1">
        <f t="array" ref="F25">SUM(SUMIFS(SRT!$F:$F,
            SRT!$H:$H,"Cash Deposit",
            SRT!$C:$C,"&gt;"&amp;EOMONTH(F2,-1),
            SRT!$C:$C,"&lt;="&amp;EOMONTH(F2,0),
            SRT!$B:$B,{"ZIH","DBT","BT"}))</f>
        <v>212000</v>
      </c>
      <c r="G25" s="70" cm="1">
        <f t="array" ref="G25">SUM(SUMIFS(SRT!$F:$F,
            SRT!$H:$H,"Cash Deposit",
            SRT!$C:$C,"&gt;"&amp;EOMONTH(G2,-1),
            SRT!$C:$C,"&lt;="&amp;EOMONTH(G2,0),
            SRT!$B:$B,{"ZIH","DBT","BT"}))</f>
        <v>710000</v>
      </c>
      <c r="H25"/>
      <c r="I25"/>
      <c r="K25">
        <v>19</v>
      </c>
      <c r="L25" s="108" t="s">
        <v>127</v>
      </c>
      <c r="M25" s="58">
        <f>SUM(B40:G40)</f>
        <v>0</v>
      </c>
      <c r="N25" s="73"/>
      <c r="P25" s="4">
        <v>20</v>
      </c>
      <c r="Q25" s="62" t="s">
        <v>128</v>
      </c>
      <c r="R25" s="90">
        <f>IFERROR(
  IF(
    SUM(F16:G16)/COUNTIF(F16:G16,"&gt;0") &gt;= M9*0.05,
    SUM(F16:G16)/COUNTIF(F16:G16,"&gt;0"),
    0
  )
  /
  IF(
    SUM(B16:C16)/COUNTIF(B16:C16,"&gt;0") &gt;= M9*0.05,
    SUM(B16:C16)/COUNTIF(B16:C16,"&gt;0"),
    0
  ),
  1
)</f>
        <v>1</v>
      </c>
      <c r="S25" s="91"/>
    </row>
    <row r="26" spans="1:19" x14ac:dyDescent="0.3">
      <c r="A26" s="75" t="s">
        <v>129</v>
      </c>
      <c r="B26" s="70" cm="1">
        <f t="array" ref="B26">SUM(SUMIFS(SRT!$E:$E,
            SRT!$H:$H,"Cash withdrawal",
            SRT!$C:$C,"&gt;"&amp;EOMONTH(B2,-1),
            SRT!$C:$C,"&lt;="&amp;EOMONTH(B2,0),
            SRT!$B:$B,{"ZIH","DBT","BT"}))</f>
        <v>20000</v>
      </c>
      <c r="C26" s="70" cm="1">
        <f t="array" ref="C26">SUM(SUMIFS(SRT!$E:$E,
            SRT!$H:$H,"Cash withdrawal",
            SRT!$C:$C,"&gt;"&amp;EOMONTH(C2,-1),
            SRT!$C:$C,"&lt;="&amp;EOMONTH(C2,0),
            SRT!$B:$B,{"ZIH","DBT","BT"}))</f>
        <v>0</v>
      </c>
      <c r="D26" s="70" cm="1">
        <f t="array" ref="D26">SUM(SUMIFS(SRT!$E:$E,
            SRT!$H:$H,"Cash withdrawal",
            SRT!$C:$C,"&gt;"&amp;EOMONTH(D2,-1),
            SRT!$C:$C,"&lt;="&amp;EOMONTH(D2,0),
            SRT!$B:$B,{"ZIH","DBT","BT"}))</f>
        <v>0</v>
      </c>
      <c r="E26" s="70" cm="1">
        <f t="array" ref="E26">SUM(SUMIFS(SRT!$E:$E,
            SRT!$H:$H,"Cash withdrawal",
            SRT!$C:$C,"&gt;"&amp;EOMONTH(E2,-1),
            SRT!$C:$C,"&lt;="&amp;EOMONTH(E2,0),
            SRT!$B:$B,{"ZIH","DBT","BT"}))</f>
        <v>18000</v>
      </c>
      <c r="F26" s="70" cm="1">
        <f t="array" ref="F26">SUM(SUMIFS(SRT!$E:$E,
            SRT!$H:$H,"Cash withdrawal",
            SRT!$C:$C,"&gt;"&amp;EOMONTH(F2,-1),
            SRT!$C:$C,"&lt;="&amp;EOMONTH(F2,0),
            SRT!$B:$B,{"ZIH","DBT","BT"}))</f>
        <v>0</v>
      </c>
      <c r="G26" s="70" cm="1">
        <f t="array" ref="G26">SUM(SUMIFS(SRT!$E:$E,
            SRT!$H:$H,"Cash withdrawal",
            SRT!$C:$C,"&gt;"&amp;EOMONTH(G2,-1),
            SRT!$C:$C,"&lt;="&amp;EOMONTH(G2,0),
            SRT!$B:$B,{"ZIH","DBT","BT"}))</f>
        <v>13000</v>
      </c>
      <c r="H26" s="107"/>
      <c r="I26"/>
      <c r="K26">
        <v>20</v>
      </c>
      <c r="L26" t="s">
        <v>130</v>
      </c>
      <c r="M26" s="58">
        <f>SUM(B41:G41)</f>
        <v>0</v>
      </c>
      <c r="N26" s="73"/>
      <c r="P26" s="4">
        <v>21</v>
      </c>
      <c r="Q26" s="62" t="s">
        <v>131</v>
      </c>
      <c r="R26" s="90">
        <f>(M14)/(M9+M14)</f>
        <v>3.4703626879059417E-2</v>
      </c>
      <c r="S26" s="91">
        <f>IF(OR(R26=0,R24=0,NOT(ISNUMBER(R26)),NOT(ISNUMBER(R24))),
0,
_xlfn.LET(
_xlpm.score,R26*R24,
IF(_xlpm.score&lt;0.06,5,
IF(_xlpm.score&lt;0.12,4,
IF(_xlpm.score&lt;0.18,3,
IF(_xlpm.score&lt;0.24,2,
IF(_xlpm.score&lt;0.3,1,
IF(_xlpm.score&lt;0.36,0,
IF(_xlpm.score&lt;0.42,-1,
IF(_xlpm.score&lt;0.48,-2,
IF(_xlpm.score&lt;0.54,-3,
IF(_xlpm.score&lt;0.6,-4,
-5))))))))))
))</f>
        <v>5</v>
      </c>
    </row>
    <row r="27" spans="1:19" x14ac:dyDescent="0.3">
      <c r="A27" s="62" t="s">
        <v>132</v>
      </c>
      <c r="B27" s="70">
        <f>SUMIFS(
  SRT!$E:$E,
  SRT!$H:$H, "Cheque Payment",
  SRT!$C:$C, "&lt;=" &amp; EOMONTH(B2, 0),
  SRT!$C:$C, "&gt;" &amp; EOMONTH(B2, -1),
  SRT!$B:$B, "&lt;&gt;ZIH",
  SRT!$B:$B, "&lt;&gt;ECS PVT",
  SRT!$D:$D, "&lt;&gt;*RTN*",
  SRT!$B:$B, "&lt;&gt;RTN"
)
+
SUMIFS(
  SRT!$E:$E,
  SRT!$H:$H, "ECS/NACH Payment",
  SRT!$C:$C, "&lt;=" &amp; EOMONTH(B2, 0),
  SRT!$C:$C, "&gt;" &amp; EOMONTH(B2, -1),
  SRT!$B:$B, "&lt;&gt;ZIH",
  SRT!$B:$B, "&lt;&gt;ECS PVT",
  SRT!$D:$D, "&lt;&gt;*RTN*",
  SRT!$B:$B, "&lt;&gt;RTN"
)</f>
        <v>37200</v>
      </c>
      <c r="C27" s="70">
        <f>SUMIFS(
  SRT!$E:$E,
  SRT!$H:$H, "Cheque Payment",
  SRT!$C:$C, "&lt;=" &amp; EOMONTH(C2, 0),
  SRT!$C:$C, "&gt;" &amp; EOMONTH(C2, -1),
  SRT!$B:$B, "&lt;&gt;ZIH",
  SRT!$B:$B, "&lt;&gt;ECS PVT",
  SRT!$D:$D, "&lt;&gt;*RTN*",
  SRT!$B:$B, "&lt;&gt;RTN"
)
+
SUMIFS(
  SRT!$E:$E,
  SRT!$H:$H, "ECS/NACH Payment",
  SRT!$C:$C, "&lt;=" &amp; EOMONTH(C2, 0),
  SRT!$C:$C, "&gt;" &amp; EOMONTH(C2, -1),
  SRT!$B:$B, "&lt;&gt;ZIH",
  SRT!$B:$B, "&lt;&gt;ECS PVT",
  SRT!$D:$D, "&lt;&gt;*RTN*",
  SRT!$B:$B, "&lt;&gt;RTN"
)</f>
        <v>199396</v>
      </c>
      <c r="D27" s="70">
        <f>SUMIFS(
  SRT!$E:$E,
  SRT!$H:$H, "Cheque Payment",
  SRT!$C:$C, "&lt;=" &amp; EOMONTH(D2, 0),
  SRT!$C:$C, "&gt;" &amp; EOMONTH(D2, -1),
  SRT!$B:$B, "&lt;&gt;ZIH",
  SRT!$B:$B, "&lt;&gt;ECS PVT",
  SRT!$D:$D, "&lt;&gt;*RTN*",
  SRT!$B:$B, "&lt;&gt;RTN"
)
+
SUMIFS(
  SRT!$E:$E,
  SRT!$H:$H, "ECS/NACH Payment",
  SRT!$C:$C, "&lt;=" &amp; EOMONTH(D2, 0),
  SRT!$C:$C, "&gt;" &amp; EOMONTH(D2, -1),
  SRT!$B:$B, "&lt;&gt;ZIH",
  SRT!$B:$B, "&lt;&gt;ECS PVT",
  SRT!$D:$D, "&lt;&gt;*RTN*",
  SRT!$B:$B, "&lt;&gt;RTN"
)</f>
        <v>700288</v>
      </c>
      <c r="E27" s="70">
        <f>SUMIFS(
  SRT!$E:$E,
  SRT!$H:$H, "Cheque Payment",
  SRT!$C:$C, "&lt;=" &amp; EOMONTH(E2, 0),
  SRT!$C:$C, "&gt;" &amp; EOMONTH(E2, -1),
  SRT!$B:$B, "&lt;&gt;ZIH",
  SRT!$B:$B, "&lt;&gt;ECS PVT",
  SRT!$D:$D, "&lt;&gt;*RTN*",
  SRT!$B:$B, "&lt;&gt;RTN"
)
+
SUMIFS(
  SRT!$E:$E,
  SRT!$H:$H, "ECS/NACH Payment",
  SRT!$C:$C, "&lt;=" &amp; EOMONTH(E2, 0),
  SRT!$C:$C, "&gt;" &amp; EOMONTH(E2, -1),
  SRT!$B:$B, "&lt;&gt;ZIH",
  SRT!$B:$B, "&lt;&gt;ECS PVT",
  SRT!$D:$D, "&lt;&gt;*RTN*",
  SRT!$B:$B, "&lt;&gt;RTN"
)</f>
        <v>1540756</v>
      </c>
      <c r="F27" s="70">
        <f>SUMIFS(
  SRT!$E:$E,
  SRT!$H:$H, "Cheque Payment",
  SRT!$C:$C, "&lt;=" &amp; EOMONTH(F2, 0),
  SRT!$C:$C, "&gt;" &amp; EOMONTH(F2, -1),
  SRT!$B:$B, "&lt;&gt;ZIH",
  SRT!$B:$B, "&lt;&gt;ECS PVT",
  SRT!$D:$D, "&lt;&gt;*RTN*",
  SRT!$B:$B, "&lt;&gt;RTN"
)
+
SUMIFS(
  SRT!$E:$E,
  SRT!$H:$H, "ECS/NACH Payment",
  SRT!$C:$C, "&lt;=" &amp; EOMONTH(F2, 0),
  SRT!$C:$C, "&gt;" &amp; EOMONTH(F2, -1),
  SRT!$B:$B, "&lt;&gt;ZIH",
  SRT!$B:$B, "&lt;&gt;ECS PVT",
  SRT!$D:$D, "&lt;&gt;*RTN*",
  SRT!$B:$B, "&lt;&gt;RTN"
)</f>
        <v>2282492</v>
      </c>
      <c r="G27" s="70">
        <f>SUMIFS(
  SRT!$E:$E,
  SRT!$H:$H, "Cheque Payment",
  SRT!$C:$C, "&lt;=" &amp; EOMONTH(G2, 0),
  SRT!$C:$C, "&gt;" &amp; EOMONTH(G2, -1),
  SRT!$B:$B, "&lt;&gt;ZIH",
  SRT!$B:$B, "&lt;&gt;ECS PVT",
  SRT!$D:$D, "&lt;&gt;*RTN*",
  SRT!$B:$B, "&lt;&gt;RTN"
)
+
SUMIFS(
  SRT!$E:$E,
  SRT!$H:$H, "ECS/NACH Payment",
  SRT!$C:$C, "&lt;=" &amp; EOMONTH(G2, 0),
  SRT!$C:$C, "&gt;" &amp; EOMONTH(G2, -1),
  SRT!$B:$B, "&lt;&gt;ZIH",
  SRT!$B:$B, "&lt;&gt;ECS PVT",
  SRT!$D:$D, "&lt;&gt;*RTN*",
  SRT!$B:$B, "&lt;&gt;RTN"
)</f>
        <v>4596933</v>
      </c>
      <c r="H27"/>
      <c r="I27"/>
      <c r="K27">
        <v>21</v>
      </c>
      <c r="L27" t="s">
        <v>133</v>
      </c>
      <c r="M27" s="58">
        <f>SUM(B24:G24)</f>
        <v>19</v>
      </c>
      <c r="N27" s="73"/>
      <c r="P27" s="4">
        <v>22</v>
      </c>
      <c r="Q27" s="62" t="s">
        <v>134</v>
      </c>
      <c r="R27" s="90">
        <f>(M15)/(M9+M15)</f>
        <v>0.33643311812993837</v>
      </c>
      <c r="S27" s="91">
        <f>IF(OR(R27=0,R25=0,NOT(ISNUMBER(R27)),NOT(ISNUMBER(R25))),
0,
_xlfn.LET(
_xlpm.score,R27*R25,
IF(_xlpm.score&lt;0.1,5,
IF(_xlpm.score&lt;0.2,4,
IF(_xlpm.score&lt;0.3,3,
IF(_xlpm.score&lt;0.4,2,
IF(_xlpm.score&lt;0.5,1,
IF(_xlpm.score&lt;0.6,0,
IF(_xlpm.score&lt;0.7,-1,
IF(_xlpm.score&lt;0.8,-2,
IF(_xlpm.score&lt;0.9,-3,
IF(_xlpm.score&lt;1,-4,
-5))))))))))
))</f>
        <v>2</v>
      </c>
    </row>
    <row r="28" spans="1:19" x14ac:dyDescent="0.3">
      <c r="A28" s="75" t="s">
        <v>135</v>
      </c>
      <c r="B28" s="70" t="str" cm="1">
        <f t="array" ref="B28">IFERROR(
  MEDIAN(
    IF(
      (SRT!$H$2:$H$1169="Cheque Payment") *
      (SRT!$B$2:$B$1169&lt;&gt;"ZIH") *
      (SRT!$B$2:$B$1169&lt;&gt;"ECS PVT") *
      (SRT!$B$2:$B$1169&lt;&gt;"RTN") *
      ISERROR(SEARCH("RTN", SRT!$D$2:$D$1169)) *
      (SRT!$C$2:$C$1169&lt;=EOMONTH(B2, 0)) *
      (SRT!$C$2:$C$1169&gt;EOMONTH(B2, -1)),
      SRT!$E$2:$E$1169
    )
  ),
  ""
)</f>
        <v/>
      </c>
      <c r="C28" s="70" cm="1">
        <f t="array" ref="C28">IFERROR(
  MEDIAN(
    IF(
      (SRT!$H$2:$H$1169="Cheque Payment") *
      (SRT!$B$2:$B$1169&lt;&gt;"ZIH") *
      (SRT!$B$2:$B$1169&lt;&gt;"ECS PVT") *
      (SRT!$B$2:$B$1169&lt;&gt;"RTN") *
      ISERROR(SEARCH("RTN", SRT!$D$2:$D$1169)) *
      (SRT!$C$2:$C$1169&lt;=EOMONTH(C2, 0)) *
      (SRT!$C$2:$C$1169&gt;EOMONTH(C2, -1)),
      SRT!$E$2:$E$1169
    )
  ),
  ""
)</f>
        <v>152196</v>
      </c>
      <c r="D28" s="70" cm="1">
        <f t="array" ref="D28">IFERROR(
  MEDIAN(
    IF(
      (SRT!$H$2:$H$1169="Cheque Payment") *
      (SRT!$B$2:$B$1169&lt;&gt;"ZIH") *
      (SRT!$B$2:$B$1169&lt;&gt;"ECS PVT") *
      (SRT!$B$2:$B$1169&lt;&gt;"RTN") *
      ISERROR(SEARCH("RTN", SRT!$D$2:$D$1169)) *
      (SRT!$C$2:$C$1169&lt;=EOMONTH(D2, 0)) *
      (SRT!$C$2:$C$1169&gt;EOMONTH(D2, -1)),
      SRT!$E$2:$E$1169
    )
  ),
  ""
)</f>
        <v>90084</v>
      </c>
      <c r="E28" s="70" cm="1">
        <f t="array" ref="E28">IFERROR(
  MEDIAN(
    IF(
      (SRT!$H$2:$H$1169="Cheque Payment") *
      (SRT!$B$2:$B$1169&lt;&gt;"ZIH") *
      (SRT!$B$2:$B$1169&lt;&gt;"ECS PVT") *
      (SRT!$B$2:$B$1169&lt;&gt;"RTN") *
      ISERROR(SEARCH("RTN", SRT!$D$2:$D$1169)) *
      (SRT!$C$2:$C$1169&lt;=EOMONTH(E2, 0)) *
      (SRT!$C$2:$C$1169&gt;EOMONTH(E2, -1)),
      SRT!$E$2:$E$1169
    )
  ),
  ""
)</f>
        <v>61997</v>
      </c>
      <c r="F28" s="70" cm="1">
        <f t="array" ref="F28">IFERROR(
  MEDIAN(
    IF(
      (SRT!$H$2:$H$1169="Cheque Payment") *
      (SRT!$B$2:$B$1169&lt;&gt;"ZIH") *
      (SRT!$B$2:$B$1169&lt;&gt;"ECS PVT") *
      (SRT!$B$2:$B$1169&lt;&gt;"RTN") *
      ISERROR(SEARCH("RTN", SRT!$D$2:$D$1169)) *
      (SRT!$C$2:$C$1169&lt;=EOMONTH(F2, 0)) *
      (SRT!$C$2:$C$1169&gt;EOMONTH(F2, -1)),
      SRT!$E$2:$E$1169
    )
  ),
  ""
)</f>
        <v>98700</v>
      </c>
      <c r="G28" s="70" cm="1">
        <f t="array" ref="G28">IFERROR(
  MEDIAN(
    IF(
      (SRT!$H$2:$H$1169="Cheque Payment") *
      (SRT!$B$2:$B$1169&lt;&gt;"ZIH") *
      (SRT!$B$2:$B$1169&lt;&gt;"ECS PVT") *
      (SRT!$B$2:$B$1169&lt;&gt;"RTN") *
      ISERROR(SEARCH("RTN", SRT!$D$2:$D$1169)) *
      (SRT!$C$2:$C$1169&lt;=EOMONTH(G2, 0)) *
      (SRT!$C$2:$C$1169&gt;EOMONTH(G2, -1)),
      SRT!$E$2:$E$1169
    )
  ),
  ""
)</f>
        <v>171600</v>
      </c>
      <c r="H28"/>
      <c r="I28" s="98"/>
      <c r="K28">
        <v>22</v>
      </c>
      <c r="L28" t="s">
        <v>136</v>
      </c>
      <c r="M28" s="58">
        <f>SUMIFS(SRT!$E:$E, SRT!$H:$H, "utility payment",SRT!$C:$C, "&lt;=" &amp; EOMONTH(#REF!, 0), SRT!$C:$C, "&gt;" &amp; EOMONTH(#REF!, -1))</f>
        <v>0</v>
      </c>
      <c r="N28" s="73"/>
      <c r="P28" s="4">
        <v>23</v>
      </c>
      <c r="Q28" s="77" t="s">
        <v>137</v>
      </c>
      <c r="R28" s="90">
        <f>IFERROR(1 - M20/M21, 0)</f>
        <v>0</v>
      </c>
      <c r="S28" s="91">
        <f>IF(M21=0, 0, IF(R28&lt;=0,5,IF(R28&lt;=0.1,4,IF(R28&lt;=0.2,3,IF(R28&lt;=0.3,2,IF(R28&lt;=0.4,1,IF(R28&lt;=0.5,0,IF(R28&lt;=0.6,-1,IF(R28&lt;=0.7,-2,IF(R28&lt;=0.8,-3,IF(R28&lt;=0.9,-4,-5)))))))))))</f>
        <v>5</v>
      </c>
    </row>
    <row r="29" spans="1:19" x14ac:dyDescent="0.3">
      <c r="A29" s="62" t="s">
        <v>138</v>
      </c>
      <c r="B29" s="70" cm="1">
        <f t="array" ref="B29">IF(
  ISNUMBER(B2),
  SUMPRODUCT(
    (--ISNUMBER(MATCH(SRT!$H$2:$H$1169, {"Cheque Payment","ECS/NACH Payment"}, 0))),
    (--(SRT!$F$2:$F$1169 = "")),
    (--(SRT!$C$2:$C$1169 &lt;= EOMONTH(B2, 0))),
    (--(SRT!$C$2:$C$1169 &gt; EOMONTH(B2, -1))),
    (--(SRT!$B$2:$B$1169 &lt;&gt; "ZIH")),
    (--(SRT!$B$2:$B$1169 &lt;&gt; "ECS PVT")),
    (--(ISNA(SEARCH("RTN", SRT!$D$2:$D$1169)) + (ISNUMBER(SEARCH("RTN", SRT!$D$2:$D$1169))=FALSE)))
  ),
  0
)</f>
        <v>1</v>
      </c>
      <c r="C29" s="70" cm="1">
        <f t="array" ref="C29">IF(
  ISNUMBER(C2),
  SUMPRODUCT(
    (--ISNUMBER(MATCH(SRT!$H$2:$H$1169, {"Cheque Payment","ECS/NACH Payment"}, 0))),
    (--(SRT!$F$2:$F$1169 = "")),
    (--(SRT!$C$2:$C$1169 &lt;= EOMONTH(C2, 0))),
    (--(SRT!$C$2:$C$1169 &gt; EOMONTH(C2, -1))),
    (--(SRT!$B$2:$B$1169 &lt;&gt; "ZIH")),
    (--(SRT!$B$2:$B$1169 &lt;&gt; "ECS PVT")),
    (--(ISNA(SEARCH("RTN", SRT!$D$2:$D$1169)) + (ISNUMBER(SEARCH("RTN", SRT!$D$2:$D$1169))=FALSE)))
  ),
  0
)</f>
        <v>3</v>
      </c>
      <c r="D29" s="70" cm="1">
        <f t="array" ref="D29">IF(
  ISNUMBER(D2),
  SUMPRODUCT(
    (--ISNUMBER(MATCH(SRT!$H$2:$H$1169, {"Cheque Payment","ECS/NACH Payment"}, 0))),
    (--(SRT!$F$2:$F$1169 = "")),
    (--(SRT!$C$2:$C$1169 &lt;= EOMONTH(D2, 0))),
    (--(SRT!$C$2:$C$1169 &gt; EOMONTH(D2, -1))),
    (--(SRT!$B$2:$B$1169 &lt;&gt; "ZIH")),
    (--(SRT!$B$2:$B$1169 &lt;&gt; "ECS PVT")),
    (--(ISNA(SEARCH("RTN", SRT!$D$2:$D$1169)) + (ISNUMBER(SEARCH("RTN", SRT!$D$2:$D$1169))=FALSE)))
  ),
  0
)</f>
        <v>6</v>
      </c>
      <c r="E29" s="70" cm="1">
        <f t="array" ref="E29">IF(
  ISNUMBER(E2),
  SUMPRODUCT(
    (--ISNUMBER(MATCH(SRT!$H$2:$H$1169, {"Cheque Payment","ECS/NACH Payment"}, 0))),
    (--(SRT!$F$2:$F$1169 = "")),
    (--(SRT!$C$2:$C$1169 &lt;= EOMONTH(E2, 0))),
    (--(SRT!$C$2:$C$1169 &gt; EOMONTH(E2, -1))),
    (--(SRT!$B$2:$B$1169 &lt;&gt; "ZIH")),
    (--(SRT!$B$2:$B$1169 &lt;&gt; "ECS PVT")),
    (--(ISNA(SEARCH("RTN", SRT!$D$2:$D$1169)) + (ISNUMBER(SEARCH("RTN", SRT!$D$2:$D$1169))=FALSE)))
  ),
  0
)</f>
        <v>11</v>
      </c>
      <c r="F29" s="70" cm="1">
        <f t="array" ref="F29">IF(
  ISNUMBER(F2),
  SUMPRODUCT(
    (--ISNUMBER(MATCH(SRT!$H$2:$H$1169, {"Cheque Payment","ECS/NACH Payment"}, 0))),
    (--(SRT!$F$2:$F$1169 = "")),
    (--(SRT!$C$2:$C$1169 &lt;= EOMONTH(F2, 0))),
    (--(SRT!$C$2:$C$1169 &gt; EOMONTH(F2, -1))),
    (--(SRT!$B$2:$B$1169 &lt;&gt; "ZIH")),
    (--(SRT!$B$2:$B$1169 &lt;&gt; "ECS PVT")),
    (--(ISNA(SEARCH("RTN", SRT!$D$2:$D$1169)) + (ISNUMBER(SEARCH("RTN", SRT!$D$2:$D$1169))=FALSE)))
  ),
  0
)</f>
        <v>14</v>
      </c>
      <c r="G29" s="70" cm="1">
        <f t="array" ref="G29">IF(
  ISNUMBER(G2),
  SUMPRODUCT(
    (--ISNUMBER(MATCH(SRT!$H$2:$H$1169, {"Cheque Payment","ECS/NACH Payment"}, 0))),
    (--(SRT!$F$2:$F$1169 = "")),
    (--(SRT!$C$2:$C$1169 &lt;= EOMONTH(G2, 0))),
    (--(SRT!$C$2:$C$1169 &gt; EOMONTH(G2, -1))),
    (--(SRT!$B$2:$B$1169 &lt;&gt; "ZIH")),
    (--(SRT!$B$2:$B$1169 &lt;&gt; "ECS PVT")),
    (--(ISNA(SEARCH("RTN", SRT!$D$2:$D$1169)) + (ISNUMBER(SEARCH("RTN", SRT!$D$2:$D$1169))=FALSE)))
  ),
  0
)</f>
        <v>40</v>
      </c>
      <c r="H29"/>
      <c r="I29" s="98"/>
      <c r="K29">
        <v>23</v>
      </c>
      <c r="L29" s="105" t="s">
        <v>139</v>
      </c>
      <c r="M29" s="58">
        <f>Table3487[[#This Row],[Sum]]/$M$4</f>
        <v>3839775.6666666665</v>
      </c>
      <c r="N29" s="83" cm="1">
        <f t="array" ref="N29">LARGE(
  _xlfn.BYROW(
    _xlfn.UNIQUE(_xlfn._xlws.FILTER(SRT!D2:D1169, SRT!B2:B1169="BT")),
    _xlfn.LAMBDA(_xlpm.desc, SUMIFS(SRT!F2:F1169, SRT!D2:D1169, _xlpm.desc, SRT!B2:B1169, "BT"))
  ),
  1
)</f>
        <v>23038654</v>
      </c>
      <c r="P29" s="4">
        <v>24</v>
      </c>
      <c r="Q29" s="109" t="s">
        <v>140</v>
      </c>
      <c r="R29" s="90">
        <f>IFERROR(1 - M22/M23, 0)</f>
        <v>0.1875</v>
      </c>
      <c r="S29" s="91"/>
    </row>
    <row r="30" spans="1:19" x14ac:dyDescent="0.3">
      <c r="A30" s="110" t="s">
        <v>141</v>
      </c>
      <c r="B30" s="70">
        <f>COUNTIFS(SRT!$B:$B,"ECS",SRT!$E:$E,"&gt;0",SRT!$C:$C,"&gt;"&amp;EOMONTH(B2,-1),SRT!$C:$C,"&lt;="&amp;EOMONTH(B2,0),SRT!$I:$I,"&lt;&gt;Loan",SRT!$I:$I,"&lt;&gt;Interest Paid")</f>
        <v>1</v>
      </c>
      <c r="C30" s="70">
        <f>COUNTIFS(SRT!$B:$B,"ECS",SRT!$E:$E,"&gt;0",SRT!$C:$C,"&gt;"&amp;EOMONTH(C2,-1),SRT!$C:$C,"&lt;="&amp;EOMONTH(C2,0),SRT!$I:$I,"&lt;&gt;Loan",SRT!$I:$I,"&lt;&gt;Interest Paid")</f>
        <v>3</v>
      </c>
      <c r="D30" s="70">
        <f>COUNTIFS(SRT!$B:$B,"ECS",SRT!$E:$E,"&gt;0",SRT!$C:$C,"&gt;"&amp;EOMONTH(D2,-1),SRT!$C:$C,"&lt;="&amp;EOMONTH(D2,0),SRT!$I:$I,"&lt;&gt;Loan",SRT!$I:$I,"&lt;&gt;Interest Paid")</f>
        <v>3</v>
      </c>
      <c r="E30" s="70">
        <f>COUNTIFS(SRT!$B:$B,"ECS",SRT!$E:$E,"&gt;0",SRT!$C:$C,"&gt;"&amp;EOMONTH(E2,-1),SRT!$C:$C,"&lt;="&amp;EOMONTH(E2,0),SRT!$I:$I,"&lt;&gt;Loan",SRT!$I:$I,"&lt;&gt;Interest Paid")</f>
        <v>3</v>
      </c>
      <c r="F30" s="70">
        <f>COUNTIFS(SRT!$B:$B,"ECS",SRT!$E:$E,"&gt;0",SRT!$C:$C,"&gt;"&amp;EOMONTH(F2,-1),SRT!$C:$C,"&lt;="&amp;EOMONTH(F2,0),SRT!$I:$I,"&lt;&gt;Loan",SRT!$I:$I,"&lt;&gt;Interest Paid")</f>
        <v>3</v>
      </c>
      <c r="G30" s="70">
        <f>COUNTIFS(SRT!$B:$B,"ECS",SRT!$E:$E,"&gt;0",SRT!$C:$C,"&gt;"&amp;EOMONTH(G2,-1),SRT!$C:$C,"&lt;="&amp;EOMONTH(G2,0),SRT!$I:$I,"&lt;&gt;Loan",SRT!$I:$I,"&lt;&gt;Interest Paid")</f>
        <v>3</v>
      </c>
      <c r="H30"/>
      <c r="I30" s="92"/>
      <c r="K30">
        <v>24</v>
      </c>
      <c r="L30" s="105" t="s">
        <v>142</v>
      </c>
      <c r="M30" s="58">
        <f>Table3487[[#This Row],[Sum]]/$M$4</f>
        <v>1410628.1666666667</v>
      </c>
      <c r="N30" s="83" cm="1">
        <f t="array" ref="N30">LARGE(
  _xlfn.BYROW(
    _xlfn.UNIQUE(_xlfn._xlws.FILTER(SRT!D2:D1169, SRT!B2:B1169="BT")),
    _xlfn.LAMBDA(_xlpm.desc, SUMIFS(SRT!F2:F1169, SRT!D2:D1169, _xlpm.desc, SRT!B2:B1169, "BT"))
  ),
  2
)</f>
        <v>8463769</v>
      </c>
      <c r="P30" s="4">
        <v>25</v>
      </c>
      <c r="Q30" s="109" t="s">
        <v>143</v>
      </c>
      <c r="R30" s="90">
        <f>M25</f>
        <v>0</v>
      </c>
      <c r="S30" s="91"/>
    </row>
    <row r="31" spans="1:19" x14ac:dyDescent="0.3">
      <c r="A31" s="110" t="s">
        <v>144</v>
      </c>
      <c r="B31" s="111" cm="1">
        <f t="array" ref="B31">SUM(COUNTIFS(SRT!$B:$B,"ECS",SRT!$E:$E,"&gt;0",SRT!$C:$C,"&gt;"&amp;EOMONTH(B2,-1),SRT!$C:$C,"&lt;="&amp;EOMONTH(B2,0),SRT!$I:$I,{"ECS/NACH Payment","Cheque payment"}))</f>
        <v>1</v>
      </c>
      <c r="C31" s="111" cm="1">
        <f t="array" ref="C31">SUM(COUNTIFS(SRT!$B:$B,"ECS",SRT!$E:$E,"&gt;0",SRT!$C:$C,"&gt;"&amp;EOMONTH(C2,-1),SRT!$C:$C,"&lt;="&amp;EOMONTH(C2,0),SRT!$I:$I,{"ECS/NACH Payment","Cheque payment"}))</f>
        <v>2</v>
      </c>
      <c r="D31" s="111" cm="1">
        <f t="array" ref="D31">SUM(COUNTIFS(SRT!$B:$B,"ECS",SRT!$E:$E,"&gt;0",SRT!$C:$C,"&gt;"&amp;EOMONTH(D2,-1),SRT!$C:$C,"&lt;="&amp;EOMONTH(D2,0),SRT!$I:$I,{"ECS/NACH Payment","Cheque payment"}))</f>
        <v>2</v>
      </c>
      <c r="E31" s="111" cm="1">
        <f t="array" ref="E31">SUM(COUNTIFS(SRT!$B:$B,"ECS",SRT!$E:$E,"&gt;0",SRT!$C:$C,"&gt;"&amp;EOMONTH(E2,-1),SRT!$C:$C,"&lt;="&amp;EOMONTH(E2,0),SRT!$I:$I,{"ECS/NACH Payment","Cheque payment"}))</f>
        <v>2</v>
      </c>
      <c r="F31" s="111" cm="1">
        <f t="array" ref="F31">SUM(COUNTIFS(SRT!$B:$B,"ECS",SRT!$E:$E,"&gt;0",SRT!$C:$C,"&gt;"&amp;EOMONTH(F2,-1),SRT!$C:$C,"&lt;="&amp;EOMONTH(F2,0),SRT!$I:$I,{"ECS/NACH Payment","Cheque payment"}))</f>
        <v>3</v>
      </c>
      <c r="G31" s="111" cm="1">
        <f t="array" ref="G31">SUM(COUNTIFS(SRT!$B:$B,"ECS",SRT!$E:$E,"&gt;0",SRT!$C:$C,"&gt;"&amp;EOMONTH(G2,-1),SRT!$C:$C,"&lt;="&amp;EOMONTH(G2,0),SRT!$I:$I,{"ECS/NACH Payment","Cheque payment"}))</f>
        <v>3</v>
      </c>
      <c r="H31"/>
      <c r="I31"/>
      <c r="K31">
        <v>25</v>
      </c>
      <c r="L31" s="105" t="s">
        <v>145</v>
      </c>
      <c r="M31" s="58">
        <f>Table3487[[#This Row],[Sum]]/$M$4</f>
        <v>1461520.6666666667</v>
      </c>
      <c r="N31" s="83" cm="1">
        <f t="array" ref="N31">LARGE(
  _xlfn.BYROW(
    _xlfn.UNIQUE(_xlfn._xlws.FILTER(SRT!D2:D1169, SRT!B2:B1169="BT")),
    _xlfn.LAMBDA(_xlpm.desc, SUMIFS(SRT!E2:E1169, SRT!D2:D1169, _xlpm.desc, SRT!B2:B1169, "BT"))
  ),
  1
)</f>
        <v>8769124</v>
      </c>
      <c r="P31" s="4">
        <v>26</v>
      </c>
      <c r="Q31" s="62" t="s">
        <v>146</v>
      </c>
      <c r="R31" s="90">
        <f>M26</f>
        <v>0</v>
      </c>
      <c r="S31" s="91" cm="1">
        <f t="array" ref="S31">_xlfn.IFS(
  R30=0, 0,
  AND(R30&gt;=1, R30&lt;=3), -3,
  AND(R30&gt;3, R30&lt;=5), -4,
  R30&gt;5, -5
)</f>
        <v>0</v>
      </c>
    </row>
    <row r="32" spans="1:19" x14ac:dyDescent="0.3">
      <c r="A32" s="77" t="s">
        <v>147</v>
      </c>
      <c r="B32" s="82">
        <f>COUNTIFS(
  SRT!$B:$B, "ECS PVT",
  SRT!$E:$E, "&gt;0",
  SRT!$C:$C, "&gt;" &amp; EOMONTH(B2, -1),
  SRT!$C:$C, "&lt;=" &amp; EOMONTH(B2, 0)
)</f>
        <v>0</v>
      </c>
      <c r="C32" s="82">
        <f>COUNTIFS(
  SRT!$B:$B, "ECS PVT",
  SRT!$E:$E, "&gt;0",
  SRT!$C:$C, "&gt;" &amp; EOMONTH(C2, -1),
  SRT!$C:$C, "&lt;=" &amp; EOMONTH(C2, 0)
)</f>
        <v>0</v>
      </c>
      <c r="D32" s="82">
        <f>COUNTIFS(
  SRT!$B:$B, "ECS PVT",
  SRT!$E:$E, "&gt;0",
  SRT!$C:$C, "&gt;" &amp; EOMONTH(D2, -1),
  SRT!$C:$C, "&lt;=" &amp; EOMONTH(D2, 0)
)</f>
        <v>0</v>
      </c>
      <c r="E32" s="82">
        <f>COUNTIFS(
  SRT!$B:$B, "ECS PVT",
  SRT!$E:$E, "&gt;0",
  SRT!$C:$C, "&gt;" &amp; EOMONTH(E2, -1),
  SRT!$C:$C, "&lt;=" &amp; EOMONTH(E2, 0)
)</f>
        <v>4</v>
      </c>
      <c r="F32" s="82">
        <f>COUNTIFS(
  SRT!$B:$B, "ECS PVT",
  SRT!$E:$E, "&gt;0",
  SRT!$C:$C, "&gt;" &amp; EOMONTH(F2, -1),
  SRT!$C:$C, "&lt;=" &amp; EOMONTH(F2, 0)
)</f>
        <v>11</v>
      </c>
      <c r="G32" s="82">
        <f>COUNTIFS(
  SRT!$B:$B, "ECS PVT",
  SRT!$E:$E, "&gt;0",
  SRT!$C:$C, "&gt;" &amp; EOMONTH(G2, -1),
  SRT!$C:$C, "&lt;=" &amp; EOMONTH(G2, 0)
)</f>
        <v>21</v>
      </c>
      <c r="H32"/>
      <c r="I32" s="98"/>
      <c r="K32">
        <v>26</v>
      </c>
      <c r="L32" s="105" t="s">
        <v>148</v>
      </c>
      <c r="M32" s="58">
        <f>Table3487[[#This Row],[Sum]]/$M$4</f>
        <v>571534.33333333337</v>
      </c>
      <c r="N32" s="83" cm="1">
        <f t="array" ref="N32">LARGE(
  _xlfn.BYROW(
    _xlfn.UNIQUE(_xlfn._xlws.FILTER(SRT!D2:D1169, SRT!B2:B1169="BT")),
    _xlfn.LAMBDA(_xlpm.desc, SUMIFS(SRT!E2:E1169, SRT!D2:D1169, _xlpm.desc, SRT!B2:B1169, "BT"))
  ),
  2
)</f>
        <v>3429206</v>
      </c>
      <c r="P32" s="4">
        <v>27</v>
      </c>
      <c r="Q32" s="62" t="s">
        <v>149</v>
      </c>
      <c r="R32" s="90">
        <f>M26/M21</f>
        <v>0</v>
      </c>
      <c r="S32" s="91"/>
    </row>
    <row r="33" spans="1:19" x14ac:dyDescent="0.3">
      <c r="A33" s="77" t="s">
        <v>150</v>
      </c>
      <c r="B33" s="70">
        <f>SUM(
  COUNTIFS(
    SRT!$B:$B, "ECS PVT",
    SRT!$E:$E, "&gt;0",
    SRT!$C:$C, "&gt;" &amp; EOMONTH(B2, -1),
    SRT!$C:$C, "&lt;=" &amp; EOMONTH(B2, 0),
    SRT!$H:$H, "cheque payment"
  ),
  COUNTIFS(
    SRT!$B:$B, "ECS PVT",
    SRT!$E:$E, "&gt;0",
    SRT!$C:$C, "&gt;" &amp; EOMONTH(B2, -1),
    SRT!$C:$C, "&lt;=" &amp; EOMONTH(B2, 0),
    SRT!$H:$H, "ECS/NACH Payment"
  )
)</f>
        <v>0</v>
      </c>
      <c r="C33" s="70">
        <f>SUM(
  COUNTIFS(
    SRT!$B:$B, "ECS PVT",
    SRT!$E:$E, "&gt;0",
    SRT!$C:$C, "&gt;" &amp; EOMONTH(C2, -1),
    SRT!$C:$C, "&lt;=" &amp; EOMONTH(C2, 0),
    SRT!$H:$H, "cheque payment"
  ),
  COUNTIFS(
    SRT!$B:$B, "ECS PVT",
    SRT!$E:$E, "&gt;0",
    SRT!$C:$C, "&gt;" &amp; EOMONTH(C2, -1),
    SRT!$C:$C, "&lt;=" &amp; EOMONTH(C2, 0),
    SRT!$H:$H, "ECS/NACH Payment"
  )
)</f>
        <v>0</v>
      </c>
      <c r="D33" s="70">
        <f>SUM(
  COUNTIFS(
    SRT!$B:$B, "ECS PVT",
    SRT!$E:$E, "&gt;0",
    SRT!$C:$C, "&gt;" &amp; EOMONTH(D2, -1),
    SRT!$C:$C, "&lt;=" &amp; EOMONTH(D2, 0),
    SRT!$H:$H, "cheque payment"
  ),
  COUNTIFS(
    SRT!$B:$B, "ECS PVT",
    SRT!$E:$E, "&gt;0",
    SRT!$C:$C, "&gt;" &amp; EOMONTH(D2, -1),
    SRT!$C:$C, "&lt;=" &amp; EOMONTH(D2, 0),
    SRT!$H:$H, "ECS/NACH Payment"
  )
)</f>
        <v>0</v>
      </c>
      <c r="E33" s="70">
        <f>SUM(
  COUNTIFS(
    SRT!$B:$B, "ECS PVT",
    SRT!$E:$E, "&gt;0",
    SRT!$C:$C, "&gt;" &amp; EOMONTH(E2, -1),
    SRT!$C:$C, "&lt;=" &amp; EOMONTH(E2, 0),
    SRT!$H:$H, "cheque payment"
  ),
  COUNTIFS(
    SRT!$B:$B, "ECS PVT",
    SRT!$E:$E, "&gt;0",
    SRT!$C:$C, "&gt;" &amp; EOMONTH(E2, -1),
    SRT!$C:$C, "&lt;=" &amp; EOMONTH(E2, 0),
    SRT!$H:$H, "ECS/NACH Payment"
  )
)</f>
        <v>4</v>
      </c>
      <c r="F33" s="70">
        <f>SUM(
  COUNTIFS(
    SRT!$B:$B, "ECS PVT",
    SRT!$E:$E, "&gt;0",
    SRT!$C:$C, "&gt;" &amp; EOMONTH(F2, -1),
    SRT!$C:$C, "&lt;=" &amp; EOMONTH(F2, 0),
    SRT!$H:$H, "cheque payment"
  ),
  COUNTIFS(
    SRT!$B:$B, "ECS PVT",
    SRT!$E:$E, "&gt;0",
    SRT!$C:$C, "&gt;" &amp; EOMONTH(F2, -1),
    SRT!$C:$C, "&lt;=" &amp; EOMONTH(F2, 0),
    SRT!$H:$H, "ECS/NACH Payment"
  )
)</f>
        <v>11</v>
      </c>
      <c r="G33" s="70">
        <f>SUM(
  COUNTIFS(
    SRT!$B:$B, "ECS PVT",
    SRT!$E:$E, "&gt;0",
    SRT!$C:$C, "&gt;" &amp; EOMONTH(G2, -1),
    SRT!$C:$C, "&lt;=" &amp; EOMONTH(G2, 0),
    SRT!$H:$H, "cheque payment"
  ),
  COUNTIFS(
    SRT!$B:$B, "ECS PVT",
    SRT!$E:$E, "&gt;0",
    SRT!$C:$C, "&gt;" &amp; EOMONTH(G2, -1),
    SRT!$C:$C, "&lt;=" &amp; EOMONTH(G2, 0),
    SRT!$H:$H, "ECS/NACH Payment"
  )
)</f>
        <v>21</v>
      </c>
      <c r="H33" s="98"/>
      <c r="I33" s="98"/>
      <c r="K33">
        <v>27</v>
      </c>
      <c r="L33" s="105" t="s">
        <v>151</v>
      </c>
      <c r="M33" s="58">
        <f>SUM(B37:G37)/M4</f>
        <v>0</v>
      </c>
      <c r="N33" s="73">
        <f>SUM(B37:G37)</f>
        <v>0</v>
      </c>
      <c r="P33" s="4">
        <v>28</v>
      </c>
      <c r="Q33" s="62" t="s">
        <v>152</v>
      </c>
      <c r="R33" s="90">
        <f>(M15/M13)</f>
        <v>3.5486052409129334</v>
      </c>
      <c r="S33" s="91"/>
    </row>
    <row r="34" spans="1:19" x14ac:dyDescent="0.3">
      <c r="A34" s="62" t="s">
        <v>153</v>
      </c>
      <c r="B34" s="70">
        <f>COUNTIFS(SRT!$B:$B, "BT", SRT!$C:$C, "&lt;=" &amp; EOMONTH(B2, 0), SRT!$C:$C, "&gt;" &amp; EOMONTH(B2, -1))</f>
        <v>124</v>
      </c>
      <c r="C34" s="70">
        <f>COUNTIFS(SRT!$B:$B, "BT", SRT!$C:$C, "&lt;=" &amp; EOMONTH(C2, 0), SRT!$C:$C, "&gt;" &amp; EOMONTH(C2, -1))</f>
        <v>73</v>
      </c>
      <c r="D34" s="70">
        <f>COUNTIFS(SRT!$B:$B, "BT", SRT!$C:$C, "&lt;=" &amp; EOMONTH(D2, 0), SRT!$C:$C, "&gt;" &amp; EOMONTH(D2, -1))</f>
        <v>83</v>
      </c>
      <c r="E34" s="70">
        <f>COUNTIFS(SRT!$B:$B, "BT", SRT!$C:$C, "&lt;=" &amp; EOMONTH(E2, 0), SRT!$C:$C, "&gt;" &amp; EOMONTH(E2, -1))</f>
        <v>95</v>
      </c>
      <c r="F34" s="70">
        <f>COUNTIFS(SRT!$B:$B, "BT", SRT!$C:$C, "&lt;=" &amp; EOMONTH(F2, 0), SRT!$C:$C, "&gt;" &amp; EOMONTH(F2, -1))</f>
        <v>94</v>
      </c>
      <c r="G34" s="71">
        <f>COUNTIFS(SRT!$B:$B, "BT", SRT!$C:$C, "&lt;=" &amp; EOMONTH(G2, 0), SRT!$C:$C, "&gt;" &amp; EOMONTH(G2, -1))</f>
        <v>105</v>
      </c>
      <c r="H34" s="98"/>
      <c r="I34"/>
      <c r="K34">
        <v>28</v>
      </c>
      <c r="L34" s="105" t="s">
        <v>154</v>
      </c>
      <c r="M34" s="58">
        <f>SUM(B38:G38)/M4</f>
        <v>0</v>
      </c>
      <c r="N34" s="73">
        <f>SUM(B38:G38)</f>
        <v>0</v>
      </c>
      <c r="P34" s="101"/>
      <c r="Q34" s="102" t="s">
        <v>102</v>
      </c>
      <c r="R34" s="103"/>
      <c r="S34" s="104"/>
    </row>
    <row r="35" spans="1:19" x14ac:dyDescent="0.3">
      <c r="A35" s="62" t="s">
        <v>155</v>
      </c>
      <c r="B35" s="70">
        <f>COUNTIFS(SRT!$B:$B,"BT",SRT!$C:$C,"&lt;="&amp;EOMONTH(B2,0),SRT!$C:$C,"&gt;"&amp;EOMONTH(B2,-1),SRT!$F:$F,"&gt;"&amp;SUM(SRT!$F:$F)*0.03)</f>
        <v>0</v>
      </c>
      <c r="C35" s="70">
        <f>COUNTIFS(SRT!$B:$B,"BT",SRT!$C:$C,"&lt;="&amp;EOMONTH(C2,0),SRT!$C:$C,"&gt;"&amp;EOMONTH(C2,-1),SRT!$F:$F,"&gt;"&amp;SUM(SRT!$F:$F)*0.03)</f>
        <v>0</v>
      </c>
      <c r="D35" s="70">
        <f>COUNTIFS(SRT!$B:$B,"BT",SRT!$C:$C,"&lt;="&amp;EOMONTH(D2,0),SRT!$C:$C,"&gt;"&amp;EOMONTH(D2,-1),SRT!$F:$F,"&gt;"&amp;SUM(SRT!$F:$F)*0.03)</f>
        <v>0</v>
      </c>
      <c r="E35" s="70">
        <f>COUNTIFS(SRT!$B:$B,"BT",SRT!$C:$C,"&lt;="&amp;EOMONTH(E2,0),SRT!$C:$C,"&gt;"&amp;EOMONTH(E2,-1),SRT!$F:$F,"&gt;"&amp;SUM(SRT!$F:$F)*0.03)</f>
        <v>0</v>
      </c>
      <c r="F35" s="70">
        <f>COUNTIFS(SRT!$B:$B,"BT",SRT!$C:$C,"&lt;="&amp;EOMONTH(F2,0),SRT!$C:$C,"&gt;"&amp;EOMONTH(F2,-1),SRT!$F:$F,"&gt;"&amp;SUM(SRT!$F:$F)*0.03)</f>
        <v>0</v>
      </c>
      <c r="G35" s="70">
        <f>COUNTIFS(SRT!$B:$B,"BT",SRT!$C:$C,"&lt;="&amp;EOMONTH(G2,0),SRT!$C:$C,"&gt;"&amp;EOMONTH(G2,-1),SRT!$F:$F,"&gt;"&amp;SUM(SRT!$F:$F)*0.03)</f>
        <v>0</v>
      </c>
      <c r="H35" s="92"/>
      <c r="I35"/>
      <c r="K35">
        <v>29</v>
      </c>
      <c r="L35" s="105" t="s">
        <v>156</v>
      </c>
      <c r="M35" s="58">
        <f>SUM(B9:G9)/M4</f>
        <v>3114320.3333333335</v>
      </c>
      <c r="N35" s="73">
        <f>SUM(B9:G9)</f>
        <v>18685922</v>
      </c>
      <c r="P35" s="4">
        <v>29</v>
      </c>
      <c r="Q35" s="62" t="s">
        <v>157</v>
      </c>
      <c r="R35" s="90"/>
      <c r="S35" s="91"/>
    </row>
    <row r="36" spans="1:19" x14ac:dyDescent="0.3">
      <c r="A36" s="62" t="s">
        <v>158</v>
      </c>
      <c r="B36" s="70">
        <f>COUNTIFS(SRT!$B:$B,"BT",SRT!$C:$C,"&lt;="&amp;EOMONTH(B2,0),SRT!$C:$C,"&gt;"&amp;EOMONTH(B2,-1),SRT!$E:$E,"&gt;"&amp; (SUM(SRT!$E:$E)*0.03))</f>
        <v>0</v>
      </c>
      <c r="C36" s="70">
        <f>COUNTIFS(SRT!$B:$B,"BT",SRT!$C:$C,"&lt;="&amp;EOMONTH(C2,0),SRT!$C:$C,"&gt;"&amp;EOMONTH(C2,-1),SRT!$E:$E,"&gt;"&amp; (SUM(SRT!$E:$E)*0.03))</f>
        <v>0</v>
      </c>
      <c r="D36" s="70">
        <f>COUNTIFS(SRT!$B:$B,"BT",SRT!$C:$C,"&lt;="&amp;EOMONTH(D2,0),SRT!$C:$C,"&gt;"&amp;EOMONTH(D2,-1),SRT!$E:$E,"&gt;"&amp; (SUM(SRT!$E:$E)*0.03))</f>
        <v>0</v>
      </c>
      <c r="E36" s="70">
        <f>COUNTIFS(SRT!$B:$B,"BT",SRT!$C:$C,"&lt;="&amp;EOMONTH(E2,0),SRT!$C:$C,"&gt;"&amp;EOMONTH(E2,-1),SRT!$E:$E,"&gt;"&amp; (SUM(SRT!$E:$E)*0.03))</f>
        <v>0</v>
      </c>
      <c r="F36" s="70">
        <f>COUNTIFS(SRT!$B:$B,"BT",SRT!$C:$C,"&lt;="&amp;EOMONTH(F2,0),SRT!$C:$C,"&gt;"&amp;EOMONTH(F2,-1),SRT!$E:$E,"&gt;"&amp; (SUM(SRT!$E:$E)*0.03))</f>
        <v>0</v>
      </c>
      <c r="G36" s="70">
        <f>COUNTIFS(SRT!$B:$B,"BT",SRT!$C:$C,"&lt;="&amp;EOMONTH(G2,0),SRT!$C:$C,"&gt;"&amp;EOMONTH(G2,-1),SRT!$E:$E,"&gt;"&amp; (SUM(SRT!$E:$E)*0.03))</f>
        <v>0</v>
      </c>
      <c r="H36"/>
      <c r="K36">
        <v>30</v>
      </c>
      <c r="L36" s="105" t="s">
        <v>159</v>
      </c>
      <c r="M36" s="58">
        <f>SUM(B10:G10)/M4</f>
        <v>4993429.833333333</v>
      </c>
      <c r="N36" s="73">
        <f>SUM(B10:G10)</f>
        <v>29960579</v>
      </c>
      <c r="P36" s="4">
        <v>30</v>
      </c>
      <c r="Q36" s="62" t="s">
        <v>160</v>
      </c>
      <c r="R36" s="90"/>
      <c r="S36" s="91"/>
    </row>
    <row r="37" spans="1:19" x14ac:dyDescent="0.3">
      <c r="A37" s="62" t="s">
        <v>161</v>
      </c>
      <c r="B37" s="70">
        <f>SUMIFS(SRT!$F:$F, SRT!$J:$J, "ITA-C",SRT!$C:$C, "&lt;=" &amp; EOMONTH(B2, 0), SRT!$C:$C, "&gt;" &amp; EOMONTH(B2, -1))</f>
        <v>0</v>
      </c>
      <c r="C37" s="70">
        <f>SUMIFS(SRT!$F:$F, SRT!$J:$J, "ITA-C",SRT!$C:$C, "&lt;=" &amp; EOMONTH(C2, 0), SRT!$C:$C, "&gt;" &amp; EOMONTH(C2, -1))</f>
        <v>0</v>
      </c>
      <c r="D37" s="70">
        <f>SUMIFS(SRT!$F:$F, SRT!$J:$J, "ITA-C",SRT!$C:$C, "&lt;=" &amp; EOMONTH(D2, 0), SRT!$C:$C, "&gt;" &amp; EOMONTH(D2, -1))</f>
        <v>0</v>
      </c>
      <c r="E37" s="70">
        <f>SUMIFS(SRT!$F:$F, SRT!$J:$J, "ITA-C",SRT!$C:$C, "&lt;=" &amp; EOMONTH(E2, 0), SRT!$C:$C, "&gt;" &amp; EOMONTH(E2, -1))</f>
        <v>0</v>
      </c>
      <c r="F37" s="70">
        <f>SUMIFS(SRT!$F:$F, SRT!$J:$J, "ITA-C",SRT!$C:$C, "&lt;=" &amp; EOMONTH(F2, 0), SRT!$C:$C, "&gt;" &amp; EOMONTH(F2, -1))</f>
        <v>0</v>
      </c>
      <c r="G37" s="70">
        <f>SUMIFS(SRT!$F:$F, SRT!$J:$J, "ITA-C",SRT!$C:$C, "&lt;=" &amp; EOMONTH(G2, 0), SRT!$C:$C, "&gt;" &amp; EOMONTH(G2, -1))</f>
        <v>0</v>
      </c>
      <c r="H37" s="98"/>
      <c r="K37">
        <v>31</v>
      </c>
      <c r="L37" s="112" t="s">
        <v>104</v>
      </c>
      <c r="M37" s="113">
        <f t="shared" ref="M37:M42" si="7">SUM(B17:G17)</f>
        <v>-11274657</v>
      </c>
      <c r="N37" s="73"/>
      <c r="P37" s="4">
        <v>31</v>
      </c>
      <c r="Q37" s="62" t="s">
        <v>162</v>
      </c>
      <c r="R37" s="90">
        <f>_xlfn.STDEV.S(B34:G34)/AVERAGE(B34:G34)</f>
        <v>0.18506958063183143</v>
      </c>
      <c r="S37" s="91"/>
    </row>
    <row r="38" spans="1:19" x14ac:dyDescent="0.3">
      <c r="A38" s="62" t="s">
        <v>163</v>
      </c>
      <c r="B38" s="70">
        <f>SUMIFS(SRT!$E:$E, SRT!$J:$J, "ITA-D",SRT!$C:$C, "&lt;=" &amp; EOMONTH(B2, 0), SRT!$C:$C, "&gt;" &amp; EOMONTH(B2, -1))</f>
        <v>0</v>
      </c>
      <c r="C38" s="70">
        <f>SUMIFS(SRT!$E:$E, SRT!$J:$J, "ITA-D",SRT!$C:$C, "&lt;=" &amp; EOMONTH(C2, 0), SRT!$C:$C, "&gt;" &amp; EOMONTH(C2, -1))</f>
        <v>0</v>
      </c>
      <c r="D38" s="70">
        <f>SUMIFS(SRT!$E:$E, SRT!$J:$J, "ITA-D",SRT!$C:$C, "&lt;=" &amp; EOMONTH(D2, 0), SRT!$C:$C, "&gt;" &amp; EOMONTH(D2, -1))</f>
        <v>0</v>
      </c>
      <c r="E38" s="70">
        <f>SUMIFS(SRT!$E:$E, SRT!$J:$J, "ITA-D",SRT!$C:$C, "&lt;=" &amp; EOMONTH(E2, 0), SRT!$C:$C, "&gt;" &amp; EOMONTH(E2, -1))</f>
        <v>0</v>
      </c>
      <c r="F38" s="70">
        <f>SUMIFS(SRT!$E:$E, SRT!$J:$J, "ITA-D",SRT!$C:$C, "&lt;=" &amp; EOMONTH(F2, 0), SRT!$C:$C, "&gt;" &amp; EOMONTH(F2, -1))</f>
        <v>0</v>
      </c>
      <c r="G38" s="70">
        <f>SUMIFS(SRT!$E:$E, SRT!$J:$J, "ITA-D",SRT!$C:$C, "&lt;=" &amp; EOMONTH(G2, 0), SRT!$C:$C, "&gt;" &amp; EOMONTH(G2, -1))</f>
        <v>0</v>
      </c>
      <c r="H38" s="98"/>
      <c r="K38">
        <v>32</v>
      </c>
      <c r="L38" s="114" t="s">
        <v>107</v>
      </c>
      <c r="M38" s="113">
        <f t="shared" si="7"/>
        <v>-4355085.68</v>
      </c>
      <c r="N38" s="73"/>
      <c r="P38" s="4">
        <v>32</v>
      </c>
      <c r="Q38" s="62" t="s">
        <v>164</v>
      </c>
      <c r="R38" s="90"/>
      <c r="S38" s="91"/>
    </row>
    <row r="39" spans="1:19" x14ac:dyDescent="0.3">
      <c r="A39" s="62" t="s">
        <v>165</v>
      </c>
      <c r="B39" s="70" cm="1">
        <f t="array" ref="B39">IF(
  ISNUMBER(B2),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EOMONTH(B2, 0))),
      (--(SRT!$C$2:$C$1169 &gt; EOMONTH(B2, -1))),
      (--(SRT!$B$2:$B$1169 &lt;&gt;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EOMONTH(B2, 0))),
        (--(SRT!$C$2:$C$1169 &gt; EOMONTH(B2, -1))),
        (--(SRT!$B$2:$B$1169 &lt;&gt; "ECS PVT"))
      )
    )
  ),
  0
)</f>
        <v>0</v>
      </c>
      <c r="C39" s="70" cm="1">
        <f t="array" ref="C39">IF(
  ISNUMBER(C2),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EOMONTH(C2, 0))),
      (--(SRT!$C$2:$C$1169 &gt; EOMONTH(C2, -1))),
      (--(SRT!$B$2:$B$1169 &lt;&gt;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EOMONTH(C2, 0))),
        (--(SRT!$C$2:$C$1169 &gt; EOMONTH(C2, -1))),
        (--(SRT!$B$2:$B$1169 &lt;&gt; "ECS PVT"))
      )
    )
  ),
  0
)</f>
        <v>0</v>
      </c>
      <c r="D39" s="70" cm="1">
        <f t="array" ref="D39">IF(
  ISNUMBER(D2),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EOMONTH(D2, 0))),
      (--(SRT!$C$2:$C$1169 &gt; EOMONTH(D2, -1))),
      (--(SRT!$B$2:$B$1169 &lt;&gt;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EOMONTH(D2, 0))),
        (--(SRT!$C$2:$C$1169 &gt; EOMONTH(D2, -1))),
        (--(SRT!$B$2:$B$1169 &lt;&gt; "ECS PVT"))
      )
    )
  ),
  0
)</f>
        <v>0</v>
      </c>
      <c r="E39" s="70" cm="1">
        <f t="array" ref="E39">IF(
  ISNUMBER(E2),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EOMONTH(E2, 0))),
      (--(SRT!$C$2:$C$1169 &gt; EOMONTH(E2, -1))),
      (--(SRT!$B$2:$B$1169 &lt;&gt;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EOMONTH(E2, 0))),
        (--(SRT!$C$2:$C$1169 &gt; EOMONTH(E2, -1))),
        (--(SRT!$B$2:$B$1169 &lt;&gt; "ECS PVT"))
      )
    )
  ),
  0
)</f>
        <v>0</v>
      </c>
      <c r="F39" s="70" cm="1">
        <f t="array" ref="F39">IF(
  ISNUMBER(F2),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EOMONTH(F2, 0))),
      (--(SRT!$C$2:$C$1169 &gt; EOMONTH(F2, -1))),
      (--(SRT!$B$2:$B$1169 &lt;&gt;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EOMONTH(F2, 0))),
        (--(SRT!$C$2:$C$1169 &gt; EOMONTH(F2, -1))),
        (--(SRT!$B$2:$B$1169 &lt;&gt; "ECS PVT"))
      )
    )
  ),
  0
)</f>
        <v>0</v>
      </c>
      <c r="G39" s="70" cm="1">
        <f t="array" ref="G39">IF(
  ISNUMBER(G2),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EOMONTH(G2, 0))),
      (--(SRT!$C$2:$C$1169 &gt; EOMONTH(G2, -1))),
      (--(SRT!$B$2:$B$1169 &lt;&gt;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EOMONTH(G2, 0))),
        (--(SRT!$C$2:$C$1169 &gt; EOMONTH(G2, -1))),
        (--(SRT!$B$2:$B$1169 &lt;&gt; "ECS PVT"))
      )
    )
  ),
  0
)</f>
        <v>0</v>
      </c>
      <c r="H39"/>
      <c r="K39">
        <v>33</v>
      </c>
      <c r="L39" s="114" t="s">
        <v>110</v>
      </c>
      <c r="M39" s="113">
        <f t="shared" si="7"/>
        <v>874689.77</v>
      </c>
      <c r="N39" s="73"/>
      <c r="P39" s="4">
        <v>33</v>
      </c>
      <c r="Q39" s="77" t="s">
        <v>166</v>
      </c>
      <c r="R39" s="90">
        <f>(M29+M30)/M9</f>
        <v>0.76093149208516986</v>
      </c>
      <c r="S39" s="91"/>
    </row>
    <row r="40" spans="1:19" x14ac:dyDescent="0.3">
      <c r="A40" s="110" t="s">
        <v>167</v>
      </c>
      <c r="B40" s="70" cm="1">
        <f t="array" ref="B40">IF(
  ISNUMBER(B2),
  _xlfn.LET(
    _xlpm.result,
    SUMPRODUCT(
      --ISNUMBER(MATCH(SRT!$H$2:$H$1169, {"Cheque Payment","ECS Return","Inward Cheque return","ECS/NACH Payment","ECS/NACH Return","Bank charges","Other Payment"}, 0)),
      --(SRT!$F$2:$F$1169 = ""),
      --ISNUMBER(SEARCH("RTN", SRT!$D$2:$D$1169)),
      --(SRT!$C$2:$C$1169 &lt;= EOMONTH(B2, 0)),
      --(SRT!$C$2:$C$1169 &gt; EOMONTH(B2, -1)),
      --(SRT!$B$2:$B$1169 = "ECS")
    ),
    IF(
      _xlpm.result &gt; 0,
      _xlpm.result,
      SUMPRODUCT(
        --(SRT!$F$2:$F$1169 = ""),
        --( (ISNUMBER(SEARCH("I/W RTN CHGS", SRT!$D$2:$D$1169)))
           + (ISNUMBER(SEARCH("ECS RTN CHGS", SRT!$D$2:$D$1169))) &gt; 0 ),
        --(SRT!$C$2:$C$1169 &lt;= EOMONTH(B2, 0)),
        --(SRT!$C$2:$C$1169 &gt; EOMONTH(B2, -1)),
        --(SRT!$B$2:$B$1169 = "ECS")
      )
    )
  ),
  0
)</f>
        <v>0</v>
      </c>
      <c r="C40" s="70" cm="1">
        <f t="array" ref="C40">IF(
  ISNUMBER(C2),
  _xlfn.LET(
    _xlpm.result,
    SUMPRODUCT(
      --ISNUMBER(MATCH(SRT!$H$2:$H$1169, {"Cheque Payment","ECS Return","Inward Cheque return","ECS/NACH Payment","ECS/NACH Return","Bank charges","Other Payment"}, 0)),
      --(SRT!$F$2:$F$1169 = ""),
      --ISNUMBER(SEARCH("RTN", SRT!$D$2:$D$1169)),
      --(SRT!$C$2:$C$1169 &lt;= EOMONTH(C2, 0)),
      --(SRT!$C$2:$C$1169 &gt; EOMONTH(C2, -1)),
      --(SRT!$B$2:$B$1169 = "ECS")
    ),
    IF(
      _xlpm.result &gt; 0,
      _xlpm.result,
      SUMPRODUCT(
        --(SRT!$F$2:$F$1169 = ""),
        --( (ISNUMBER(SEARCH("I/W RTN CHGS", SRT!$D$2:$D$1169)))
           + (ISNUMBER(SEARCH("ECS RTN CHGS", SRT!$D$2:$D$1169))) &gt; 0 ),
        --(SRT!$C$2:$C$1169 &lt;= EOMONTH(C2, 0)),
        --(SRT!$C$2:$C$1169 &gt; EOMONTH(C2, -1)),
        --(SRT!$B$2:$B$1169 = "ECS")
      )
    )
  ),
  0
)</f>
        <v>0</v>
      </c>
      <c r="D40" s="70" cm="1">
        <f t="array" ref="D40">IF(
  ISNUMBER(D2),
  _xlfn.LET(
    _xlpm.result,
    SUMPRODUCT(
      --ISNUMBER(MATCH(SRT!$H$2:$H$1169, {"Cheque Payment","ECS Return","Inward Cheque return","ECS/NACH Payment","ECS/NACH Return","Bank charges","Other Payment"}, 0)),
      --(SRT!$F$2:$F$1169 = ""),
      --ISNUMBER(SEARCH("RTN", SRT!$D$2:$D$1169)),
      --(SRT!$C$2:$C$1169 &lt;= EOMONTH(D2, 0)),
      --(SRT!$C$2:$C$1169 &gt; EOMONTH(D2, -1)),
      --(SRT!$B$2:$B$1169 = "ECS")
    ),
    IF(
      _xlpm.result &gt; 0,
      _xlpm.result,
      SUMPRODUCT(
        --(SRT!$F$2:$F$1169 = ""),
        --( (ISNUMBER(SEARCH("I/W RTN CHGS", SRT!$D$2:$D$1169)))
           + (ISNUMBER(SEARCH("ECS RTN CHGS", SRT!$D$2:$D$1169))) &gt; 0 ),
        --(SRT!$C$2:$C$1169 &lt;= EOMONTH(D2, 0)),
        --(SRT!$C$2:$C$1169 &gt; EOMONTH(D2, -1)),
        --(SRT!$B$2:$B$1169 = "ECS")
      )
    )
  ),
  0
)</f>
        <v>0</v>
      </c>
      <c r="E40" s="70" cm="1">
        <f t="array" ref="E40">IF(
  ISNUMBER(E2),
  _xlfn.LET(
    _xlpm.result,
    SUMPRODUCT(
      --ISNUMBER(MATCH(SRT!$H$2:$H$1169, {"Cheque Payment","ECS Return","Inward Cheque return","ECS/NACH Payment","ECS/NACH Return","Bank charges","Other Payment"}, 0)),
      --(SRT!$F$2:$F$1169 = ""),
      --ISNUMBER(SEARCH("RTN", SRT!$D$2:$D$1169)),
      --(SRT!$C$2:$C$1169 &lt;= EOMONTH(E2, 0)),
      --(SRT!$C$2:$C$1169 &gt; EOMONTH(E2, -1)),
      --(SRT!$B$2:$B$1169 = "ECS")
    ),
    IF(
      _xlpm.result &gt; 0,
      _xlpm.result,
      SUMPRODUCT(
        --(SRT!$F$2:$F$1169 = ""),
        --( (ISNUMBER(SEARCH("I/W RTN CHGS", SRT!$D$2:$D$1169)))
           + (ISNUMBER(SEARCH("ECS RTN CHGS", SRT!$D$2:$D$1169))) &gt; 0 ),
        --(SRT!$C$2:$C$1169 &lt;= EOMONTH(E2, 0)),
        --(SRT!$C$2:$C$1169 &gt; EOMONTH(E2, -1)),
        --(SRT!$B$2:$B$1169 = "ECS")
      )
    )
  ),
  0
)</f>
        <v>0</v>
      </c>
      <c r="F40" s="70" cm="1">
        <f t="array" ref="F40">IF(
  ISNUMBER(F2),
  _xlfn.LET(
    _xlpm.result,
    SUMPRODUCT(
      --ISNUMBER(MATCH(SRT!$H$2:$H$1169, {"Cheque Payment","ECS Return","Inward Cheque return","ECS/NACH Payment","ECS/NACH Return","Bank charges","Other Payment"}, 0)),
      --(SRT!$F$2:$F$1169 = ""),
      --ISNUMBER(SEARCH("RTN", SRT!$D$2:$D$1169)),
      --(SRT!$C$2:$C$1169 &lt;= EOMONTH(F2, 0)),
      --(SRT!$C$2:$C$1169 &gt; EOMONTH(F2, -1)),
      --(SRT!$B$2:$B$1169 = "ECS")
    ),
    IF(
      _xlpm.result &gt; 0,
      _xlpm.result,
      SUMPRODUCT(
        --(SRT!$F$2:$F$1169 = ""),
        --( (ISNUMBER(SEARCH("I/W RTN CHGS", SRT!$D$2:$D$1169)))
           + (ISNUMBER(SEARCH("ECS RTN CHGS", SRT!$D$2:$D$1169))) &gt; 0 ),
        --(SRT!$C$2:$C$1169 &lt;= EOMONTH(F2, 0)),
        --(SRT!$C$2:$C$1169 &gt; EOMONTH(F2, -1)),
        --(SRT!$B$2:$B$1169 = "ECS")
      )
    )
  ),
  0
)</f>
        <v>0</v>
      </c>
      <c r="G40" s="70" cm="1">
        <f t="array" ref="G40">IF(
  ISNUMBER(G2),
  _xlfn.LET(
    _xlpm.result,
    SUMPRODUCT(
      --ISNUMBER(MATCH(SRT!$H$2:$H$1169, {"Cheque Payment","ECS Return","Inward Cheque return","ECS/NACH Payment","ECS/NACH Return","Bank charges","Other Payment"}, 0)),
      --(SRT!$F$2:$F$1169 = ""),
      --ISNUMBER(SEARCH("RTN", SRT!$D$2:$D$1169)),
      --(SRT!$C$2:$C$1169 &lt;= EOMONTH(G2, 0)),
      --(SRT!$C$2:$C$1169 &gt; EOMONTH(G2, -1)),
      --(SRT!$B$2:$B$1169 = "ECS")
    ),
    IF(
      _xlpm.result &gt; 0,
      _xlpm.result,
      SUMPRODUCT(
        --(SRT!$F$2:$F$1169 = ""),
        --( (ISNUMBER(SEARCH("I/W RTN CHGS", SRT!$D$2:$D$1169)))
           + (ISNUMBER(SEARCH("ECS RTN CHGS", SRT!$D$2:$D$1169))) &gt; 0 ),
        --(SRT!$C$2:$C$1169 &lt;= EOMONTH(G2, 0)),
        --(SRT!$C$2:$C$1169 &gt; EOMONTH(G2, -1)),
        --(SRT!$B$2:$B$1169 = "ECS")
      )
    )
  ),
  0
)</f>
        <v>0</v>
      </c>
      <c r="H40"/>
      <c r="K40">
        <v>34</v>
      </c>
      <c r="L40" s="114" t="s">
        <v>112</v>
      </c>
      <c r="M40" s="113">
        <f t="shared" si="7"/>
        <v>15075000</v>
      </c>
      <c r="N40" s="73"/>
      <c r="P40" s="4">
        <v>34</v>
      </c>
      <c r="Q40" s="77" t="s">
        <v>168</v>
      </c>
      <c r="R40" s="90">
        <f>(M31+M32)/M10</f>
        <v>0.2701564203820308</v>
      </c>
      <c r="S40" s="91"/>
    </row>
    <row r="41" spans="1:19" x14ac:dyDescent="0.3">
      <c r="A41" s="62" t="s">
        <v>169</v>
      </c>
      <c r="B41" s="70" cm="1">
        <f t="array" ref="B41">IF(
  ISNUMBER(B2),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EOMONTH(B2, 0))),
      (--(SRT!$C$2:$C$1169 &gt; EOMONTH(B2, -1))),
      (--(SRT!$B$2:$B$1169 =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EOMONTH(B2, 0))),
        (--(SRT!$C$2:$C$1169 &gt; EOMONTH(B2, -1))),
        (--(SRT!$B$2:$B$1169 = "ECS PVT"))
      )
    )
  ),
  0
)</f>
        <v>0</v>
      </c>
      <c r="C41" s="70" cm="1">
        <f t="array" ref="C41">IF(
  ISNUMBER(C2),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EOMONTH(C2, 0))),
      (--(SRT!$C$2:$C$1169 &gt; EOMONTH(C2, -1))),
      (--(SRT!$B$2:$B$1169 =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EOMONTH(C2, 0))),
        (--(SRT!$C$2:$C$1169 &gt; EOMONTH(C2, -1))),
        (--(SRT!$B$2:$B$1169 = "ECS PVT"))
      )
    )
  ),
  0
)</f>
        <v>0</v>
      </c>
      <c r="D41" s="70" cm="1">
        <f t="array" ref="D41">IF(
  ISNUMBER(D2),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EOMONTH(D2, 0))),
      (--(SRT!$C$2:$C$1169 &gt; EOMONTH(D2, -1))),
      (--(SRT!$B$2:$B$1169 =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EOMONTH(D2, 0))),
        (--(SRT!$C$2:$C$1169 &gt; EOMONTH(D2, -1))),
        (--(SRT!$B$2:$B$1169 = "ECS PVT"))
      )
    )
  ),
  0
)</f>
        <v>0</v>
      </c>
      <c r="E41" s="70" cm="1">
        <f t="array" ref="E41">IF(
  ISNUMBER(E2),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EOMONTH(E2, 0))),
      (--(SRT!$C$2:$C$1169 &gt; EOMONTH(E2, -1))),
      (--(SRT!$B$2:$B$1169 =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EOMONTH(E2, 0))),
        (--(SRT!$C$2:$C$1169 &gt; EOMONTH(E2, -1))),
        (--(SRT!$B$2:$B$1169 = "ECS PVT"))
      )
    )
  ),
  0
)</f>
        <v>0</v>
      </c>
      <c r="F41" s="70" cm="1">
        <f t="array" ref="F41">IF(
  ISNUMBER(F2),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EOMONTH(F2, 0))),
      (--(SRT!$C$2:$C$1169 &gt; EOMONTH(F2, -1))),
      (--(SRT!$B$2:$B$1169 =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EOMONTH(F2, 0))),
        (--(SRT!$C$2:$C$1169 &gt; EOMONTH(F2, -1))),
        (--(SRT!$B$2:$B$1169 = "ECS PVT"))
      )
    )
  ),
  0
)</f>
        <v>0</v>
      </c>
      <c r="G41" s="70" cm="1">
        <f t="array" ref="G41">IF(
  ISNUMBER(G2),
  _xlfn.LET(
    _xlpm.result,
    SUMPRODUCT(
      (--ISNUMBER(MATCH(SRT!$H$2:$H$1169, {"Cheque Payment","ECS Return","Inward Cheque return","ECS/NACH Payment","ECS/NACH Return","Bank charges","Other Payment"}, 0))),
      (--(SRT!$F$2:$F$1169 = "")),
      (--ISNUMBER(SEARCH("RTN", SRT!$D$2:$D$1169))),
      (--(SRT!$C$2:$C$1169 &lt;= EOMONTH(G2, 0))),
      (--(SRT!$C$2:$C$1169 &gt; EOMONTH(G2, -1))),
      (--(SRT!$B$2:$B$1169 = "ECS PVT"))
    ),
    IF(
      _xlpm.result &gt; 0,
      _xlpm.result,
      SUMPRODUCT(
        (--(SRT!$F$2:$F$1169 = "")),
        (--(ISNUMBER(SEARCH("I/W RTN CHGS", SRT!$D$2:$D$1169)) + ISNUMBER(SEARCH("ECS RTN CHGS", SRT!$D$2:$D$1169)) &gt; 0)),
        (--(SRT!$C$2:$C$1169 &lt;= EOMONTH(G2, 0))),
        (--(SRT!$C$2:$C$1169 &gt; EOMONTH(G2, -1))),
        (--(SRT!$B$2:$B$1169 = "ECS PVT"))
      )
    )
  ),
  0
)</f>
        <v>0</v>
      </c>
      <c r="H41"/>
      <c r="K41">
        <v>35</v>
      </c>
      <c r="L41" s="114" t="s">
        <v>170</v>
      </c>
      <c r="M41" s="113">
        <f t="shared" si="7"/>
        <v>535000</v>
      </c>
      <c r="N41" s="73"/>
      <c r="P41" s="4">
        <v>35</v>
      </c>
      <c r="Q41" s="87" t="s">
        <v>171</v>
      </c>
      <c r="R41" s="88">
        <f>M34/(M10*$M$4)</f>
        <v>0</v>
      </c>
      <c r="S41" s="64">
        <f>IF(AND(R26=0, R27=0, R21=0, R22=0), 0,
   SUM(S21,S22,S23,S26,S27,S28)/6)</f>
        <v>2.6666666666666665</v>
      </c>
    </row>
    <row r="42" spans="1:19" x14ac:dyDescent="0.3">
      <c r="A42" s="62" t="s">
        <v>172</v>
      </c>
      <c r="B42" s="70">
        <f>SUMIFS(SRT!$E:$E, SRT!$H:$H, "utility payment",SRT!$C:$C, "&lt;=" &amp; EOMONTH(B2, 0), SRT!$C:$C, "&gt;" &amp; EOMONTH(B2, -1))</f>
        <v>2550</v>
      </c>
      <c r="C42" s="70">
        <f>SUMIFS(SRT!$E:$E, SRT!$H:$H, "utility payment",SRT!$C:$C, "&lt;=" &amp; EOMONTH(C2, 0), SRT!$C:$C, "&gt;" &amp; EOMONTH(C2, -1))</f>
        <v>0</v>
      </c>
      <c r="D42" s="70">
        <f>SUMIFS(SRT!$E:$E, SRT!$H:$H, "utility payment",SRT!$C:$C, "&lt;=" &amp; EOMONTH(D2, 0), SRT!$C:$C, "&gt;" &amp; EOMONTH(D2, -1))</f>
        <v>0</v>
      </c>
      <c r="E42" s="70">
        <f>SUMIFS(SRT!$E:$E, SRT!$H:$H, "utility payment",SRT!$C:$C, "&lt;=" &amp; EOMONTH(E2, 0), SRT!$C:$C, "&gt;" &amp; EOMONTH(E2, -1))</f>
        <v>1532.82</v>
      </c>
      <c r="F42" s="70">
        <f>SUMIFS(SRT!$E:$E, SRT!$H:$H, "utility payment",SRT!$C:$C, "&lt;=" &amp; EOMONTH(F2, 0), SRT!$C:$C, "&gt;" &amp; EOMONTH(F2, -1))</f>
        <v>3910.62</v>
      </c>
      <c r="G42" s="71">
        <f>SUMIFS(SRT!$E:$E, SRT!$H:$H, "utility payment",SRT!$C:$C, "&lt;=" &amp; EOMONTH(G2, 0), SRT!$C:$C, "&gt;" &amp; EOMONTH(G2, -1))</f>
        <v>0</v>
      </c>
      <c r="K42">
        <v>36</v>
      </c>
      <c r="L42" s="114" t="s">
        <v>173</v>
      </c>
      <c r="M42" s="58">
        <f t="shared" si="7"/>
        <v>854947.09000000125</v>
      </c>
      <c r="N42" s="73"/>
    </row>
    <row r="43" spans="1:19" ht="15.6" x14ac:dyDescent="0.3">
      <c r="A43" s="115" t="s">
        <v>174</v>
      </c>
      <c r="B43" s="115" t="s">
        <v>175</v>
      </c>
      <c r="C43" s="115" t="s">
        <v>176</v>
      </c>
      <c r="D43" s="115" t="s">
        <v>177</v>
      </c>
      <c r="E43" s="115" t="s">
        <v>178</v>
      </c>
      <c r="F43" s="115" t="s">
        <v>179</v>
      </c>
      <c r="G43" s="115" t="s">
        <v>180</v>
      </c>
      <c r="H43" s="115" t="s">
        <v>181</v>
      </c>
      <c r="K43">
        <v>37</v>
      </c>
      <c r="L43" t="s">
        <v>182</v>
      </c>
      <c r="M43" s="58">
        <v>1</v>
      </c>
      <c r="N43" s="73"/>
      <c r="Q43" s="116" t="s">
        <v>183</v>
      </c>
      <c r="R43" s="173" t="s">
        <v>184</v>
      </c>
      <c r="S43" s="173"/>
    </row>
    <row r="44" spans="1:19" x14ac:dyDescent="0.3">
      <c r="A44" s="117">
        <f t="shared" ref="A44:H44" si="8">SUM(A45:A1048576)</f>
        <v>8849.989999999998</v>
      </c>
      <c r="B44" s="118">
        <f t="shared" si="8"/>
        <v>106630.37749999996</v>
      </c>
      <c r="C44" s="118">
        <f t="shared" si="8"/>
        <v>94706.595806451616</v>
      </c>
      <c r="D44" s="118">
        <f t="shared" si="8"/>
        <v>183782.62666666668</v>
      </c>
      <c r="E44" s="118">
        <f t="shared" si="8"/>
        <v>270815.78806451603</v>
      </c>
      <c r="F44" s="118">
        <f t="shared" si="8"/>
        <v>830276.67333333346</v>
      </c>
      <c r="G44" s="118">
        <f t="shared" si="8"/>
        <v>569009.87354838708</v>
      </c>
      <c r="H44" s="117">
        <f t="shared" si="8"/>
        <v>47229.14</v>
      </c>
      <c r="Q44" s="174">
        <f>(S5+S7+S8+S11+S16+S17+S12)/4</f>
        <v>3.25</v>
      </c>
      <c r="R44" s="175">
        <f>IF(AND(R26=0, R27=0, R21=0, R22=0), 0,
   SUM(S21,S22,S23,S26,S27,S28,S31)/7)</f>
        <v>2.2857142857142856</v>
      </c>
      <c r="S44" s="175"/>
    </row>
    <row r="45" spans="1:19" x14ac:dyDescent="0.3">
      <c r="A45" s="3">
        <v>8849.989999999998</v>
      </c>
      <c r="B45" s="3">
        <v>106630.37749999996</v>
      </c>
      <c r="C45" s="3">
        <v>94706.595806451616</v>
      </c>
      <c r="D45" s="3">
        <v>183782.62666666668</v>
      </c>
      <c r="E45" s="3">
        <v>270815.78806451603</v>
      </c>
      <c r="F45" s="3">
        <v>830276.67333333346</v>
      </c>
      <c r="G45" s="3">
        <v>569009.87354838708</v>
      </c>
      <c r="H45" s="3">
        <v>47229.14</v>
      </c>
      <c r="Q45" s="174"/>
      <c r="R45" s="175"/>
      <c r="S45" s="175"/>
    </row>
    <row r="46" spans="1:19" x14ac:dyDescent="0.3">
      <c r="A46" s="119"/>
      <c r="B46" s="119"/>
      <c r="C46" s="119"/>
      <c r="D46" s="119"/>
      <c r="E46" s="119"/>
      <c r="F46" s="119"/>
      <c r="G46" s="119"/>
      <c r="H46" s="119"/>
    </row>
    <row r="47" spans="1:19" x14ac:dyDescent="0.3">
      <c r="B47" s="119"/>
      <c r="C47" s="119"/>
      <c r="D47" s="119"/>
      <c r="E47" s="119"/>
      <c r="F47" s="119"/>
      <c r="G47" s="119"/>
    </row>
    <row r="48" spans="1:19" x14ac:dyDescent="0.3">
      <c r="B48" s="119"/>
      <c r="C48" s="119"/>
      <c r="D48" s="119"/>
      <c r="E48" s="119"/>
      <c r="F48" s="119"/>
      <c r="G48" s="119"/>
    </row>
    <row r="61" spans="12:12" x14ac:dyDescent="0.3">
      <c r="L61" t="s">
        <v>185</v>
      </c>
    </row>
    <row r="70" spans="6:10" x14ac:dyDescent="0.3">
      <c r="J70" s="4"/>
    </row>
    <row r="75" spans="6:10" x14ac:dyDescent="0.3">
      <c r="F75"/>
      <c r="G75"/>
    </row>
    <row r="76" spans="6:10" x14ac:dyDescent="0.3">
      <c r="F76"/>
      <c r="G76"/>
      <c r="I76"/>
    </row>
    <row r="77" spans="6:10" x14ac:dyDescent="0.3">
      <c r="F77"/>
      <c r="G77"/>
      <c r="I77"/>
    </row>
    <row r="78" spans="6:10" x14ac:dyDescent="0.3">
      <c r="F78"/>
      <c r="G78"/>
      <c r="I78"/>
    </row>
    <row r="79" spans="6:10" x14ac:dyDescent="0.3">
      <c r="F79"/>
      <c r="G79"/>
      <c r="H79"/>
      <c r="I79"/>
    </row>
    <row r="80" spans="6:10" x14ac:dyDescent="0.3">
      <c r="F80"/>
      <c r="G80"/>
      <c r="H80"/>
      <c r="I80"/>
    </row>
    <row r="81" spans="6:9" x14ac:dyDescent="0.3">
      <c r="F81"/>
      <c r="G81"/>
      <c r="H81"/>
      <c r="I81"/>
    </row>
    <row r="82" spans="6:9" x14ac:dyDescent="0.3">
      <c r="F82"/>
      <c r="G82"/>
      <c r="H82"/>
      <c r="I82"/>
    </row>
    <row r="83" spans="6:9" x14ac:dyDescent="0.3">
      <c r="F83"/>
      <c r="G83"/>
      <c r="H83"/>
      <c r="I83"/>
    </row>
    <row r="84" spans="6:9" x14ac:dyDescent="0.3">
      <c r="F84"/>
      <c r="G84"/>
      <c r="H84"/>
      <c r="I84"/>
    </row>
    <row r="85" spans="6:9" x14ac:dyDescent="0.3">
      <c r="F85"/>
      <c r="G85"/>
      <c r="H85"/>
      <c r="I85"/>
    </row>
    <row r="86" spans="6:9" x14ac:dyDescent="0.3">
      <c r="F86"/>
      <c r="G86"/>
      <c r="H86"/>
      <c r="I86"/>
    </row>
    <row r="87" spans="6:9" x14ac:dyDescent="0.3">
      <c r="F87"/>
      <c r="G87"/>
      <c r="H87"/>
      <c r="I87"/>
    </row>
    <row r="88" spans="6:9" x14ac:dyDescent="0.3">
      <c r="F88"/>
      <c r="G88"/>
      <c r="H88"/>
      <c r="I88"/>
    </row>
    <row r="89" spans="6:9" x14ac:dyDescent="0.3">
      <c r="F89"/>
      <c r="G89"/>
      <c r="H89"/>
      <c r="I89"/>
    </row>
    <row r="90" spans="6:9" x14ac:dyDescent="0.3">
      <c r="F90"/>
      <c r="G90"/>
      <c r="H90"/>
      <c r="I90"/>
    </row>
    <row r="91" spans="6:9" x14ac:dyDescent="0.3">
      <c r="F91"/>
      <c r="G91"/>
      <c r="H91"/>
      <c r="I91"/>
    </row>
    <row r="92" spans="6:9" x14ac:dyDescent="0.3">
      <c r="F92"/>
      <c r="G92"/>
      <c r="H92"/>
      <c r="I92"/>
    </row>
    <row r="93" spans="6:9" x14ac:dyDescent="0.3">
      <c r="F93"/>
      <c r="G93"/>
      <c r="H93"/>
      <c r="I93"/>
    </row>
    <row r="94" spans="6:9" x14ac:dyDescent="0.3">
      <c r="G94"/>
      <c r="H94"/>
      <c r="I94"/>
    </row>
    <row r="95" spans="6:9" x14ac:dyDescent="0.3">
      <c r="H95"/>
      <c r="I95"/>
    </row>
    <row r="96" spans="6:9" x14ac:dyDescent="0.3">
      <c r="H96"/>
    </row>
    <row r="97" spans="8:8" x14ac:dyDescent="0.3">
      <c r="H97"/>
    </row>
    <row r="98" spans="8:8" x14ac:dyDescent="0.3">
      <c r="H98"/>
    </row>
  </sheetData>
  <mergeCells count="6">
    <mergeCell ref="M1:N1"/>
    <mergeCell ref="K2:N2"/>
    <mergeCell ref="P2:S2"/>
    <mergeCell ref="R43:S43"/>
    <mergeCell ref="Q44:Q45"/>
    <mergeCell ref="R44:S45"/>
  </mergeCells>
  <conditionalFormatting sqref="B17:H22">
    <cfRule type="cellIs" dxfId="26" priority="3" operator="greaterThan">
      <formula>0</formula>
    </cfRule>
    <cfRule type="cellIs" dxfId="25" priority="4" operator="lessThan">
      <formula>0</formula>
    </cfRule>
  </conditionalFormatting>
  <conditionalFormatting sqref="M37:M42">
    <cfRule type="cellIs" dxfId="24" priority="1" operator="greaterThan">
      <formula>0</formula>
    </cfRule>
    <cfRule type="cellIs" dxfId="23" priority="2" operator="lessThan">
      <formula>0</formula>
    </cfRule>
  </conditionalFormatting>
  <conditionalFormatting sqref="Q44">
    <cfRule type="cellIs" dxfId="22" priority="26" operator="lessThan">
      <formula>2.5</formula>
    </cfRule>
    <cfRule type="cellIs" dxfId="21" priority="27" operator="greaterThanOrEqual">
      <formula>2.5</formula>
    </cfRule>
  </conditionalFormatting>
  <conditionalFormatting sqref="R5">
    <cfRule type="cellIs" dxfId="20" priority="24" operator="greaterThan">
      <formula>3</formula>
    </cfRule>
  </conditionalFormatting>
  <conditionalFormatting sqref="R6">
    <cfRule type="cellIs" dxfId="19" priority="23" operator="greaterThan">
      <formula>0.95</formula>
    </cfRule>
  </conditionalFormatting>
  <conditionalFormatting sqref="R7:R9">
    <cfRule type="cellIs" dxfId="18" priority="22" operator="greaterThan">
      <formula>0.5</formula>
    </cfRule>
  </conditionalFormatting>
  <conditionalFormatting sqref="R10">
    <cfRule type="cellIs" dxfId="17" priority="12" operator="lessThan">
      <formula>-0.1</formula>
    </cfRule>
  </conditionalFormatting>
  <conditionalFormatting sqref="R10:R11">
    <cfRule type="cellIs" dxfId="16" priority="13" operator="greaterThan">
      <formula>0.05</formula>
    </cfRule>
  </conditionalFormatting>
  <conditionalFormatting sqref="R12:R13">
    <cfRule type="cellIs" dxfId="15" priority="21" operator="greaterThan">
      <formula>1.25</formula>
    </cfRule>
  </conditionalFormatting>
  <conditionalFormatting sqref="R15">
    <cfRule type="cellIs" dxfId="14" priority="11" operator="greaterThan">
      <formula>0.05</formula>
    </cfRule>
  </conditionalFormatting>
  <conditionalFormatting sqref="R16">
    <cfRule type="cellIs" dxfId="13" priority="20" operator="lessThan">
      <formula>0.05</formula>
    </cfRule>
  </conditionalFormatting>
  <conditionalFormatting sqref="R17">
    <cfRule type="cellIs" dxfId="12" priority="8" operator="greaterThanOrEqual">
      <formula>1</formula>
    </cfRule>
  </conditionalFormatting>
  <conditionalFormatting sqref="R18">
    <cfRule type="cellIs" dxfId="11" priority="19" operator="greaterThan">
      <formula>0</formula>
    </cfRule>
  </conditionalFormatting>
  <conditionalFormatting sqref="R20">
    <cfRule type="cellIs" dxfId="10" priority="17" operator="greaterThan">
      <formula>1.25</formula>
    </cfRule>
  </conditionalFormatting>
  <conditionalFormatting sqref="R21:R22">
    <cfRule type="cellIs" dxfId="9" priority="16" operator="greaterThan">
      <formula>0.4</formula>
    </cfRule>
  </conditionalFormatting>
  <conditionalFormatting sqref="R23:R25">
    <cfRule type="cellIs" dxfId="8" priority="15" operator="greaterThan">
      <formula>4</formula>
    </cfRule>
  </conditionalFormatting>
  <conditionalFormatting sqref="R26:R27">
    <cfRule type="cellIs" dxfId="7" priority="14" operator="greaterThan">
      <formula>0.4</formula>
    </cfRule>
  </conditionalFormatting>
  <conditionalFormatting sqref="R30:R31">
    <cfRule type="cellIs" dxfId="6" priority="7" operator="greaterThanOrEqual">
      <formula>1</formula>
    </cfRule>
  </conditionalFormatting>
  <conditionalFormatting sqref="R32">
    <cfRule type="cellIs" dxfId="5" priority="6" operator="greaterThan">
      <formula>0</formula>
    </cfRule>
  </conditionalFormatting>
  <conditionalFormatting sqref="R33">
    <cfRule type="cellIs" dxfId="4" priority="10" operator="greaterThan">
      <formula>1</formula>
    </cfRule>
  </conditionalFormatting>
  <conditionalFormatting sqref="R39:R40">
    <cfRule type="cellIs" dxfId="3" priority="9" operator="greaterThan">
      <formula>0.7</formula>
    </cfRule>
  </conditionalFormatting>
  <conditionalFormatting sqref="R41">
    <cfRule type="cellIs" dxfId="2" priority="18" operator="greaterThan">
      <formula>0.8</formula>
    </cfRule>
  </conditionalFormatting>
  <conditionalFormatting sqref="R44">
    <cfRule type="cellIs" dxfId="1" priority="25" operator="greaterThanOrEqual">
      <formula>2.5</formula>
    </cfRule>
  </conditionalFormatting>
  <conditionalFormatting sqref="R44:S45">
    <cfRule type="cellIs" dxfId="0" priority="5" operator="lessThan">
      <formula>2.5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SRT</vt:lpstr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2025-08-13T08:04:29Z</dcterms:modified>
</cp:coreProperties>
</file>