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in disk\NHH\BUS401E\Exam prep\"/>
    </mc:Choice>
  </mc:AlternateContent>
  <xr:revisionPtr revIDLastSave="0" documentId="13_ncr:1_{FDF4C882-B3A0-4077-83C1-3D9D47C44026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Capital Cost Exam" sheetId="11" r:id="rId1"/>
    <sheet name="Capital Cost" sheetId="1" r:id="rId2"/>
    <sheet name="Accounting Adjustment (CapCost)" sheetId="2" r:id="rId3"/>
    <sheet name="Lorentz Curve" sheetId="4" r:id="rId4"/>
    <sheet name="Lorentz Example" sheetId="10" r:id="rId5"/>
    <sheet name="Stobachoff Curve" sheetId="3" r:id="rId6"/>
    <sheet name="Stobachoff Example" sheetId="8" r:id="rId7"/>
    <sheet name="Price Level" sheetId="7" r:id="rId8"/>
    <sheet name="Price Level (Notes)" sheetId="6" r:id="rId9"/>
    <sheet name="Breakeven-analysi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1" l="1"/>
  <c r="F63" i="11"/>
  <c r="E63" i="11"/>
  <c r="D63" i="11"/>
  <c r="G52" i="11"/>
  <c r="F52" i="11"/>
  <c r="E52" i="11"/>
  <c r="D52" i="11"/>
  <c r="I31" i="11"/>
  <c r="E30" i="11"/>
  <c r="F30" i="11"/>
  <c r="G30" i="11"/>
  <c r="H30" i="11"/>
  <c r="I30" i="11"/>
  <c r="J30" i="11"/>
  <c r="D30" i="11"/>
  <c r="J25" i="11"/>
  <c r="I25" i="11"/>
  <c r="H25" i="11"/>
  <c r="G25" i="11"/>
  <c r="F25" i="11"/>
  <c r="E25" i="11"/>
  <c r="D25" i="11"/>
  <c r="L29" i="11"/>
  <c r="K29" i="11"/>
  <c r="J29" i="11"/>
  <c r="J31" i="11" s="1"/>
  <c r="I29" i="11"/>
  <c r="H29" i="11"/>
  <c r="H31" i="11" s="1"/>
  <c r="G29" i="11"/>
  <c r="G31" i="11" s="1"/>
  <c r="F29" i="11"/>
  <c r="F31" i="11" s="1"/>
  <c r="E29" i="11"/>
  <c r="E31" i="11" s="1"/>
  <c r="D29" i="11"/>
  <c r="D31" i="11" s="1"/>
  <c r="C29" i="11"/>
  <c r="C31" i="11" s="1"/>
  <c r="B29" i="11"/>
  <c r="B40" i="11" s="1"/>
  <c r="B51" i="11" s="1"/>
  <c r="B62" i="11" s="1"/>
  <c r="B28" i="11"/>
  <c r="B39" i="11" s="1"/>
  <c r="B50" i="11" s="1"/>
  <c r="B61" i="11" s="1"/>
  <c r="L27" i="11"/>
  <c r="K27" i="11"/>
  <c r="K26" i="11" s="1"/>
  <c r="B27" i="11"/>
  <c r="B38" i="11" s="1"/>
  <c r="B49" i="11" s="1"/>
  <c r="B60" i="11" s="1"/>
  <c r="B26" i="11"/>
  <c r="B37" i="11" s="1"/>
  <c r="L24" i="11"/>
  <c r="K24" i="11"/>
  <c r="J24" i="11"/>
  <c r="I24" i="11"/>
  <c r="H24" i="11"/>
  <c r="G24" i="11"/>
  <c r="F24" i="11"/>
  <c r="E24" i="11"/>
  <c r="D24" i="11"/>
  <c r="C24" i="11"/>
  <c r="C28" i="11" s="1"/>
  <c r="C27" i="11" s="1"/>
  <c r="B24" i="11"/>
  <c r="L58" i="11"/>
  <c r="L47" i="11"/>
  <c r="G58" i="11"/>
  <c r="F58" i="11"/>
  <c r="E58" i="11"/>
  <c r="D58" i="11"/>
  <c r="E47" i="11"/>
  <c r="F47" i="11"/>
  <c r="G47" i="11"/>
  <c r="D47" i="11"/>
  <c r="J36" i="11"/>
  <c r="I36" i="11"/>
  <c r="H36" i="11"/>
  <c r="G36" i="11"/>
  <c r="F36" i="11"/>
  <c r="E36" i="11"/>
  <c r="D36" i="11"/>
  <c r="F14" i="11"/>
  <c r="G14" i="11"/>
  <c r="H14" i="11"/>
  <c r="I14" i="11"/>
  <c r="J14" i="11"/>
  <c r="E14" i="11"/>
  <c r="D14" i="11"/>
  <c r="L57" i="11"/>
  <c r="J57" i="11"/>
  <c r="C57" i="11"/>
  <c r="C61" i="11" s="1"/>
  <c r="L46" i="11"/>
  <c r="J46" i="11"/>
  <c r="C46" i="11"/>
  <c r="D46" i="11" s="1"/>
  <c r="E46" i="11" s="1"/>
  <c r="F46" i="11" s="1"/>
  <c r="G46" i="11" s="1"/>
  <c r="B46" i="11"/>
  <c r="B57" i="11" s="1"/>
  <c r="L38" i="11"/>
  <c r="K38" i="11"/>
  <c r="L35" i="11"/>
  <c r="L37" i="11" s="1"/>
  <c r="K35" i="11"/>
  <c r="K37" i="11" s="1"/>
  <c r="J35" i="11"/>
  <c r="J37" i="11" s="1"/>
  <c r="I35" i="11"/>
  <c r="I37" i="11" s="1"/>
  <c r="H35" i="11"/>
  <c r="H37" i="11" s="1"/>
  <c r="G35" i="11"/>
  <c r="G37" i="11" s="1"/>
  <c r="F35" i="11"/>
  <c r="F37" i="11" s="1"/>
  <c r="E35" i="11"/>
  <c r="E37" i="11" s="1"/>
  <c r="D35" i="11"/>
  <c r="D37" i="11" s="1"/>
  <c r="C35" i="11"/>
  <c r="C37" i="11" s="1"/>
  <c r="B34" i="11"/>
  <c r="B45" i="11" s="1"/>
  <c r="B56" i="11" s="1"/>
  <c r="L16" i="11"/>
  <c r="K16" i="11"/>
  <c r="L13" i="11"/>
  <c r="L15" i="11" s="1"/>
  <c r="K13" i="11"/>
  <c r="K15" i="11" s="1"/>
  <c r="J13" i="11"/>
  <c r="J15" i="11" s="1"/>
  <c r="I13" i="11"/>
  <c r="I15" i="11" s="1"/>
  <c r="H13" i="11"/>
  <c r="H15" i="11" s="1"/>
  <c r="G13" i="11"/>
  <c r="G15" i="11" s="1"/>
  <c r="F13" i="11"/>
  <c r="F15" i="11" s="1"/>
  <c r="E13" i="11"/>
  <c r="E15" i="11" s="1"/>
  <c r="D13" i="11"/>
  <c r="D15" i="11" s="1"/>
  <c r="C13" i="11"/>
  <c r="C15" i="11" s="1"/>
  <c r="C8" i="11"/>
  <c r="Q15" i="10"/>
  <c r="Q17" i="10"/>
  <c r="Q16" i="10"/>
  <c r="Q13" i="10"/>
  <c r="Q12" i="10"/>
  <c r="Q10" i="10"/>
  <c r="Q6" i="10"/>
  <c r="Q7" i="10"/>
  <c r="Q8" i="10"/>
  <c r="Q9" i="10"/>
  <c r="Q5" i="10"/>
  <c r="P6" i="10"/>
  <c r="P7" i="10"/>
  <c r="P8" i="10"/>
  <c r="P5" i="10"/>
  <c r="O6" i="10"/>
  <c r="O7" i="10"/>
  <c r="O8" i="10"/>
  <c r="O9" i="10"/>
  <c r="O5" i="10"/>
  <c r="N5" i="10"/>
  <c r="N6" i="10" s="1"/>
  <c r="N7" i="10" s="1"/>
  <c r="N8" i="10" s="1"/>
  <c r="N9" i="10" s="1"/>
  <c r="M5" i="10"/>
  <c r="M6" i="10"/>
  <c r="M7" i="10"/>
  <c r="M8" i="10"/>
  <c r="M9" i="10"/>
  <c r="L5" i="10"/>
  <c r="L6" i="10" s="1"/>
  <c r="L7" i="10" s="1"/>
  <c r="L8" i="10" s="1"/>
  <c r="L9" i="10" s="1"/>
  <c r="K5" i="10"/>
  <c r="K6" i="10"/>
  <c r="K7" i="10"/>
  <c r="K8" i="10"/>
  <c r="K9" i="10"/>
  <c r="C10" i="10"/>
  <c r="D10" i="10"/>
  <c r="F10" i="10"/>
  <c r="H10" i="10"/>
  <c r="E7" i="10"/>
  <c r="G7" i="10" s="1"/>
  <c r="E8" i="10"/>
  <c r="G8" i="10" s="1"/>
  <c r="I8" i="10" s="1"/>
  <c r="J8" i="10" s="1"/>
  <c r="E6" i="10"/>
  <c r="G6" i="10" s="1"/>
  <c r="I6" i="10" s="1"/>
  <c r="J6" i="10" s="1"/>
  <c r="E9" i="10"/>
  <c r="G9" i="10" s="1"/>
  <c r="I9" i="10" s="1"/>
  <c r="J9" i="10" s="1"/>
  <c r="E5" i="10"/>
  <c r="G5" i="10" s="1"/>
  <c r="I5" i="10" s="1"/>
  <c r="J5" i="10" s="1"/>
  <c r="C37" i="4"/>
  <c r="D33" i="4"/>
  <c r="D32" i="4"/>
  <c r="C38" i="4"/>
  <c r="D31" i="4"/>
  <c r="S13" i="8"/>
  <c r="C14" i="3"/>
  <c r="C16" i="3" s="1"/>
  <c r="L26" i="11" l="1"/>
  <c r="K18" i="11"/>
  <c r="C26" i="11"/>
  <c r="D28" i="11" s="1"/>
  <c r="B48" i="11"/>
  <c r="B59" i="11" s="1"/>
  <c r="C50" i="11"/>
  <c r="C49" i="11" s="1"/>
  <c r="D57" i="11"/>
  <c r="E57" i="11" s="1"/>
  <c r="F57" i="11" s="1"/>
  <c r="G57" i="11" s="1"/>
  <c r="G62" i="11" s="1"/>
  <c r="G64" i="11" s="1"/>
  <c r="L40" i="11"/>
  <c r="L18" i="11"/>
  <c r="K40" i="11"/>
  <c r="L59" i="11"/>
  <c r="C39" i="11"/>
  <c r="C38" i="11" s="1"/>
  <c r="C40" i="11" s="1"/>
  <c r="C60" i="11"/>
  <c r="C51" i="11"/>
  <c r="C53" i="11" s="1"/>
  <c r="D51" i="11"/>
  <c r="D53" i="11" s="1"/>
  <c r="E51" i="11"/>
  <c r="E53" i="11" s="1"/>
  <c r="F51" i="11"/>
  <c r="F53" i="11" s="1"/>
  <c r="G51" i="11"/>
  <c r="G53" i="11" s="1"/>
  <c r="C17" i="11"/>
  <c r="L48" i="11"/>
  <c r="C62" i="11"/>
  <c r="C64" i="11" s="1"/>
  <c r="G10" i="10"/>
  <c r="I7" i="10"/>
  <c r="E10" i="10"/>
  <c r="D34" i="4"/>
  <c r="G80" i="6"/>
  <c r="F80" i="6"/>
  <c r="F81" i="6"/>
  <c r="F82" i="6"/>
  <c r="F83" i="6"/>
  <c r="F84" i="6"/>
  <c r="F85" i="6"/>
  <c r="F86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72" i="6"/>
  <c r="F79" i="6"/>
  <c r="E72" i="6"/>
  <c r="E73" i="6"/>
  <c r="E74" i="6"/>
  <c r="E75" i="6"/>
  <c r="E76" i="6"/>
  <c r="E77" i="6"/>
  <c r="E78" i="6"/>
  <c r="E80" i="6"/>
  <c r="E79" i="6"/>
  <c r="C62" i="6"/>
  <c r="C60" i="6"/>
  <c r="D82" i="6" s="1"/>
  <c r="I79" i="6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80" i="6"/>
  <c r="D80" i="6" s="1"/>
  <c r="C81" i="6"/>
  <c r="C82" i="6"/>
  <c r="C83" i="6"/>
  <c r="D83" i="6" s="1"/>
  <c r="C84" i="6"/>
  <c r="C85" i="6"/>
  <c r="D85" i="6" s="1"/>
  <c r="C86" i="6"/>
  <c r="D86" i="6" s="1"/>
  <c r="C79" i="6"/>
  <c r="C78" i="6"/>
  <c r="C66" i="6"/>
  <c r="C67" i="6" s="1"/>
  <c r="D67" i="6" s="1"/>
  <c r="E24" i="7"/>
  <c r="E23" i="7"/>
  <c r="G23" i="7"/>
  <c r="D4" i="7"/>
  <c r="D5" i="7"/>
  <c r="C9" i="7"/>
  <c r="D53" i="6"/>
  <c r="D52" i="6"/>
  <c r="D51" i="6"/>
  <c r="D50" i="6"/>
  <c r="D49" i="6"/>
  <c r="D48" i="6"/>
  <c r="C44" i="6"/>
  <c r="E51" i="6" s="1"/>
  <c r="L53" i="1"/>
  <c r="B53" i="1"/>
  <c r="B54" i="1"/>
  <c r="B55" i="1"/>
  <c r="B56" i="1"/>
  <c r="C53" i="1"/>
  <c r="D53" i="1" s="1"/>
  <c r="J53" i="1"/>
  <c r="L43" i="1"/>
  <c r="J43" i="1"/>
  <c r="S14" i="8"/>
  <c r="S16" i="8" s="1"/>
  <c r="T9" i="8"/>
  <c r="S11" i="8"/>
  <c r="T6" i="8"/>
  <c r="T7" i="8"/>
  <c r="T8" i="8"/>
  <c r="T5" i="8"/>
  <c r="S10" i="8"/>
  <c r="S9" i="8"/>
  <c r="S6" i="8"/>
  <c r="S7" i="8"/>
  <c r="S8" i="8"/>
  <c r="S5" i="8"/>
  <c r="Q6" i="8"/>
  <c r="Q7" i="8" s="1"/>
  <c r="Q8" i="8" s="1"/>
  <c r="Q9" i="8" s="1"/>
  <c r="Q10" i="8" s="1"/>
  <c r="Q5" i="8"/>
  <c r="P7" i="8"/>
  <c r="P8" i="8"/>
  <c r="P9" i="8"/>
  <c r="P10" i="8"/>
  <c r="P5" i="8"/>
  <c r="P6" i="8"/>
  <c r="N11" i="8"/>
  <c r="O6" i="8"/>
  <c r="O7" i="8" s="1"/>
  <c r="O8" i="8" s="1"/>
  <c r="O9" i="8" s="1"/>
  <c r="O10" i="8" s="1"/>
  <c r="O5" i="8"/>
  <c r="N6" i="8"/>
  <c r="N7" i="8"/>
  <c r="N8" i="8"/>
  <c r="N9" i="8"/>
  <c r="N10" i="8"/>
  <c r="N5" i="8"/>
  <c r="M6" i="8"/>
  <c r="M7" i="8" s="1"/>
  <c r="M8" i="8" s="1"/>
  <c r="M9" i="8" s="1"/>
  <c r="M10" i="8" s="1"/>
  <c r="M5" i="8"/>
  <c r="H10" i="8"/>
  <c r="H7" i="8"/>
  <c r="H8" i="8"/>
  <c r="H9" i="8"/>
  <c r="H5" i="8"/>
  <c r="H6" i="8"/>
  <c r="J10" i="8"/>
  <c r="J7" i="8"/>
  <c r="J8" i="8"/>
  <c r="J9" i="8"/>
  <c r="J5" i="8"/>
  <c r="J6" i="8"/>
  <c r="I11" i="8"/>
  <c r="L6" i="8" s="1"/>
  <c r="F10" i="8"/>
  <c r="F7" i="8"/>
  <c r="F8" i="8"/>
  <c r="F9" i="8"/>
  <c r="F5" i="8"/>
  <c r="F6" i="8"/>
  <c r="C11" i="8"/>
  <c r="D5" i="8" s="1"/>
  <c r="G4" i="7"/>
  <c r="C8" i="7"/>
  <c r="I12" i="6"/>
  <c r="I11" i="6"/>
  <c r="L11" i="6" s="1"/>
  <c r="L14" i="6"/>
  <c r="L13" i="6"/>
  <c r="L12" i="6"/>
  <c r="L6" i="6"/>
  <c r="L7" i="6"/>
  <c r="L5" i="6"/>
  <c r="L4" i="6"/>
  <c r="L8" i="6" s="1"/>
  <c r="D26" i="6"/>
  <c r="D14" i="6"/>
  <c r="D31" i="6"/>
  <c r="D32" i="6"/>
  <c r="C30" i="6"/>
  <c r="D30" i="6" s="1"/>
  <c r="D19" i="6"/>
  <c r="D20" i="6"/>
  <c r="C18" i="6"/>
  <c r="C21" i="6" s="1"/>
  <c r="C22" i="6" s="1"/>
  <c r="D7" i="6"/>
  <c r="D8" i="6"/>
  <c r="D6" i="6"/>
  <c r="C9" i="6"/>
  <c r="C10" i="6" s="1"/>
  <c r="D27" i="11" l="1"/>
  <c r="D26" i="11" s="1"/>
  <c r="E28" i="11" s="1"/>
  <c r="F62" i="11"/>
  <c r="F64" i="11" s="1"/>
  <c r="D62" i="11"/>
  <c r="D64" i="11" s="1"/>
  <c r="E62" i="11"/>
  <c r="E64" i="11" s="1"/>
  <c r="C48" i="11"/>
  <c r="D39" i="11"/>
  <c r="D38" i="11" s="1"/>
  <c r="D40" i="11" s="1"/>
  <c r="C59" i="11"/>
  <c r="D17" i="11"/>
  <c r="C16" i="11"/>
  <c r="C18" i="11" s="1"/>
  <c r="O4" i="7"/>
  <c r="O5" i="7" s="1"/>
  <c r="O13" i="7" s="1"/>
  <c r="O14" i="7" s="1"/>
  <c r="I10" i="10"/>
  <c r="J7" i="10"/>
  <c r="D78" i="6"/>
  <c r="D79" i="6"/>
  <c r="D81" i="6"/>
  <c r="D84" i="6"/>
  <c r="G79" i="6"/>
  <c r="D9" i="6"/>
  <c r="D10" i="6" s="1"/>
  <c r="L15" i="6"/>
  <c r="F51" i="6"/>
  <c r="E52" i="6"/>
  <c r="D66" i="6"/>
  <c r="D68" i="6" s="1"/>
  <c r="F52" i="6"/>
  <c r="E50" i="6"/>
  <c r="E49" i="6"/>
  <c r="F49" i="6" s="1"/>
  <c r="F50" i="6"/>
  <c r="E48" i="6"/>
  <c r="F48" i="6" s="1"/>
  <c r="E53" i="6"/>
  <c r="F53" i="6" s="1"/>
  <c r="L16" i="6"/>
  <c r="F27" i="7"/>
  <c r="F8" i="7"/>
  <c r="C56" i="1"/>
  <c r="E53" i="1"/>
  <c r="F53" i="1" s="1"/>
  <c r="G53" i="1" s="1"/>
  <c r="L5" i="8"/>
  <c r="L11" i="8" s="1"/>
  <c r="L7" i="8"/>
  <c r="L10" i="8"/>
  <c r="L9" i="8"/>
  <c r="L8" i="8"/>
  <c r="D8" i="8"/>
  <c r="D10" i="8"/>
  <c r="D6" i="8"/>
  <c r="D9" i="8"/>
  <c r="D7" i="8"/>
  <c r="C33" i="6"/>
  <c r="C34" i="6" s="1"/>
  <c r="D18" i="6"/>
  <c r="D33" i="6"/>
  <c r="D34" i="6" s="1"/>
  <c r="D21" i="6"/>
  <c r="D22" i="6" s="1"/>
  <c r="C43" i="1"/>
  <c r="C46" i="1" s="1"/>
  <c r="E27" i="11" l="1"/>
  <c r="E26" i="11" s="1"/>
  <c r="F28" i="11" s="1"/>
  <c r="E39" i="11"/>
  <c r="E38" i="11"/>
  <c r="E40" i="11" s="1"/>
  <c r="F39" i="11"/>
  <c r="E17" i="11"/>
  <c r="D16" i="11"/>
  <c r="D18" i="11" s="1"/>
  <c r="R13" i="7"/>
  <c r="R14" i="7" s="1"/>
  <c r="R3" i="7"/>
  <c r="D43" i="1"/>
  <c r="E43" i="1" s="1"/>
  <c r="F27" i="11" l="1"/>
  <c r="F26" i="11" s="1"/>
  <c r="G28" i="11" s="1"/>
  <c r="F38" i="11"/>
  <c r="F40" i="11" s="1"/>
  <c r="G39" i="11"/>
  <c r="F17" i="11"/>
  <c r="E16" i="11"/>
  <c r="E18" i="11" s="1"/>
  <c r="F43" i="1"/>
  <c r="G27" i="11" l="1"/>
  <c r="G26" i="11" s="1"/>
  <c r="H28" i="11"/>
  <c r="G38" i="11"/>
  <c r="G40" i="11" s="1"/>
  <c r="H39" i="11"/>
  <c r="G17" i="11"/>
  <c r="F16" i="11"/>
  <c r="F18" i="11" s="1"/>
  <c r="G43" i="1"/>
  <c r="H27" i="11" l="1"/>
  <c r="H26" i="11" s="1"/>
  <c r="I28" i="11"/>
  <c r="H38" i="11"/>
  <c r="H40" i="11" s="1"/>
  <c r="I39" i="11"/>
  <c r="H17" i="11"/>
  <c r="G16" i="11"/>
  <c r="G18" i="11" s="1"/>
  <c r="B43" i="1"/>
  <c r="H33" i="1"/>
  <c r="H34" i="1" s="1"/>
  <c r="I33" i="1"/>
  <c r="I34" i="1" s="1"/>
  <c r="J33" i="1"/>
  <c r="J34" i="1" s="1"/>
  <c r="K33" i="1"/>
  <c r="K34" i="1" s="1"/>
  <c r="L33" i="1"/>
  <c r="L34" i="1" s="1"/>
  <c r="F33" i="1"/>
  <c r="F34" i="1" s="1"/>
  <c r="G33" i="1"/>
  <c r="G34" i="1" s="1"/>
  <c r="C33" i="1"/>
  <c r="C34" i="1" s="1"/>
  <c r="D33" i="1"/>
  <c r="D34" i="1" s="1"/>
  <c r="E33" i="1"/>
  <c r="E34" i="1" s="1"/>
  <c r="B37" i="1"/>
  <c r="B47" i="1" s="1"/>
  <c r="B57" i="1" s="1"/>
  <c r="B34" i="1"/>
  <c r="B44" i="1" s="1"/>
  <c r="B35" i="1"/>
  <c r="B45" i="1" s="1"/>
  <c r="B36" i="1"/>
  <c r="B46" i="1" s="1"/>
  <c r="B32" i="1"/>
  <c r="B42" i="1" s="1"/>
  <c r="B52" i="1" s="1"/>
  <c r="D27" i="1"/>
  <c r="E27" i="1"/>
  <c r="F27" i="1"/>
  <c r="G27" i="1"/>
  <c r="H27" i="1"/>
  <c r="I27" i="1"/>
  <c r="J27" i="1"/>
  <c r="K27" i="1"/>
  <c r="L27" i="1"/>
  <c r="C27" i="1"/>
  <c r="D23" i="1"/>
  <c r="E23" i="1"/>
  <c r="F23" i="1"/>
  <c r="G23" i="1"/>
  <c r="H23" i="1"/>
  <c r="I23" i="1"/>
  <c r="J23" i="1"/>
  <c r="K23" i="1"/>
  <c r="L23" i="1"/>
  <c r="C23" i="1"/>
  <c r="C26" i="1" s="1"/>
  <c r="C25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B25" i="1"/>
  <c r="B26" i="1"/>
  <c r="B27" i="1"/>
  <c r="B24" i="1"/>
  <c r="B23" i="1"/>
  <c r="C13" i="1"/>
  <c r="C8" i="1"/>
  <c r="I27" i="11" l="1"/>
  <c r="I26" i="11" s="1"/>
  <c r="J28" i="11" s="1"/>
  <c r="J39" i="11"/>
  <c r="I38" i="11"/>
  <c r="I40" i="11" s="1"/>
  <c r="I17" i="11"/>
  <c r="H16" i="11"/>
  <c r="H18" i="11" s="1"/>
  <c r="D19" i="2"/>
  <c r="L54" i="1"/>
  <c r="C57" i="1"/>
  <c r="C55" i="1"/>
  <c r="E19" i="2"/>
  <c r="D57" i="1"/>
  <c r="D20" i="2" s="1"/>
  <c r="D21" i="2" s="1"/>
  <c r="F19" i="2"/>
  <c r="E57" i="1"/>
  <c r="E20" i="2" s="1"/>
  <c r="E21" i="2" s="1"/>
  <c r="E22" i="2" s="1"/>
  <c r="E23" i="2" s="1"/>
  <c r="E24" i="2" s="1"/>
  <c r="G19" i="2"/>
  <c r="F57" i="1"/>
  <c r="F20" i="2" s="1"/>
  <c r="F21" i="2" s="1"/>
  <c r="F22" i="2" s="1"/>
  <c r="F23" i="2" s="1"/>
  <c r="F24" i="2" s="1"/>
  <c r="F25" i="2" s="1"/>
  <c r="F26" i="2" s="1"/>
  <c r="F27" i="2" s="1"/>
  <c r="G57" i="1"/>
  <c r="G20" i="2" s="1"/>
  <c r="G21" i="2" s="1"/>
  <c r="C16" i="1"/>
  <c r="C15" i="1" s="1"/>
  <c r="C47" i="1"/>
  <c r="L44" i="1"/>
  <c r="C45" i="1"/>
  <c r="D3" i="2"/>
  <c r="D47" i="1"/>
  <c r="E3" i="2"/>
  <c r="E47" i="1"/>
  <c r="F47" i="1"/>
  <c r="F3" i="2"/>
  <c r="G47" i="1"/>
  <c r="G3" i="2"/>
  <c r="C36" i="1"/>
  <c r="D36" i="1" s="1"/>
  <c r="C14" i="1"/>
  <c r="C24" i="1"/>
  <c r="D26" i="1" s="1"/>
  <c r="J27" i="11" l="1"/>
  <c r="J26" i="11" s="1"/>
  <c r="K28" i="11" s="1"/>
  <c r="L28" i="11" s="1"/>
  <c r="F56" i="1"/>
  <c r="F55" i="1" s="1"/>
  <c r="F54" i="1" s="1"/>
  <c r="F61" i="11"/>
  <c r="F60" i="11" s="1"/>
  <c r="F59" i="11" s="1"/>
  <c r="D56" i="1"/>
  <c r="D55" i="1" s="1"/>
  <c r="D54" i="1" s="1"/>
  <c r="D61" i="11"/>
  <c r="D60" i="11" s="1"/>
  <c r="D59" i="11" s="1"/>
  <c r="E56" i="1"/>
  <c r="E55" i="1" s="1"/>
  <c r="E54" i="1" s="1"/>
  <c r="E61" i="11"/>
  <c r="E60" i="11" s="1"/>
  <c r="E59" i="11" s="1"/>
  <c r="J17" i="11"/>
  <c r="I16" i="11"/>
  <c r="I18" i="11" s="1"/>
  <c r="K39" i="11"/>
  <c r="L39" i="11" s="1"/>
  <c r="J38" i="11"/>
  <c r="J40" i="11" s="1"/>
  <c r="C17" i="1"/>
  <c r="C44" i="1"/>
  <c r="C54" i="1"/>
  <c r="G22" i="2"/>
  <c r="G23" i="2" s="1"/>
  <c r="G24" i="2" s="1"/>
  <c r="G25" i="2" s="1"/>
  <c r="G26" i="2" s="1"/>
  <c r="G27" i="2" s="1"/>
  <c r="G28" i="2" s="1"/>
  <c r="G29" i="2" s="1"/>
  <c r="G30" i="2" s="1"/>
  <c r="F4" i="2"/>
  <c r="F5" i="2" s="1"/>
  <c r="F6" i="2" s="1"/>
  <c r="F7" i="2" s="1"/>
  <c r="F8" i="2" s="1"/>
  <c r="F9" i="2" s="1"/>
  <c r="F10" i="2" s="1"/>
  <c r="F11" i="2" s="1"/>
  <c r="E4" i="2"/>
  <c r="E5" i="2" s="1"/>
  <c r="E6" i="2" s="1"/>
  <c r="E7" i="2" s="1"/>
  <c r="E8" i="2" s="1"/>
  <c r="D4" i="2"/>
  <c r="D5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E36" i="1"/>
  <c r="F36" i="1" s="1"/>
  <c r="D35" i="1"/>
  <c r="C35" i="1"/>
  <c r="C37" i="1" s="1"/>
  <c r="D25" i="1"/>
  <c r="D24" i="1" s="1"/>
  <c r="E26" i="1" s="1"/>
  <c r="E25" i="1" s="1"/>
  <c r="D16" i="1"/>
  <c r="E46" i="1" l="1"/>
  <c r="E45" i="1" s="1"/>
  <c r="E44" i="1" s="1"/>
  <c r="E50" i="11"/>
  <c r="E49" i="11" s="1"/>
  <c r="E48" i="11" s="1"/>
  <c r="D46" i="1"/>
  <c r="D45" i="1" s="1"/>
  <c r="D44" i="1" s="1"/>
  <c r="D50" i="11"/>
  <c r="D49" i="11" s="1"/>
  <c r="D48" i="11" s="1"/>
  <c r="G46" i="1"/>
  <c r="G45" i="1" s="1"/>
  <c r="G44" i="1" s="1"/>
  <c r="H46" i="1" s="1"/>
  <c r="G50" i="11"/>
  <c r="G49" i="11" s="1"/>
  <c r="G48" i="11" s="1"/>
  <c r="H50" i="11" s="1"/>
  <c r="F46" i="1"/>
  <c r="F45" i="1" s="1"/>
  <c r="F44" i="1" s="1"/>
  <c r="F50" i="11"/>
  <c r="F49" i="11" s="1"/>
  <c r="F48" i="11" s="1"/>
  <c r="G56" i="1"/>
  <c r="G55" i="1" s="1"/>
  <c r="G54" i="1" s="1"/>
  <c r="H56" i="1" s="1"/>
  <c r="G61" i="11"/>
  <c r="G60" i="11" s="1"/>
  <c r="G59" i="11" s="1"/>
  <c r="H61" i="11" s="1"/>
  <c r="K17" i="11"/>
  <c r="L17" i="11" s="1"/>
  <c r="J16" i="11"/>
  <c r="J18" i="11" s="1"/>
  <c r="E35" i="1"/>
  <c r="G36" i="1"/>
  <c r="F35" i="1"/>
  <c r="E16" i="1"/>
  <c r="E15" i="1" s="1"/>
  <c r="E17" i="1" s="1"/>
  <c r="D15" i="1"/>
  <c r="D17" i="1" s="1"/>
  <c r="D37" i="1"/>
  <c r="F16" i="1" l="1"/>
  <c r="F15" i="1" s="1"/>
  <c r="H36" i="1"/>
  <c r="G35" i="1"/>
  <c r="E37" i="1"/>
  <c r="E24" i="1"/>
  <c r="F26" i="1" s="1"/>
  <c r="F25" i="1" s="1"/>
  <c r="G16" i="1"/>
  <c r="G15" i="1" s="1"/>
  <c r="F17" i="1"/>
  <c r="I36" i="1" l="1"/>
  <c r="F37" i="1"/>
  <c r="F24" i="1"/>
  <c r="G26" i="1" s="1"/>
  <c r="G25" i="1" s="1"/>
  <c r="H16" i="1"/>
  <c r="H15" i="1" s="1"/>
  <c r="G17" i="1"/>
  <c r="J36" i="1" l="1"/>
  <c r="I35" i="1"/>
  <c r="I37" i="1" s="1"/>
  <c r="G37" i="1"/>
  <c r="G24" i="1"/>
  <c r="H26" i="1" s="1"/>
  <c r="H25" i="1" s="1"/>
  <c r="I16" i="1"/>
  <c r="I15" i="1" s="1"/>
  <c r="H17" i="1"/>
  <c r="K36" i="1" l="1"/>
  <c r="J35" i="1"/>
  <c r="J37" i="1" s="1"/>
  <c r="H35" i="1"/>
  <c r="H37" i="1" s="1"/>
  <c r="H24" i="1"/>
  <c r="I26" i="1" s="1"/>
  <c r="I25" i="1" s="1"/>
  <c r="J16" i="1"/>
  <c r="J15" i="1" s="1"/>
  <c r="I17" i="1"/>
  <c r="L36" i="1" l="1"/>
  <c r="K35" i="1"/>
  <c r="K37" i="1" s="1"/>
  <c r="I24" i="1"/>
  <c r="J26" i="1" s="1"/>
  <c r="J25" i="1" s="1"/>
  <c r="K16" i="1"/>
  <c r="K15" i="1" s="1"/>
  <c r="J17" i="1"/>
  <c r="L35" i="1" l="1"/>
  <c r="L37" i="1" s="1"/>
  <c r="J24" i="1"/>
  <c r="K26" i="1" s="1"/>
  <c r="L16" i="1"/>
  <c r="K17" i="1"/>
  <c r="L15" i="1" l="1"/>
  <c r="L17" i="1" s="1"/>
  <c r="K25" i="1"/>
  <c r="K24" i="1" s="1"/>
  <c r="L26" i="1" s="1"/>
  <c r="L25" i="1" l="1"/>
  <c r="L24" i="1" s="1"/>
</calcChain>
</file>

<file path=xl/sharedStrings.xml><?xml version="1.0" encoding="utf-8"?>
<sst xmlns="http://schemas.openxmlformats.org/spreadsheetml/2006/main" count="355" uniqueCount="209">
  <si>
    <t>Nominal annuity</t>
  </si>
  <si>
    <t>Acquisition cost</t>
  </si>
  <si>
    <t>Selling price</t>
  </si>
  <si>
    <t>Inflation rate</t>
  </si>
  <si>
    <t>WACC (Nominal)</t>
  </si>
  <si>
    <t>WACC (Real)</t>
  </si>
  <si>
    <t>Year</t>
  </si>
  <si>
    <t>Depreciation</t>
  </si>
  <si>
    <t>Capital Cost</t>
  </si>
  <si>
    <t>Capital Base (IB)</t>
  </si>
  <si>
    <t>Aquisition cost</t>
  </si>
  <si>
    <t>Nominal Linear (NL)</t>
  </si>
  <si>
    <t>Economic lifespan</t>
  </si>
  <si>
    <t>Total capital cost</t>
  </si>
  <si>
    <t>Nominal Annuity (NA)</t>
  </si>
  <si>
    <t>Real Linear (RL)</t>
  </si>
  <si>
    <t>Replacement cost</t>
  </si>
  <si>
    <t>Exp. Price decrease</t>
  </si>
  <si>
    <t>*Note decrease. If increase, then negative number</t>
  </si>
  <si>
    <t>Real Annuity (RA) Specific Price Change</t>
  </si>
  <si>
    <t>Capital Cost (given a new machine)</t>
  </si>
  <si>
    <t>Depreaciation (given new machine)</t>
  </si>
  <si>
    <t>Capital Base year 2</t>
  </si>
  <si>
    <t xml:space="preserve">Capital Cost  </t>
  </si>
  <si>
    <t>New Depreciation</t>
  </si>
  <si>
    <t>Capital Base year 3</t>
  </si>
  <si>
    <t>Capital Base year 4</t>
  </si>
  <si>
    <t>Capital Base year 5</t>
  </si>
  <si>
    <t>Customer</t>
  </si>
  <si>
    <t>Rank customers wrt customer revenue</t>
  </si>
  <si>
    <t>Create new column with share of revenue</t>
  </si>
  <si>
    <t>Create new columns with accumulated share of total revenue</t>
  </si>
  <si>
    <t>Create new column with share of customers</t>
  </si>
  <si>
    <t>Create a new column with accumulated share of customers</t>
  </si>
  <si>
    <t>Steps:</t>
  </si>
  <si>
    <t>Total</t>
  </si>
  <si>
    <t>Price level:</t>
  </si>
  <si>
    <t>Revenue</t>
  </si>
  <si>
    <t>Production cost</t>
  </si>
  <si>
    <t>Installation cost</t>
  </si>
  <si>
    <t>Contribution</t>
  </si>
  <si>
    <t>Contribution degree</t>
  </si>
  <si>
    <t>-</t>
  </si>
  <si>
    <t>=</t>
  </si>
  <si>
    <t>Sold</t>
  </si>
  <si>
    <t>Per unit</t>
  </si>
  <si>
    <t>25% Decrease in price</t>
  </si>
  <si>
    <t>Sold (with price lower)</t>
  </si>
  <si>
    <t>Sales change</t>
  </si>
  <si>
    <t>of original</t>
  </si>
  <si>
    <t>H2019</t>
  </si>
  <si>
    <t>H2021</t>
  </si>
  <si>
    <t>Beyond Meat</t>
  </si>
  <si>
    <t>Price</t>
  </si>
  <si>
    <t>Sales volume</t>
  </si>
  <si>
    <t>Dir.mat Burger</t>
  </si>
  <si>
    <t>Dir.mat Fries&amp;Drink</t>
  </si>
  <si>
    <t>Dir.labor costs</t>
  </si>
  <si>
    <t>Costs</t>
  </si>
  <si>
    <t>Profit</t>
  </si>
  <si>
    <t>10% Price reduction, 30% demand increase</t>
  </si>
  <si>
    <t>Price Elasticity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</si>
  <si>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 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</si>
  <si>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</si>
  <si>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t>Δ</t>
  </si>
  <si>
    <t>Quantity</t>
  </si>
  <si>
    <t>Elasticity</t>
  </si>
  <si>
    <t>Marginal Cost</t>
  </si>
  <si>
    <t>MC</t>
  </si>
  <si>
    <t>Direct Costs</t>
  </si>
  <si>
    <t>Labor</t>
  </si>
  <si>
    <t>Materials 1</t>
  </si>
  <si>
    <t>Materials 2</t>
  </si>
  <si>
    <t>Sum costs</t>
  </si>
  <si>
    <t>Inverse elasticity Pricing Rule</t>
  </si>
  <si>
    <t>P-myopic</t>
  </si>
  <si>
    <t>*if linear</t>
  </si>
  <si>
    <t>Inverse Demand Curve</t>
  </si>
  <si>
    <t xml:space="preserve">b = </t>
  </si>
  <si>
    <t xml:space="preserve">a = </t>
  </si>
  <si>
    <t>(a=p-bQ)</t>
  </si>
  <si>
    <t>Q* = (MC-a)/2b</t>
  </si>
  <si>
    <t xml:space="preserve">Q* =  </t>
  </si>
  <si>
    <t xml:space="preserve">P* = </t>
  </si>
  <si>
    <t>p = a + bQ</t>
  </si>
  <si>
    <t>Function:</t>
  </si>
  <si>
    <t>MR = MC</t>
  </si>
  <si>
    <t>MR = a+2bQ</t>
  </si>
  <si>
    <t>Profit Equation</t>
  </si>
  <si>
    <t>Profit = PQ-MCQ=(a+bQ)Q-MCQ = aQ+bQ^2-MCQ</t>
  </si>
  <si>
    <t>First Order Condition</t>
  </si>
  <si>
    <t>a+2bQ-MC=0</t>
  </si>
  <si>
    <t>MC=a+2bQ</t>
  </si>
  <si>
    <t>Rank customers wrt profit margin</t>
  </si>
  <si>
    <t>Create new column with total result</t>
  </si>
  <si>
    <t>Create new columns with accumulated share of total result</t>
  </si>
  <si>
    <t>Create new column with share of customer revenue</t>
  </si>
  <si>
    <t>Create a new column with accumulated share of customer revenue</t>
  </si>
  <si>
    <t>Create a new column with diagonal</t>
  </si>
  <si>
    <t>V2017</t>
  </si>
  <si>
    <t>A</t>
  </si>
  <si>
    <t>B</t>
  </si>
  <si>
    <t>D</t>
  </si>
  <si>
    <t xml:space="preserve">C </t>
  </si>
  <si>
    <t>E</t>
  </si>
  <si>
    <t>F</t>
  </si>
  <si>
    <t>Customer Product Margin</t>
  </si>
  <si>
    <t>Customer operating margin</t>
  </si>
  <si>
    <t>Customer results</t>
  </si>
  <si>
    <t>Share of CRES</t>
  </si>
  <si>
    <t>Accumulated</t>
  </si>
  <si>
    <t>Share of CREV</t>
  </si>
  <si>
    <t>Share of customer</t>
  </si>
  <si>
    <t>VFP</t>
  </si>
  <si>
    <t>Estimate A</t>
  </si>
  <si>
    <t>Triangle</t>
  </si>
  <si>
    <t>Rectangle</t>
  </si>
  <si>
    <t>A+B</t>
  </si>
  <si>
    <t>RA (Specific) for a given year</t>
  </si>
  <si>
    <t>Real Annuity (RA) Inflation</t>
  </si>
  <si>
    <t>Year (Specific)</t>
  </si>
  <si>
    <t>Year (Inflation)</t>
  </si>
  <si>
    <t>RA (Inflation) for a given year</t>
  </si>
  <si>
    <t>Function for break-even analysis</t>
  </si>
  <si>
    <r>
      <t>*We assume that FK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FK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and that VEK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VEK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(strong assumptions)</t>
    </r>
  </si>
  <si>
    <t>H2013 Task 1 d</t>
  </si>
  <si>
    <t>Cost of goods</t>
  </si>
  <si>
    <t>Additional costs</t>
  </si>
  <si>
    <t>Variable costs</t>
  </si>
  <si>
    <t>Cost</t>
  </si>
  <si>
    <t>Average cost</t>
  </si>
  <si>
    <t>Fall 2012 Task 3a-b</t>
  </si>
  <si>
    <t>Capacity (storage)</t>
  </si>
  <si>
    <t>Average contribution</t>
  </si>
  <si>
    <t>Today:</t>
  </si>
  <si>
    <t>Amount</t>
  </si>
  <si>
    <t>Own storage</t>
  </si>
  <si>
    <t>Rented storage</t>
  </si>
  <si>
    <t>Retention per year</t>
  </si>
  <si>
    <t>Rented space profit</t>
  </si>
  <si>
    <t>Price Change</t>
  </si>
  <si>
    <t>Marginal cost</t>
  </si>
  <si>
    <t>Quantity in-house</t>
  </si>
  <si>
    <t>Quantity rent</t>
  </si>
  <si>
    <t>Change total</t>
  </si>
  <si>
    <t>Contribution in-house</t>
  </si>
  <si>
    <t>Contribution rent</t>
  </si>
  <si>
    <t>Marginal cost rent</t>
  </si>
  <si>
    <t>(Q1*P1)+(Q2*P2) = C</t>
  </si>
  <si>
    <t>Q2*P2  = C - (Q1*P1)</t>
  </si>
  <si>
    <t>Approximation of the Stobachoff coefficient:</t>
  </si>
  <si>
    <t>(Vulnrability Factor Profits)</t>
  </si>
  <si>
    <t>= 1 - 0.72 (Example)</t>
  </si>
  <si>
    <t>Peak point</t>
  </si>
  <si>
    <t>= Y-axis of VFP</t>
  </si>
  <si>
    <t>Stobachoff</t>
  </si>
  <si>
    <t>(SC)</t>
  </si>
  <si>
    <r>
      <t xml:space="preserve">A </t>
    </r>
    <r>
      <rPr>
        <sz val="11"/>
        <color theme="1"/>
        <rFont val="Calibri"/>
        <family val="2"/>
      </rPr>
      <t>≈</t>
    </r>
  </si>
  <si>
    <t>B =</t>
  </si>
  <si>
    <t>Important factors</t>
  </si>
  <si>
    <t>VFR</t>
  </si>
  <si>
    <t>Gini-coefficient</t>
  </si>
  <si>
    <t>Approximation of Gini</t>
  </si>
  <si>
    <t>--&gt;</t>
  </si>
  <si>
    <t>1 =</t>
  </si>
  <si>
    <t>Scale X:</t>
  </si>
  <si>
    <t>Scale Y:</t>
  </si>
  <si>
    <t xml:space="preserve">1 = </t>
  </si>
  <si>
    <t>VFP (Y)</t>
  </si>
  <si>
    <t>Triangle 1</t>
  </si>
  <si>
    <t>Triangle 2</t>
  </si>
  <si>
    <t>B ≈</t>
  </si>
  <si>
    <t xml:space="preserve">A </t>
  </si>
  <si>
    <t>GINI</t>
  </si>
  <si>
    <t>^</t>
  </si>
  <si>
    <t>Not the optimal price, but points in</t>
  </si>
  <si>
    <t>the direction of where the optimal price is</t>
  </si>
  <si>
    <t>revenue</t>
  </si>
  <si>
    <t>Sales</t>
  </si>
  <si>
    <t>reductions</t>
  </si>
  <si>
    <t>Product</t>
  </si>
  <si>
    <t>costs</t>
  </si>
  <si>
    <t>Product Margin</t>
  </si>
  <si>
    <t>Customer Costs</t>
  </si>
  <si>
    <t>(Dir, Indir)</t>
  </si>
  <si>
    <t xml:space="preserve">Customer </t>
  </si>
  <si>
    <t>results</t>
  </si>
  <si>
    <t>V</t>
  </si>
  <si>
    <t>W</t>
  </si>
  <si>
    <t>X</t>
  </si>
  <si>
    <t>Y</t>
  </si>
  <si>
    <t>Z</t>
  </si>
  <si>
    <t>Net cust.</t>
  </si>
  <si>
    <t>Sum</t>
  </si>
  <si>
    <t>Margin</t>
  </si>
  <si>
    <t>Share of</t>
  </si>
  <si>
    <t>CREV</t>
  </si>
  <si>
    <t>Customers</t>
  </si>
  <si>
    <t>share of cust.</t>
  </si>
  <si>
    <t>Area</t>
  </si>
  <si>
    <t>Estimate B</t>
  </si>
  <si>
    <t>A =</t>
  </si>
  <si>
    <t>GINI =</t>
  </si>
  <si>
    <t>VFR =</t>
  </si>
  <si>
    <t>Average revenue:</t>
  </si>
  <si>
    <t>Customers below:</t>
  </si>
  <si>
    <t>Maintenance</t>
  </si>
  <si>
    <t>Price increase</t>
  </si>
  <si>
    <t>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</si>
</sst>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\ %"/>
    <numFmt numFmtId="165" formatCode="_-* #,##0_-;\-* #,##0_-;_-* &quot;-&quot;??_-;_-@_-"/>
    <numFmt numFmtId="166" formatCode="_-* #,##0.0_-;\-* #,##0.0_-;_-* &quot;-&quot;?_-;_-@_-"/>
    <numFmt numFmtId="167" formatCode="_-* #,##0_-;\-* #,##0_-;_-* &quot;-&quot;?_-;_-@_-"/>
    <numFmt numFmtId="168" formatCode="0.000"/>
    <numFmt numFmtId="169" formatCode="_-* #,##0.000_-;\-* #,##0.000_-;_-* &quot;-&quot;??_-;_-@_-"/>
    <numFmt numFmtId="170" formatCode="_-* #,##0.000_-;\-* #,##0.000_-;_-* &quot;-&quot;???_-;_-@_-"/>
    <numFmt numFmtId="171" formatCode="_-* #,##0.0_-;\-* #,##0.0_-;_-* &quot;-&quot;??_-;_-@_-"/>
    <numFmt numFmtId="172" formatCode="0.0"/>
    <numFmt numFmtId="173" formatCode="_-* #,##0.0000_-;\-* #,##0.0000_-;_-* &quot;-&quot;??_-;_-@_-"/>
    <numFmt numFmtId="17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" borderId="7" applyNumberFormat="0" applyAlignment="0" applyProtection="0"/>
  </cellStyleXfs>
  <cellXfs count="136">
    <xf numFmtId="0" fontId="0" fillId="0" borderId="0" xfId="0"/>
    <xf numFmtId="0" fontId="0" fillId="0" borderId="1" xfId="0" applyBorder="1"/>
    <xf numFmtId="165" fontId="0" fillId="0" borderId="0" xfId="0" applyNumberFormat="1"/>
    <xf numFmtId="0" fontId="0" fillId="0" borderId="3" xfId="0" applyBorder="1"/>
    <xf numFmtId="165" fontId="0" fillId="0" borderId="3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4" xfId="0" applyBorder="1"/>
    <xf numFmtId="166" fontId="0" fillId="0" borderId="0" xfId="0" applyNumberFormat="1"/>
    <xf numFmtId="167" fontId="0" fillId="0" borderId="0" xfId="0" applyNumberFormat="1"/>
    <xf numFmtId="165" fontId="0" fillId="0" borderId="4" xfId="1" applyNumberFormat="1" applyFont="1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9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0" xfId="1" applyNumberFormat="1" applyFont="1"/>
    <xf numFmtId="165" fontId="0" fillId="0" borderId="4" xfId="0" applyNumberFormat="1" applyBorder="1"/>
    <xf numFmtId="0" fontId="2" fillId="0" borderId="0" xfId="0" applyFont="1"/>
    <xf numFmtId="165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Alignment="1">
      <alignment wrapText="1"/>
    </xf>
    <xf numFmtId="164" fontId="0" fillId="0" borderId="0" xfId="2" applyNumberFormat="1" applyFont="1"/>
    <xf numFmtId="0" fontId="0" fillId="0" borderId="0" xfId="0" quotePrefix="1" applyAlignment="1">
      <alignment horizontal="right"/>
    </xf>
    <xf numFmtId="165" fontId="0" fillId="0" borderId="2" xfId="1" applyNumberFormat="1" applyFont="1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165" fontId="2" fillId="0" borderId="0" xfId="1" applyNumberFormat="1" applyFont="1"/>
    <xf numFmtId="0" fontId="5" fillId="0" borderId="0" xfId="0" applyFont="1"/>
    <xf numFmtId="9" fontId="0" fillId="0" borderId="0" xfId="2" applyFont="1"/>
    <xf numFmtId="9" fontId="0" fillId="0" borderId="0" xfId="0" applyNumberFormat="1"/>
    <xf numFmtId="2" fontId="0" fillId="0" borderId="0" xfId="0" applyNumberFormat="1"/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9" fontId="0" fillId="3" borderId="16" xfId="2" applyFont="1" applyFill="1" applyBorder="1" applyAlignment="1">
      <alignment horizontal="center"/>
    </xf>
    <xf numFmtId="0" fontId="0" fillId="0" borderId="17" xfId="0" applyBorder="1"/>
    <xf numFmtId="0" fontId="0" fillId="3" borderId="18" xfId="0" applyFill="1" applyBorder="1" applyAlignment="1">
      <alignment horizontal="center"/>
    </xf>
    <xf numFmtId="9" fontId="0" fillId="3" borderId="19" xfId="2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8" borderId="2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7" xfId="0" applyBorder="1"/>
    <xf numFmtId="1" fontId="0" fillId="0" borderId="0" xfId="0" applyNumberFormat="1"/>
    <xf numFmtId="0" fontId="0" fillId="7" borderId="1" xfId="0" applyFill="1" applyBorder="1"/>
    <xf numFmtId="168" fontId="0" fillId="7" borderId="1" xfId="0" applyNumberFormat="1" applyFill="1" applyBorder="1"/>
    <xf numFmtId="0" fontId="0" fillId="4" borderId="0" xfId="0" applyFill="1"/>
    <xf numFmtId="0" fontId="0" fillId="0" borderId="2" xfId="0" applyBorder="1" applyAlignment="1">
      <alignment wrapText="1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0" xfId="0" applyAlignment="1">
      <alignment horizontal="center" wrapText="1"/>
    </xf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center"/>
    </xf>
    <xf numFmtId="0" fontId="0" fillId="0" borderId="2" xfId="1" applyNumberFormat="1" applyFont="1" applyBorder="1" applyAlignment="1">
      <alignment horizontal="left" vertical="center"/>
    </xf>
    <xf numFmtId="165" fontId="0" fillId="0" borderId="31" xfId="1" applyNumberFormat="1" applyFont="1" applyBorder="1" applyAlignment="1">
      <alignment horizontal="left" vertical="center"/>
    </xf>
    <xf numFmtId="0" fontId="0" fillId="0" borderId="32" xfId="0" applyBorder="1"/>
    <xf numFmtId="165" fontId="0" fillId="0" borderId="32" xfId="1" applyNumberFormat="1" applyFont="1" applyBorder="1"/>
    <xf numFmtId="0" fontId="0" fillId="0" borderId="0" xfId="0" applyAlignment="1">
      <alignment horizontal="right" vertical="center"/>
    </xf>
    <xf numFmtId="0" fontId="0" fillId="0" borderId="32" xfId="0" applyBorder="1" applyAlignment="1">
      <alignment horizontal="right" vertical="center"/>
    </xf>
    <xf numFmtId="167" fontId="0" fillId="0" borderId="32" xfId="0" applyNumberFormat="1" applyBorder="1"/>
    <xf numFmtId="171" fontId="0" fillId="0" borderId="0" xfId="0" applyNumberFormat="1"/>
    <xf numFmtId="0" fontId="0" fillId="10" borderId="0" xfId="0" applyFill="1"/>
    <xf numFmtId="0" fontId="0" fillId="7" borderId="11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6" xfId="2" applyFont="1" applyFill="1" applyBorder="1" applyAlignment="1">
      <alignment horizontal="center"/>
    </xf>
    <xf numFmtId="9" fontId="0" fillId="7" borderId="22" xfId="2" applyFont="1" applyFill="1" applyBorder="1" applyAlignment="1">
      <alignment horizontal="center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0" xfId="0" quotePrefix="1"/>
    <xf numFmtId="0" fontId="0" fillId="3" borderId="0" xfId="0" applyFill="1"/>
    <xf numFmtId="172" fontId="0" fillId="8" borderId="0" xfId="0" applyNumberFormat="1" applyFill="1"/>
    <xf numFmtId="168" fontId="0" fillId="0" borderId="0" xfId="0" applyNumberFormat="1"/>
    <xf numFmtId="173" fontId="0" fillId="8" borderId="1" xfId="1" applyNumberFormat="1" applyFont="1" applyFill="1" applyBorder="1" applyAlignment="1">
      <alignment horizontal="left"/>
    </xf>
    <xf numFmtId="173" fontId="0" fillId="0" borderId="0" xfId="0" applyNumberFormat="1" applyAlignment="1">
      <alignment horizontal="left"/>
    </xf>
    <xf numFmtId="2" fontId="0" fillId="3" borderId="1" xfId="0" applyNumberFormat="1" applyFill="1" applyBorder="1"/>
    <xf numFmtId="2" fontId="0" fillId="3" borderId="1" xfId="1" applyNumberFormat="1" applyFont="1" applyFill="1" applyBorder="1" applyAlignment="1"/>
    <xf numFmtId="169" fontId="0" fillId="0" borderId="0" xfId="1" applyNumberFormat="1" applyFon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32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0" fontId="0" fillId="0" borderId="0" xfId="2" applyNumberFormat="1" applyFont="1"/>
    <xf numFmtId="174" fontId="0" fillId="0" borderId="0" xfId="0" applyNumberFormat="1"/>
    <xf numFmtId="174" fontId="5" fillId="0" borderId="0" xfId="0" applyNumberFormat="1" applyFont="1"/>
    <xf numFmtId="0" fontId="5" fillId="0" borderId="2" xfId="0" applyFont="1" applyBorder="1"/>
    <xf numFmtId="174" fontId="0" fillId="0" borderId="2" xfId="0" applyNumberFormat="1" applyBorder="1"/>
    <xf numFmtId="174" fontId="5" fillId="0" borderId="2" xfId="0" applyNumberFormat="1" applyFont="1" applyBorder="1"/>
    <xf numFmtId="0" fontId="0" fillId="0" borderId="4" xfId="0" applyBorder="1" applyAlignment="1">
      <alignment horizontal="right"/>
    </xf>
    <xf numFmtId="168" fontId="0" fillId="0" borderId="4" xfId="0" applyNumberFormat="1" applyBorder="1"/>
    <xf numFmtId="9" fontId="0" fillId="0" borderId="1" xfId="0" applyNumberFormat="1" applyBorder="1"/>
    <xf numFmtId="0" fontId="0" fillId="0" borderId="36" xfId="0" applyBorder="1"/>
    <xf numFmtId="165" fontId="0" fillId="0" borderId="36" xfId="1" applyNumberFormat="1" applyFont="1" applyBorder="1"/>
    <xf numFmtId="0" fontId="0" fillId="0" borderId="27" xfId="0" applyBorder="1"/>
    <xf numFmtId="0" fontId="0" fillId="0" borderId="0" xfId="0"/>
    <xf numFmtId="0" fontId="0" fillId="0" borderId="2" xfId="1" applyNumberFormat="1" applyFont="1" applyBorder="1" applyAlignment="1">
      <alignment horizontal="left" vertical="center"/>
    </xf>
    <xf numFmtId="0" fontId="3" fillId="9" borderId="33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4" fillId="6" borderId="25" xfId="3" applyBorder="1" applyAlignment="1">
      <alignment horizontal="center"/>
    </xf>
    <xf numFmtId="0" fontId="4" fillId="6" borderId="26" xfId="3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'Lorentz Example'!$L$2:$L$3</c:f>
              <c:strCache>
                <c:ptCount val="2"/>
                <c:pt idx="0">
                  <c:v>Accumulated</c:v>
                </c:pt>
                <c:pt idx="1">
                  <c:v>Share of CREV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'Lorentz Example'!$N$4:$N$9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'Lorentz Example'!$L$4:$L$9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0.09</c:v>
                </c:pt>
                <c:pt idx="2">
                  <c:v>0.19500000000000001</c:v>
                </c:pt>
                <c:pt idx="3">
                  <c:v>0.36499999999999999</c:v>
                </c:pt>
                <c:pt idx="4">
                  <c:v>0.67500000000000004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B11-BC23-C3E48834CD75}"/>
            </c:ext>
          </c:extLst>
        </c:ser>
        <c:ser>
          <c:idx val="1"/>
          <c:order val="1"/>
          <c:tx>
            <c:strRef>
              <c:f>'Lorentz Example'!$N$2:$N$3</c:f>
              <c:strCache>
                <c:ptCount val="2"/>
                <c:pt idx="0">
                  <c:v>Accumulated</c:v>
                </c:pt>
                <c:pt idx="1">
                  <c:v>share of cust.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'Lorentz Example'!$N$4:$N$9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7-4B11-BC23-C3E48834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58575"/>
        <c:axId val="143884367"/>
      </c:lineChart>
      <c:catAx>
        <c:axId val="1438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84367"/>
        <c:crosses val="autoZero"/>
        <c:auto val="1"/>
        <c:lblAlgn val="ctr"/>
        <c:lblOffset val="100"/>
        <c:noMultiLvlLbl val="0"/>
      </c:catAx>
      <c:valAx>
        <c:axId val="1438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38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'Stobachoff Example'!$M$4:$M$10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2.074074074074074</c:v>
                </c:pt>
                <c:pt idx="2">
                  <c:v>2.8888888888888888</c:v>
                </c:pt>
                <c:pt idx="3">
                  <c:v>3.6296296296296298</c:v>
                </c:pt>
                <c:pt idx="4">
                  <c:v>3.8148148148148149</c:v>
                </c:pt>
                <c:pt idx="5">
                  <c:v>2.8888888888888888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A-4ED9-81D4-3A713A0E23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'Stobachoff Example'!$Q$4:$Q$10</c:f>
              <c:numCache>
                <c:formatCode>_-* #\ ##0.000_-;\-* #\ ##0.000_-;_-* "-"???_-;_-@_-</c:formatCode>
                <c:ptCount val="7"/>
                <c:pt idx="0" formatCode="General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0.83333333333333326</c:v>
                </c:pt>
                <c:pt idx="6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A-4ED9-81D4-3A713A0E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36511"/>
        <c:axId val="1258944415"/>
      </c:lineChart>
      <c:catAx>
        <c:axId val="1258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944415"/>
        <c:crosses val="autoZero"/>
        <c:auto val="1"/>
        <c:lblAlgn val="ctr"/>
        <c:lblOffset val="100"/>
        <c:noMultiLvlLbl val="0"/>
      </c:catAx>
      <c:valAx>
        <c:axId val="12589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8</xdr:row>
      <xdr:rowOff>85725</xdr:rowOff>
    </xdr:from>
    <xdr:to>
      <xdr:col>12</xdr:col>
      <xdr:colOff>600075</xdr:colOff>
      <xdr:row>19</xdr:row>
      <xdr:rowOff>121724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0B4A6-A580-A362-8568-6ECB3DE30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1609725"/>
          <a:ext cx="6410325" cy="2131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18</xdr:row>
      <xdr:rowOff>52387</xdr:rowOff>
    </xdr:from>
    <xdr:to>
      <xdr:col>13</xdr:col>
      <xdr:colOff>457200</xdr:colOff>
      <xdr:row>32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B519CB-FC61-BDC7-EF36-03FBBB33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9</xdr:row>
      <xdr:rowOff>28575</xdr:rowOff>
    </xdr:from>
    <xdr:to>
      <xdr:col>16</xdr:col>
      <xdr:colOff>133350</xdr:colOff>
      <xdr:row>23</xdr:row>
      <xdr:rowOff>50938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D141C-AB96-8EF4-8680-1DFD7CFB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743075"/>
          <a:ext cx="3724275" cy="2689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13</xdr:row>
      <xdr:rowOff>61912</xdr:rowOff>
    </xdr:from>
    <xdr:to>
      <xdr:col>15</xdr:col>
      <xdr:colOff>390525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E0AB1-ADC9-EB17-31FC-2E5B7816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533400</xdr:colOff>
      <xdr:row>25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1AB7B-1C17-5C2C-912C-82F2AE6B37E1}"/>
            </a:ext>
          </a:extLst>
        </xdr:cNvPr>
        <xdr:cNvSpPr txBox="1"/>
      </xdr:nvSpPr>
      <xdr:spPr>
        <a:xfrm>
          <a:off x="11506200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oneCellAnchor>
    <xdr:from>
      <xdr:col>8</xdr:col>
      <xdr:colOff>47625</xdr:colOff>
      <xdr:row>1</xdr:row>
      <xdr:rowOff>166687</xdr:rowOff>
    </xdr:from>
    <xdr:ext cx="1552220" cy="472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8B5571C-728A-9014-D0BD-4878790E5C7C}"/>
                </a:ext>
              </a:extLst>
            </xdr:cNvPr>
            <xdr:cNvSpPr txBox="1"/>
          </xdr:nvSpPr>
          <xdr:spPr>
            <a:xfrm>
              <a:off x="5114925" y="357187"/>
              <a:ext cx="1552220" cy="472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nb-NO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%</m:t>
                        </m:r>
                        <m:r>
                          <a:rPr lang="nb-NO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𝑄𝑢𝑎𝑛𝑡𝑖𝑡𝑦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nb-N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</m:t>
                        </m:r>
                        <m:r>
                          <a:rPr lang="nb-N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𝑃𝑟𝑖𝑐𝑒</m:t>
                        </m:r>
                      </m:den>
                    </m:f>
                  </m:oMath>
                </m:oMathPara>
              </a14:m>
              <a:endParaRPr lang="nb-NO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8B5571C-728A-9014-D0BD-4878790E5C7C}"/>
                </a:ext>
              </a:extLst>
            </xdr:cNvPr>
            <xdr:cNvSpPr txBox="1"/>
          </xdr:nvSpPr>
          <xdr:spPr>
            <a:xfrm>
              <a:off x="5114925" y="357187"/>
              <a:ext cx="1552220" cy="472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nb-NO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nb-NO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%𝑄𝑢𝑎𝑛𝑡𝑖𝑡𝑦)/(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nb-NO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</a:t>
              </a:r>
              <a:r>
                <a:rPr lang="nb-N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𝑃𝑟𝑖𝑐𝑒</a:t>
              </a:r>
              <a:r>
                <a:rPr lang="nb-N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nb-NO" sz="1600"/>
            </a:p>
          </xdr:txBody>
        </xdr:sp>
      </mc:Fallback>
    </mc:AlternateContent>
    <xdr:clientData/>
  </xdr:oneCellAnchor>
  <xdr:oneCellAnchor>
    <xdr:from>
      <xdr:col>8</xdr:col>
      <xdr:colOff>47625</xdr:colOff>
      <xdr:row>5</xdr:row>
      <xdr:rowOff>109537</xdr:rowOff>
    </xdr:from>
    <xdr:ext cx="1037400" cy="6612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F07A33-262D-A9FD-1857-4425C1D2123D}"/>
                </a:ext>
              </a:extLst>
            </xdr:cNvPr>
            <xdr:cNvSpPr txBox="1"/>
          </xdr:nvSpPr>
          <xdr:spPr>
            <a:xfrm>
              <a:off x="5114925" y="1128712"/>
              <a:ext cx="1037400" cy="661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6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nb-NO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b-NO" sz="16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nb-NO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b-NO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den>
                        </m:f>
                      </m:den>
                    </m:f>
                    <m:r>
                      <a:rPr lang="nb-NO" sz="16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nb-NO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F07A33-262D-A9FD-1857-4425C1D2123D}"/>
                </a:ext>
              </a:extLst>
            </xdr:cNvPr>
            <xdr:cNvSpPr txBox="1"/>
          </xdr:nvSpPr>
          <xdr:spPr>
            <a:xfrm>
              <a:off x="5114925" y="1128712"/>
              <a:ext cx="1037400" cy="6612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600" b="0" i="0">
                  <a:latin typeface="Cambria Math" panose="02040503050406030204" pitchFamily="18" charset="0"/>
                </a:rPr>
                <a:t>𝑝=1/(1+1/</a:t>
              </a:r>
              <a:r>
                <a:rPr lang="nb-NO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 </a:t>
              </a:r>
              <a:r>
                <a:rPr lang="nb-NO" sz="1600" b="0" i="0">
                  <a:latin typeface="Cambria Math" panose="02040503050406030204" pitchFamily="18" charset="0"/>
                </a:rPr>
                <a:t>𝑐</a:t>
              </a:r>
              <a:endParaRPr lang="nb-NO" sz="16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2</xdr:row>
      <xdr:rowOff>147637</xdr:rowOff>
    </xdr:from>
    <xdr:ext cx="467185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B65324-445F-C79F-F086-65029A841C23}"/>
                </a:ext>
              </a:extLst>
            </xdr:cNvPr>
            <xdr:cNvSpPr txBox="1"/>
          </xdr:nvSpPr>
          <xdr:spPr>
            <a:xfrm>
              <a:off x="590550" y="528637"/>
              <a:ext cx="467185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nb-N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𝑉𝐸</m:t>
                        </m:r>
                        <m:sSub>
                          <m:sSubPr>
                            <m:ctrlPr>
                              <a:rPr lang="nb-N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nb-NO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nb-NO" sz="18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nb-NO" sz="18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nb-N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𝑉𝐸</m:t>
                        </m:r>
                        <m:sSub>
                          <m:sSubPr>
                            <m:ctrlPr>
                              <a:rPr lang="nb-N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nb-NO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sSub>
                      <m:sSub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nb-NO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nb-NO" sz="1800" b="0" i="1">
                        <a:latin typeface="Cambria Math" panose="02040503050406030204" pitchFamily="18" charset="0"/>
                      </a:rPr>
                      <m:t>𝐹</m:t>
                    </m:r>
                    <m:sSub>
                      <m:sSubPr>
                        <m:ctrlPr>
                          <a:rPr lang="nb-N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nb-NO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nb-NO" sz="105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6B65324-445F-C79F-F086-65029A841C23}"/>
                </a:ext>
              </a:extLst>
            </xdr:cNvPr>
            <xdr:cNvSpPr txBox="1"/>
          </xdr:nvSpPr>
          <xdr:spPr>
            <a:xfrm>
              <a:off x="590550" y="528637"/>
              <a:ext cx="467185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800" b="0" i="0">
                  <a:latin typeface="Cambria Math" panose="02040503050406030204" pitchFamily="18" charset="0"/>
                </a:rPr>
                <a:t>(𝑃_1−𝑉𝐸𝐾_1 ) 𝑄_1−𝐹𝐾_1=(𝑃_2−𝑉𝐸𝐾_2 ) 𝑄_2−𝐹𝐾_2</a:t>
              </a:r>
              <a:endParaRPr lang="nb-NO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48E6-E48C-420E-8C21-CDB22A0BBB8B}">
  <sheetPr>
    <tabColor theme="9" tint="0.39997558519241921"/>
  </sheetPr>
  <dimension ref="B2:AG64"/>
  <sheetViews>
    <sheetView showGridLines="0" zoomScale="85" zoomScaleNormal="85" workbookViewId="0">
      <selection activeCell="C5" sqref="C5"/>
    </sheetView>
  </sheetViews>
  <sheetFormatPr defaultRowHeight="15" x14ac:dyDescent="0.25"/>
  <cols>
    <col min="2" max="2" width="19" customWidth="1"/>
    <col min="3" max="3" width="12.140625" bestFit="1" customWidth="1"/>
    <col min="4" max="4" width="10.42578125" customWidth="1"/>
    <col min="5" max="5" width="14.140625" customWidth="1"/>
    <col min="6" max="6" width="10.140625" customWidth="1"/>
    <col min="7" max="7" width="11.7109375" customWidth="1"/>
    <col min="8" max="8" width="10.85546875" customWidth="1"/>
    <col min="9" max="11" width="10.42578125" bestFit="1" customWidth="1"/>
    <col min="12" max="12" width="10.7109375" customWidth="1"/>
    <col min="13" max="20" width="10.28515625" bestFit="1" customWidth="1"/>
    <col min="21" max="22" width="10.42578125" bestFit="1" customWidth="1"/>
    <col min="23" max="27" width="11.28515625" bestFit="1" customWidth="1"/>
    <col min="28" max="33" width="10.140625" customWidth="1"/>
  </cols>
  <sheetData>
    <row r="2" spans="2:33" x14ac:dyDescent="0.25">
      <c r="B2" s="107" t="s">
        <v>0</v>
      </c>
      <c r="C2" s="107"/>
    </row>
    <row r="3" spans="2:33" x14ac:dyDescent="0.25">
      <c r="B3" s="1" t="s">
        <v>12</v>
      </c>
      <c r="C3" s="11">
        <v>6</v>
      </c>
      <c r="E3" s="1" t="s">
        <v>206</v>
      </c>
      <c r="F3" s="1">
        <v>20000</v>
      </c>
    </row>
    <row r="4" spans="2:33" x14ac:dyDescent="0.25">
      <c r="B4" s="1" t="s">
        <v>1</v>
      </c>
      <c r="C4" s="12">
        <v>50000</v>
      </c>
      <c r="E4" s="1" t="s">
        <v>207</v>
      </c>
      <c r="F4" s="98">
        <v>0.1</v>
      </c>
    </row>
    <row r="5" spans="2:33" x14ac:dyDescent="0.25">
      <c r="B5" s="1" t="s">
        <v>2</v>
      </c>
      <c r="C5" s="12">
        <v>0</v>
      </c>
    </row>
    <row r="6" spans="2:33" x14ac:dyDescent="0.25">
      <c r="B6" s="1" t="s">
        <v>3</v>
      </c>
      <c r="C6" s="13">
        <v>0.04</v>
      </c>
    </row>
    <row r="7" spans="2:33" x14ac:dyDescent="0.25">
      <c r="B7" s="1" t="s">
        <v>4</v>
      </c>
      <c r="C7" s="13">
        <v>0.15</v>
      </c>
    </row>
    <row r="8" spans="2:33" x14ac:dyDescent="0.25">
      <c r="B8" s="1" t="s">
        <v>5</v>
      </c>
      <c r="C8" s="14">
        <f>(C7-C6)/(1+C6)</f>
        <v>0.10576923076923075</v>
      </c>
    </row>
    <row r="9" spans="2:33" x14ac:dyDescent="0.25">
      <c r="B9" s="1" t="s">
        <v>17</v>
      </c>
      <c r="C9" s="14">
        <v>-0.04</v>
      </c>
      <c r="D9" s="17" t="s">
        <v>18</v>
      </c>
    </row>
    <row r="11" spans="2:33" x14ac:dyDescent="0.25">
      <c r="B11" s="108" t="s">
        <v>11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</row>
    <row r="12" spans="2:33" x14ac:dyDescent="0.25">
      <c r="B12" t="s">
        <v>6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2:33" x14ac:dyDescent="0.25">
      <c r="B13" t="s">
        <v>10</v>
      </c>
      <c r="C13" s="2">
        <f>IF(C12&lt;=$C$3,$C$4,"")</f>
        <v>50000</v>
      </c>
      <c r="D13" s="2">
        <f t="shared" ref="D13:L13" si="0">IF(D12&lt;=$C$3,$C$4,"")</f>
        <v>50000</v>
      </c>
      <c r="E13" s="2">
        <f t="shared" si="0"/>
        <v>50000</v>
      </c>
      <c r="F13" s="2">
        <f t="shared" si="0"/>
        <v>50000</v>
      </c>
      <c r="G13" s="2">
        <f t="shared" si="0"/>
        <v>50000</v>
      </c>
      <c r="H13" s="2">
        <f t="shared" si="0"/>
        <v>50000</v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x14ac:dyDescent="0.25">
      <c r="B14" t="s">
        <v>208</v>
      </c>
      <c r="C14" s="2"/>
      <c r="D14" s="2">
        <f>+$F$3*(1+$F$4)^(D12-2)</f>
        <v>20000</v>
      </c>
      <c r="E14" s="2">
        <f>+$F$3*(1+$F$4)^(E12-2)</f>
        <v>22000</v>
      </c>
      <c r="F14" s="2">
        <f t="shared" ref="F14:J14" si="1">+$F$3*(1+$F$4)^(F12-2)</f>
        <v>24200.000000000004</v>
      </c>
      <c r="G14" s="2">
        <f t="shared" si="1"/>
        <v>26620.000000000007</v>
      </c>
      <c r="H14" s="2">
        <f t="shared" si="1"/>
        <v>29282.000000000007</v>
      </c>
      <c r="I14" s="2">
        <f t="shared" si="1"/>
        <v>32210.200000000012</v>
      </c>
      <c r="J14" s="2">
        <f t="shared" si="1"/>
        <v>35431.220000000016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x14ac:dyDescent="0.25">
      <c r="B15" t="s">
        <v>7</v>
      </c>
      <c r="C15" s="2">
        <f>IFERROR((C13-$C$5)/$C$3,"")</f>
        <v>8333.3333333333339</v>
      </c>
      <c r="D15" s="2">
        <f t="shared" ref="D15:L15" si="2">IFERROR((D13-$C$5)/$C$3,"")</f>
        <v>8333.3333333333339</v>
      </c>
      <c r="E15" s="2">
        <f t="shared" si="2"/>
        <v>8333.3333333333339</v>
      </c>
      <c r="F15" s="2">
        <f t="shared" si="2"/>
        <v>8333.3333333333339</v>
      </c>
      <c r="G15" s="2">
        <f t="shared" si="2"/>
        <v>8333.3333333333339</v>
      </c>
      <c r="H15" s="2">
        <f t="shared" si="2"/>
        <v>8333.3333333333339</v>
      </c>
      <c r="I15" s="2" t="str">
        <f t="shared" si="2"/>
        <v/>
      </c>
      <c r="J15" s="2" t="str">
        <f t="shared" si="2"/>
        <v/>
      </c>
      <c r="K15" s="2" t="str">
        <f t="shared" si="2"/>
        <v/>
      </c>
      <c r="L15" s="2" t="str">
        <f t="shared" si="2"/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x14ac:dyDescent="0.25">
      <c r="B16" t="s">
        <v>8</v>
      </c>
      <c r="C16" s="2">
        <f>IF(C12&lt;=$C$3,IFERROR(C17*$C$7,""),"")</f>
        <v>7500</v>
      </c>
      <c r="D16" s="2">
        <f t="shared" ref="D16:L16" si="3">IF(D12&lt;=$C$3,IFERROR(D17*$C$7,""),"")</f>
        <v>6249.9999999999991</v>
      </c>
      <c r="E16" s="2">
        <f t="shared" si="3"/>
        <v>4999.9999999999991</v>
      </c>
      <c r="F16" s="2">
        <f t="shared" si="3"/>
        <v>3749.9999999999986</v>
      </c>
      <c r="G16" s="2">
        <f t="shared" si="3"/>
        <v>2499.9999999999986</v>
      </c>
      <c r="H16" s="2">
        <f t="shared" si="3"/>
        <v>1249.9999999999984</v>
      </c>
      <c r="I16" s="2" t="str">
        <f t="shared" si="3"/>
        <v/>
      </c>
      <c r="J16" s="2" t="str">
        <f t="shared" si="3"/>
        <v/>
      </c>
      <c r="K16" s="2" t="str">
        <f t="shared" si="3"/>
        <v/>
      </c>
      <c r="L16" s="2" t="str">
        <f t="shared" si="3"/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x14ac:dyDescent="0.25">
      <c r="B17" s="5" t="s">
        <v>9</v>
      </c>
      <c r="C17" s="6">
        <f>C13</f>
        <v>50000</v>
      </c>
      <c r="D17" s="6">
        <f>IFERROR(C17-C15,"")</f>
        <v>41666.666666666664</v>
      </c>
      <c r="E17" s="6">
        <f t="shared" ref="E17:L17" si="4">IFERROR(D17-D15,"")</f>
        <v>33333.333333333328</v>
      </c>
      <c r="F17" s="6">
        <f t="shared" si="4"/>
        <v>24999.999999999993</v>
      </c>
      <c r="G17" s="6">
        <f t="shared" si="4"/>
        <v>16666.666666666657</v>
      </c>
      <c r="H17" s="6">
        <f t="shared" si="4"/>
        <v>8333.333333333323</v>
      </c>
      <c r="I17" s="6">
        <f t="shared" si="4"/>
        <v>-1.0913936421275139E-11</v>
      </c>
      <c r="J17" s="6" t="str">
        <f t="shared" si="4"/>
        <v/>
      </c>
      <c r="K17" s="6" t="str">
        <f t="shared" si="4"/>
        <v/>
      </c>
      <c r="L17" s="6" t="str">
        <f t="shared" si="4"/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ht="15.75" thickBot="1" x14ac:dyDescent="0.3">
      <c r="B18" s="3" t="s">
        <v>13</v>
      </c>
      <c r="C18" s="4">
        <f>IFERROR(C15+C16+C14,"")</f>
        <v>15833.333333333334</v>
      </c>
      <c r="D18" s="4">
        <f>IFERROR(D15+D16+D14,"")</f>
        <v>34583.333333333328</v>
      </c>
      <c r="E18" s="4">
        <f t="shared" ref="E18:J18" si="5">IFERROR(E15+E16+E14,"")</f>
        <v>35333.333333333328</v>
      </c>
      <c r="F18" s="4">
        <f t="shared" si="5"/>
        <v>36283.333333333336</v>
      </c>
      <c r="G18" s="4">
        <f t="shared" si="5"/>
        <v>37453.333333333343</v>
      </c>
      <c r="H18" s="4">
        <f t="shared" si="5"/>
        <v>38865.333333333343</v>
      </c>
      <c r="I18" s="4" t="str">
        <f t="shared" si="5"/>
        <v/>
      </c>
      <c r="J18" s="4" t="str">
        <f t="shared" si="5"/>
        <v/>
      </c>
      <c r="K18" s="4" t="str">
        <f t="shared" ref="K18:L18" si="6">IFERROR(K15+K16,"")</f>
        <v/>
      </c>
      <c r="L18" s="4" t="str">
        <f t="shared" si="6"/>
        <v/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ht="15.75" thickTop="1" x14ac:dyDescent="0.25"/>
    <row r="22" spans="2:33" x14ac:dyDescent="0.25">
      <c r="B22" s="110" t="s">
        <v>14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2"/>
    </row>
    <row r="23" spans="2:33" x14ac:dyDescent="0.25">
      <c r="B23" t="s">
        <v>6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</row>
    <row r="24" spans="2:33" x14ac:dyDescent="0.25">
      <c r="B24" t="str">
        <f>+B14</f>
        <v>Maintenance cost</v>
      </c>
      <c r="C24" s="2">
        <f>IF(C23&lt;=$C$3,$C$4,"")</f>
        <v>50000</v>
      </c>
      <c r="D24" s="2">
        <f t="shared" ref="D24:L24" si="7">IF(D23&lt;=$C$3,$C$4,"")</f>
        <v>50000</v>
      </c>
      <c r="E24" s="2">
        <f t="shared" si="7"/>
        <v>50000</v>
      </c>
      <c r="F24" s="2">
        <f t="shared" si="7"/>
        <v>50000</v>
      </c>
      <c r="G24" s="2">
        <f t="shared" si="7"/>
        <v>50000</v>
      </c>
      <c r="H24" s="2">
        <f t="shared" si="7"/>
        <v>50000</v>
      </c>
      <c r="I24" s="2" t="str">
        <f t="shared" si="7"/>
        <v/>
      </c>
      <c r="J24" s="2" t="str">
        <f t="shared" si="7"/>
        <v/>
      </c>
      <c r="K24" s="2" t="str">
        <f t="shared" si="7"/>
        <v/>
      </c>
      <c r="L24" s="2" t="str">
        <f t="shared" si="7"/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x14ac:dyDescent="0.25">
      <c r="B25" t="s">
        <v>208</v>
      </c>
      <c r="C25" s="2"/>
      <c r="D25" s="2">
        <f>+$F$3*(1+$F$4)^(D23-2)</f>
        <v>20000</v>
      </c>
      <c r="E25" s="2">
        <f>+$F$3*(1+$F$4)^(E23-2)</f>
        <v>22000</v>
      </c>
      <c r="F25" s="2">
        <f t="shared" ref="F25:J25" si="8">+$F$3*(1+$F$4)^(F23-2)</f>
        <v>24200.000000000004</v>
      </c>
      <c r="G25" s="2">
        <f t="shared" si="8"/>
        <v>26620.000000000007</v>
      </c>
      <c r="H25" s="2">
        <f t="shared" si="8"/>
        <v>29282.000000000007</v>
      </c>
      <c r="I25" s="2">
        <f t="shared" si="8"/>
        <v>32210.200000000012</v>
      </c>
      <c r="J25" s="2">
        <f t="shared" si="8"/>
        <v>35431.220000000016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25">
      <c r="B26" t="str">
        <f>+B15</f>
        <v>Depreciation</v>
      </c>
      <c r="C26" s="9">
        <f>IFERROR(C29-C27,"")</f>
        <v>5711.8453283691688</v>
      </c>
      <c r="D26" s="9">
        <f t="shared" ref="D26:L26" si="9">IFERROR(D29-D27,"")</f>
        <v>6568.6221276245442</v>
      </c>
      <c r="E26" s="9">
        <f t="shared" si="9"/>
        <v>7553.9154467682256</v>
      </c>
      <c r="F26" s="9">
        <f t="shared" si="9"/>
        <v>8687.0027637834592</v>
      </c>
      <c r="G26" s="9">
        <f t="shared" si="9"/>
        <v>9990.0531783509778</v>
      </c>
      <c r="H26" s="8">
        <f t="shared" si="9"/>
        <v>11488.561155103624</v>
      </c>
      <c r="I26" s="8" t="str">
        <f t="shared" si="9"/>
        <v/>
      </c>
      <c r="J26" s="8" t="str">
        <f t="shared" si="9"/>
        <v/>
      </c>
      <c r="K26" s="8" t="str">
        <f t="shared" si="9"/>
        <v/>
      </c>
      <c r="L26" s="8" t="str">
        <f t="shared" si="9"/>
        <v/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3" x14ac:dyDescent="0.25">
      <c r="B27" t="str">
        <f>+B16</f>
        <v>Capital Cost</v>
      </c>
      <c r="C27" s="2">
        <f t="shared" ref="C27:K27" si="10">IF(C23&lt;=$C$3,IFERROR(C28*$C$7,""),"")</f>
        <v>7500</v>
      </c>
      <c r="D27" s="2">
        <f t="shared" si="10"/>
        <v>6643.2232007446246</v>
      </c>
      <c r="E27" s="2">
        <f t="shared" si="10"/>
        <v>5657.9298816009432</v>
      </c>
      <c r="F27" s="2">
        <f t="shared" si="10"/>
        <v>4524.8425645857096</v>
      </c>
      <c r="G27" s="2">
        <f t="shared" si="10"/>
        <v>3221.792150018191</v>
      </c>
      <c r="H27" s="2">
        <f t="shared" si="10"/>
        <v>1723.2841732655443</v>
      </c>
      <c r="I27" s="2" t="str">
        <f t="shared" si="10"/>
        <v/>
      </c>
      <c r="J27" s="2" t="str">
        <f t="shared" si="10"/>
        <v/>
      </c>
      <c r="K27" s="2" t="str">
        <f t="shared" si="10"/>
        <v/>
      </c>
      <c r="L27" s="2" t="str">
        <f>IF(L23&lt;=$C$3,IFERROR(L28*$C$7,""),"")</f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25">
      <c r="B28" t="str">
        <f>+B17</f>
        <v>Capital Base (IB)</v>
      </c>
      <c r="C28" s="2">
        <f>C24</f>
        <v>50000</v>
      </c>
      <c r="D28" s="2">
        <f>IFERROR(C28-C26,"")</f>
        <v>44288.154671630829</v>
      </c>
      <c r="E28" s="2">
        <f t="shared" ref="E28:L28" si="11">IFERROR(D28-D26,"")</f>
        <v>37719.532544006288</v>
      </c>
      <c r="F28" s="2">
        <f t="shared" si="11"/>
        <v>30165.617097238064</v>
      </c>
      <c r="G28" s="2">
        <f t="shared" si="11"/>
        <v>21478.614333454607</v>
      </c>
      <c r="H28" s="2">
        <f t="shared" si="11"/>
        <v>11488.561155103629</v>
      </c>
      <c r="I28" s="2">
        <f t="shared" si="11"/>
        <v>5.4569682106375694E-12</v>
      </c>
      <c r="J28" s="2" t="str">
        <f t="shared" si="11"/>
        <v/>
      </c>
      <c r="K28" s="2" t="str">
        <f t="shared" si="11"/>
        <v/>
      </c>
      <c r="L28" s="2" t="str">
        <f t="shared" si="11"/>
        <v/>
      </c>
      <c r="M28" s="18"/>
      <c r="N28" s="2"/>
      <c r="O28" s="18"/>
      <c r="P28" s="2"/>
      <c r="Q28" s="18"/>
      <c r="R28" s="2"/>
      <c r="S28" s="18"/>
      <c r="T28" s="2"/>
      <c r="U28" s="18"/>
      <c r="V28" s="2"/>
      <c r="W28" s="18"/>
      <c r="X28" s="2"/>
      <c r="Y28" s="18"/>
      <c r="Z28" s="2"/>
      <c r="AA28" s="18"/>
      <c r="AB28" s="2"/>
      <c r="AC28" s="18"/>
      <c r="AD28" s="2"/>
      <c r="AE28" s="18"/>
      <c r="AF28" s="2"/>
      <c r="AG28" s="18"/>
    </row>
    <row r="29" spans="2:33" x14ac:dyDescent="0.25">
      <c r="B29" s="99" t="str">
        <f>+B18</f>
        <v>Total capital cost</v>
      </c>
      <c r="C29" s="100">
        <f>IF(C23&lt;=$C$3,PMT($C$7,$C$3,-$C$4,$C$5),"")</f>
        <v>13211.845328369169</v>
      </c>
      <c r="D29" s="100">
        <f t="shared" ref="D29:L29" si="12">IF(D23&lt;=$C$3,PMT($C$7,$C$3,-$C$4,$C$5),"")</f>
        <v>13211.845328369169</v>
      </c>
      <c r="E29" s="100">
        <f t="shared" si="12"/>
        <v>13211.845328369169</v>
      </c>
      <c r="F29" s="100">
        <f t="shared" si="12"/>
        <v>13211.845328369169</v>
      </c>
      <c r="G29" s="100">
        <f t="shared" si="12"/>
        <v>13211.845328369169</v>
      </c>
      <c r="H29" s="100">
        <f t="shared" si="12"/>
        <v>13211.845328369169</v>
      </c>
      <c r="I29" s="100" t="str">
        <f t="shared" si="12"/>
        <v/>
      </c>
      <c r="J29" s="100" t="str">
        <f t="shared" si="12"/>
        <v/>
      </c>
      <c r="K29" s="100" t="str">
        <f t="shared" si="12"/>
        <v/>
      </c>
      <c r="L29" s="100" t="str">
        <f t="shared" si="12"/>
        <v/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2:33" x14ac:dyDescent="0.25">
      <c r="B30" s="5" t="s">
        <v>208</v>
      </c>
      <c r="C30" s="5"/>
      <c r="D30" s="6">
        <f>+D25</f>
        <v>20000</v>
      </c>
      <c r="E30" s="6">
        <f t="shared" ref="E30:J30" si="13">+E25</f>
        <v>22000</v>
      </c>
      <c r="F30" s="6">
        <f t="shared" si="13"/>
        <v>24200.000000000004</v>
      </c>
      <c r="G30" s="6">
        <f t="shared" si="13"/>
        <v>26620.000000000007</v>
      </c>
      <c r="H30" s="6">
        <f t="shared" si="13"/>
        <v>29282.000000000007</v>
      </c>
      <c r="I30" s="6">
        <f t="shared" si="13"/>
        <v>32210.200000000012</v>
      </c>
      <c r="J30" s="6">
        <f t="shared" si="13"/>
        <v>35431.220000000016</v>
      </c>
      <c r="K30" s="5"/>
      <c r="L30" s="5"/>
    </row>
    <row r="31" spans="2:33" ht="15.75" thickBot="1" x14ac:dyDescent="0.3">
      <c r="B31" s="3" t="s">
        <v>193</v>
      </c>
      <c r="C31" s="4">
        <f>SUM(C29:C30)</f>
        <v>13211.845328369169</v>
      </c>
      <c r="D31" s="4">
        <f t="shared" ref="D31:J31" si="14">SUM(D29:D30)</f>
        <v>33211.845328369171</v>
      </c>
      <c r="E31" s="4">
        <f t="shared" si="14"/>
        <v>35211.845328369171</v>
      </c>
      <c r="F31" s="4">
        <f t="shared" si="14"/>
        <v>37411.845328369171</v>
      </c>
      <c r="G31" s="4">
        <f t="shared" si="14"/>
        <v>39831.845328369178</v>
      </c>
      <c r="H31" s="4">
        <f t="shared" si="14"/>
        <v>42493.845328369178</v>
      </c>
      <c r="I31" s="4">
        <f t="shared" si="14"/>
        <v>32210.200000000012</v>
      </c>
      <c r="J31" s="4">
        <f t="shared" si="14"/>
        <v>35431.220000000016</v>
      </c>
      <c r="K31" s="3"/>
      <c r="L31" s="3"/>
    </row>
    <row r="32" spans="2:33" ht="15.75" thickTop="1" x14ac:dyDescent="0.25"/>
    <row r="33" spans="2:33" x14ac:dyDescent="0.25">
      <c r="B33" s="113" t="s">
        <v>15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4"/>
    </row>
    <row r="34" spans="2:33" x14ac:dyDescent="0.25">
      <c r="B34" t="str">
        <f>+B23</f>
        <v>Year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</row>
    <row r="35" spans="2:33" x14ac:dyDescent="0.25">
      <c r="B35" t="s">
        <v>16</v>
      </c>
      <c r="C35" s="2">
        <f t="shared" ref="C35:L35" si="15">IF(C34&lt;=$C$3,$C$4*(1-$C$9)^(C34-$C$34),"")</f>
        <v>50000</v>
      </c>
      <c r="D35" s="2">
        <f t="shared" si="15"/>
        <v>52000</v>
      </c>
      <c r="E35" s="2">
        <f t="shared" si="15"/>
        <v>54080.000000000007</v>
      </c>
      <c r="F35" s="2">
        <f t="shared" si="15"/>
        <v>56243.200000000004</v>
      </c>
      <c r="G35" s="2">
        <f t="shared" si="15"/>
        <v>58492.928000000007</v>
      </c>
      <c r="H35" s="2">
        <f t="shared" si="15"/>
        <v>60832.645120000016</v>
      </c>
      <c r="I35" s="2" t="str">
        <f t="shared" si="15"/>
        <v/>
      </c>
      <c r="J35" s="2" t="str">
        <f t="shared" si="15"/>
        <v/>
      </c>
      <c r="K35" s="2" t="str">
        <f t="shared" si="15"/>
        <v/>
      </c>
      <c r="L35" s="2" t="str">
        <f t="shared" si="15"/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2:33" x14ac:dyDescent="0.25">
      <c r="B36" t="s">
        <v>208</v>
      </c>
      <c r="C36" s="2"/>
      <c r="D36" s="2">
        <f>+$F$3*(1+$F$4)^(D34-2)</f>
        <v>20000</v>
      </c>
      <c r="E36" s="2">
        <f>+$F$3*(1+$F$4)^(E34-2)</f>
        <v>22000</v>
      </c>
      <c r="F36" s="2">
        <f t="shared" ref="F36:J36" si="16">+$F$3*(1+$F$4)^(F34-2)</f>
        <v>24200.000000000004</v>
      </c>
      <c r="G36" s="2">
        <f t="shared" si="16"/>
        <v>26620.000000000007</v>
      </c>
      <c r="H36" s="2">
        <f t="shared" si="16"/>
        <v>29282.000000000007</v>
      </c>
      <c r="I36" s="2">
        <f t="shared" si="16"/>
        <v>32210.200000000012</v>
      </c>
      <c r="J36" s="2">
        <f t="shared" si="16"/>
        <v>35431.220000000016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2:33" x14ac:dyDescent="0.25">
      <c r="B37" t="str">
        <f>+B26</f>
        <v>Depreciation</v>
      </c>
      <c r="C37" s="2">
        <f>IFERROR((C35-$C$5)/$C$3,"")</f>
        <v>8333.3333333333339</v>
      </c>
      <c r="D37" s="2">
        <f t="shared" ref="D37:L37" si="17">IFERROR((D35-$C$5)/$C$3,"")</f>
        <v>8666.6666666666661</v>
      </c>
      <c r="E37" s="2">
        <f t="shared" si="17"/>
        <v>9013.3333333333339</v>
      </c>
      <c r="F37" s="2">
        <f t="shared" si="17"/>
        <v>9373.8666666666668</v>
      </c>
      <c r="G37" s="2">
        <f t="shared" si="17"/>
        <v>9748.8213333333351</v>
      </c>
      <c r="H37" s="2">
        <f t="shared" si="17"/>
        <v>10138.774186666669</v>
      </c>
      <c r="I37" s="2" t="str">
        <f t="shared" si="17"/>
        <v/>
      </c>
      <c r="J37" s="2" t="str">
        <f t="shared" si="17"/>
        <v/>
      </c>
      <c r="K37" s="2" t="str">
        <f t="shared" si="17"/>
        <v/>
      </c>
      <c r="L37" s="2" t="str">
        <f t="shared" si="17"/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x14ac:dyDescent="0.25">
      <c r="B38" t="str">
        <f>+B27</f>
        <v>Capital Cost</v>
      </c>
      <c r="C38" s="9">
        <f>IF(C34&lt;=$C$3,IFERROR(C39*$C$8,""),"")</f>
        <v>5288.4615384615381</v>
      </c>
      <c r="D38" s="9">
        <f t="shared" ref="D38:L38" si="18">IF(D34&lt;=$C$3,IFERROR(D39*$C$8,""),"")</f>
        <v>4583.333333333333</v>
      </c>
      <c r="E38" s="9">
        <f t="shared" si="18"/>
        <v>3813.3333333333339</v>
      </c>
      <c r="F38" s="9">
        <f t="shared" si="18"/>
        <v>2974.4</v>
      </c>
      <c r="G38" s="9">
        <f t="shared" si="18"/>
        <v>2062.2506666666663</v>
      </c>
      <c r="H38" s="9">
        <f t="shared" si="18"/>
        <v>1072.3703466666668</v>
      </c>
      <c r="I38" s="9" t="str">
        <f t="shared" si="18"/>
        <v/>
      </c>
      <c r="J38" s="9" t="str">
        <f t="shared" si="18"/>
        <v/>
      </c>
      <c r="K38" s="9" t="str">
        <f t="shared" si="18"/>
        <v/>
      </c>
      <c r="L38" s="9" t="str">
        <f t="shared" si="18"/>
        <v/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2:33" x14ac:dyDescent="0.25">
      <c r="B39" t="str">
        <f>+B28</f>
        <v>Capital Base (IB)</v>
      </c>
      <c r="C39" s="15">
        <f t="shared" ref="C39" si="19">IFERROR(C35-(C34-$C$34)*C37,"")</f>
        <v>50000</v>
      </c>
      <c r="D39" s="15">
        <f t="shared" ref="D39:L39" si="20">IFERROR(IF((C37+$C$5)=C39,$C$5,IFERROR(D35-(D34-$C$34)*D37,"")),"")</f>
        <v>43333.333333333336</v>
      </c>
      <c r="E39" s="15">
        <f t="shared" si="20"/>
        <v>36053.333333333343</v>
      </c>
      <c r="F39" s="15">
        <f t="shared" si="20"/>
        <v>28121.600000000006</v>
      </c>
      <c r="G39" s="15">
        <f t="shared" si="20"/>
        <v>19497.642666666667</v>
      </c>
      <c r="H39" s="15">
        <f t="shared" si="20"/>
        <v>10138.774186666669</v>
      </c>
      <c r="I39" s="15">
        <f t="shared" si="20"/>
        <v>0</v>
      </c>
      <c r="J39" s="15" t="str">
        <f t="shared" si="20"/>
        <v/>
      </c>
      <c r="K39" s="15" t="str">
        <f t="shared" si="20"/>
        <v/>
      </c>
      <c r="L39" s="15" t="str">
        <f t="shared" si="20"/>
        <v/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2:33" ht="15.75" thickBot="1" x14ac:dyDescent="0.3">
      <c r="B40" s="7" t="str">
        <f>+B29</f>
        <v>Total capital cost</v>
      </c>
      <c r="C40" s="16">
        <f>IFERROR(C37+C38,"")</f>
        <v>13621.794871794871</v>
      </c>
      <c r="D40" s="16">
        <f>IFERROR(D37+D38+D36,"")</f>
        <v>33250</v>
      </c>
      <c r="E40" s="16">
        <f t="shared" ref="E40:J40" si="21">IFERROR(E37+E38+E36,"")</f>
        <v>34826.666666666672</v>
      </c>
      <c r="F40" s="16">
        <f t="shared" si="21"/>
        <v>36548.26666666667</v>
      </c>
      <c r="G40" s="16">
        <f t="shared" si="21"/>
        <v>38431.072000000007</v>
      </c>
      <c r="H40" s="16">
        <f t="shared" si="21"/>
        <v>40493.144533333339</v>
      </c>
      <c r="I40" s="16" t="str">
        <f t="shared" si="21"/>
        <v/>
      </c>
      <c r="J40" s="16" t="str">
        <f t="shared" si="21"/>
        <v/>
      </c>
      <c r="K40" s="16" t="str">
        <f t="shared" ref="K40:L40" si="22">IFERROR(K37+K38,"")</f>
        <v/>
      </c>
      <c r="L40" s="16" t="str">
        <f t="shared" si="22"/>
        <v/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2:33" ht="15.75" thickTop="1" x14ac:dyDescent="0.25">
      <c r="D41" s="2"/>
      <c r="E41" s="2"/>
      <c r="F41" s="2"/>
      <c r="G41" s="2"/>
      <c r="H41" s="2"/>
      <c r="I41" s="2"/>
      <c r="J41" s="2"/>
    </row>
    <row r="42" spans="2:33" x14ac:dyDescent="0.25">
      <c r="C42" s="2"/>
      <c r="D42" s="2"/>
      <c r="E42" s="2"/>
      <c r="F42" s="2"/>
      <c r="G42" s="2"/>
      <c r="H42" s="2"/>
      <c r="I42" s="2"/>
      <c r="J42" s="2"/>
    </row>
    <row r="44" spans="2:33" x14ac:dyDescent="0.25">
      <c r="B44" s="115" t="s">
        <v>19</v>
      </c>
      <c r="C44" s="115"/>
      <c r="D44" s="115"/>
      <c r="E44" s="115"/>
      <c r="F44" s="115"/>
      <c r="G44" s="115"/>
      <c r="H44" s="19"/>
      <c r="I44" s="19"/>
      <c r="J44" s="115" t="s">
        <v>118</v>
      </c>
      <c r="K44" s="115"/>
      <c r="L44" s="115"/>
    </row>
    <row r="45" spans="2:33" x14ac:dyDescent="0.25">
      <c r="B45" t="str">
        <f>+B34</f>
        <v>Year</v>
      </c>
      <c r="C45">
        <v>1</v>
      </c>
      <c r="D45">
        <v>2</v>
      </c>
      <c r="E45">
        <v>3</v>
      </c>
      <c r="F45">
        <v>4</v>
      </c>
      <c r="G45">
        <v>5</v>
      </c>
      <c r="I45" s="64"/>
      <c r="J45" s="61" t="s">
        <v>6</v>
      </c>
      <c r="K45" s="66"/>
      <c r="L45" s="67">
        <v>8</v>
      </c>
    </row>
    <row r="46" spans="2:33" x14ac:dyDescent="0.25">
      <c r="B46" t="str">
        <f>+B35</f>
        <v>Replacement cost</v>
      </c>
      <c r="C46" s="15">
        <f>C4</f>
        <v>50000</v>
      </c>
      <c r="D46" s="15">
        <f>IF(D45&lt;=$C$3,C46*(1-$C$9),"")</f>
        <v>52000</v>
      </c>
      <c r="E46" s="15">
        <f>IF(E45&lt;=$C$3,D46*(1-$C$9),"")</f>
        <v>54080</v>
      </c>
      <c r="F46" s="15">
        <f>IF(F45&lt;=$C$3,E46*(1-$C$9),"")</f>
        <v>56243.200000000004</v>
      </c>
      <c r="G46" s="15">
        <f>IF(G45&lt;=$C$3,F46*(1-$C$9),"")</f>
        <v>58492.928000000007</v>
      </c>
      <c r="H46" s="18"/>
      <c r="I46" s="65"/>
      <c r="J46" s="101" t="str">
        <f>"Replacement year"&amp;" "&amp;L45</f>
        <v>Replacement year 8</v>
      </c>
      <c r="K46" s="102"/>
      <c r="L46" s="68">
        <f>C4*(1-C9)^(L45-1)</f>
        <v>65796.588961792018</v>
      </c>
    </row>
    <row r="47" spans="2:33" x14ac:dyDescent="0.25">
      <c r="B47" t="s">
        <v>208</v>
      </c>
      <c r="C47" s="15"/>
      <c r="D47" s="15">
        <f>$F$3*(1+$F$4)^(D45-2)</f>
        <v>20000</v>
      </c>
      <c r="E47" s="15">
        <f t="shared" ref="E47:G47" si="23">$F$3*(1+$F$4)^(E45-2)</f>
        <v>22000</v>
      </c>
      <c r="F47" s="15">
        <f t="shared" si="23"/>
        <v>24200.000000000004</v>
      </c>
      <c r="G47" s="15">
        <f t="shared" si="23"/>
        <v>26620.000000000007</v>
      </c>
      <c r="H47" s="18"/>
      <c r="I47" s="65"/>
      <c r="J47" t="s">
        <v>206</v>
      </c>
      <c r="L47" s="68">
        <f>F3*(1+F4)^(L45-2)</f>
        <v>35431.220000000016</v>
      </c>
    </row>
    <row r="48" spans="2:33" x14ac:dyDescent="0.25">
      <c r="B48" t="str">
        <f>+B37</f>
        <v>Depreciation</v>
      </c>
      <c r="C48" s="15">
        <f>IFERROR(C51-C49,"")</f>
        <v>6386.6797152410463</v>
      </c>
      <c r="D48" s="15">
        <f t="shared" ref="D48:G48" si="24">IFERROR(D51-D49,"")</f>
        <v>7581.3043346838358</v>
      </c>
      <c r="E48" s="15">
        <f t="shared" si="24"/>
        <v>8851.8034432893874</v>
      </c>
      <c r="F48" s="15">
        <f t="shared" si="24"/>
        <v>10202.051305208253</v>
      </c>
      <c r="G48" s="15">
        <f t="shared" si="24"/>
        <v>11636.102197999604</v>
      </c>
      <c r="I48" s="64"/>
      <c r="J48" s="103" t="s">
        <v>13</v>
      </c>
      <c r="K48" s="103"/>
      <c r="L48" s="63">
        <f>PMT($C$8,$C$3,-L46,$C$5)</f>
        <v>15363.6894028146</v>
      </c>
    </row>
    <row r="49" spans="2:12" x14ac:dyDescent="0.25">
      <c r="B49" t="str">
        <f>+B38</f>
        <v>Capital Cost</v>
      </c>
      <c r="C49" s="15">
        <f>IFERROR(C50*$C$8,"")</f>
        <v>5288.4615384615381</v>
      </c>
      <c r="D49" s="15">
        <f t="shared" ref="D49:G49" si="25">IFERROR(D50*$C$8,"")</f>
        <v>4560.8425691668499</v>
      </c>
      <c r="E49" s="15">
        <f t="shared" si="25"/>
        <v>3776.0293367153267</v>
      </c>
      <c r="F49" s="15">
        <f t="shared" si="25"/>
        <v>2930.8947859966506</v>
      </c>
      <c r="G49" s="15">
        <f t="shared" si="25"/>
        <v>2022.1617368534974</v>
      </c>
    </row>
    <row r="50" spans="2:12" x14ac:dyDescent="0.25">
      <c r="B50" s="5" t="str">
        <f>+B39</f>
        <v>Capital Base (IB)</v>
      </c>
      <c r="C50" s="26">
        <f>C46</f>
        <v>50000</v>
      </c>
      <c r="D50" s="26">
        <f>IFERROR('Accounting Adjustment (CapCost)'!D5,0)</f>
        <v>43120.69338121386</v>
      </c>
      <c r="E50" s="26">
        <f>IFERROR('Accounting Adjustment (CapCost)'!E8,0)</f>
        <v>35700.641001672186</v>
      </c>
      <c r="F50" s="26">
        <f>IFERROR('Accounting Adjustment (CapCost)'!F11,0)</f>
        <v>27710.277976695612</v>
      </c>
      <c r="G50" s="26">
        <f>IFERROR('Accounting Adjustment (CapCost)'!G14,0)</f>
        <v>19118.620057523978</v>
      </c>
      <c r="H50" s="2">
        <f>IFERROR(G50-G48,"")</f>
        <v>7482.5178595243742</v>
      </c>
      <c r="I50" s="2"/>
    </row>
    <row r="51" spans="2:12" x14ac:dyDescent="0.25">
      <c r="B51" t="str">
        <f>+B40</f>
        <v>Total capital cost</v>
      </c>
      <c r="C51" s="18">
        <f>IF(C45&lt;=$C$3,PMT($C$8,$C$3,-C46,$C$5),"")</f>
        <v>11675.141253702584</v>
      </c>
      <c r="D51" s="18">
        <f t="shared" ref="D51:G51" si="26">IF(D45&lt;=$C$3,PMT($C$8,$C$3,-D46,$C$5),"")</f>
        <v>12142.146903850686</v>
      </c>
      <c r="E51" s="18">
        <f t="shared" si="26"/>
        <v>12627.832780004714</v>
      </c>
      <c r="F51" s="18">
        <f t="shared" si="26"/>
        <v>13132.946091204903</v>
      </c>
      <c r="G51" s="18">
        <f t="shared" si="26"/>
        <v>13658.263934853101</v>
      </c>
      <c r="H51" s="18"/>
      <c r="I51" s="18"/>
      <c r="J51" s="18"/>
      <c r="K51" s="18"/>
      <c r="L51" s="18"/>
    </row>
    <row r="52" spans="2:12" x14ac:dyDescent="0.25">
      <c r="B52" s="5" t="s">
        <v>208</v>
      </c>
      <c r="C52" s="5"/>
      <c r="D52" s="6">
        <f>+D47</f>
        <v>20000</v>
      </c>
      <c r="E52" s="6">
        <f t="shared" ref="E52:G52" si="27">+E47</f>
        <v>22000</v>
      </c>
      <c r="F52" s="6">
        <f t="shared" si="27"/>
        <v>24200.000000000004</v>
      </c>
      <c r="G52" s="6">
        <f t="shared" si="27"/>
        <v>26620.000000000007</v>
      </c>
    </row>
    <row r="53" spans="2:12" x14ac:dyDescent="0.25">
      <c r="B53" t="s">
        <v>193</v>
      </c>
      <c r="C53" s="2">
        <f>SUM(C51:C52)</f>
        <v>11675.141253702584</v>
      </c>
      <c r="D53" s="2">
        <f t="shared" ref="D53" si="28">SUM(D51:D52)</f>
        <v>32142.146903850684</v>
      </c>
      <c r="E53" s="2">
        <f t="shared" ref="E53" si="29">SUM(E51:E52)</f>
        <v>34627.832780004712</v>
      </c>
      <c r="F53" s="2">
        <f t="shared" ref="F53" si="30">SUM(F51:F52)</f>
        <v>37332.946091204911</v>
      </c>
      <c r="G53" s="2">
        <f t="shared" ref="G53" si="31">SUM(G51:G52)</f>
        <v>40278.263934853108</v>
      </c>
    </row>
    <row r="55" spans="2:12" x14ac:dyDescent="0.25">
      <c r="B55" s="104" t="s">
        <v>119</v>
      </c>
      <c r="C55" s="105"/>
      <c r="D55" s="105"/>
      <c r="E55" s="105"/>
      <c r="F55" s="105"/>
      <c r="G55" s="106"/>
      <c r="H55" s="19"/>
      <c r="I55" s="19"/>
      <c r="J55" s="104" t="s">
        <v>122</v>
      </c>
      <c r="K55" s="105"/>
      <c r="L55" s="106"/>
    </row>
    <row r="56" spans="2:12" x14ac:dyDescent="0.25">
      <c r="B56" t="str">
        <f>+B45</f>
        <v>Year</v>
      </c>
      <c r="C56">
        <v>1</v>
      </c>
      <c r="D56">
        <v>2</v>
      </c>
      <c r="E56">
        <v>3</v>
      </c>
      <c r="F56">
        <v>4</v>
      </c>
      <c r="G56">
        <v>5</v>
      </c>
      <c r="I56" s="64"/>
      <c r="J56" s="61" t="s">
        <v>6</v>
      </c>
      <c r="K56" s="66"/>
      <c r="L56" s="67">
        <v>8</v>
      </c>
    </row>
    <row r="57" spans="2:12" x14ac:dyDescent="0.25">
      <c r="B57" t="str">
        <f>+B46</f>
        <v>Replacement cost</v>
      </c>
      <c r="C57" s="15">
        <f>$C$4</f>
        <v>50000</v>
      </c>
      <c r="D57" s="15">
        <f>IF(D56&lt;=$C$3,C57*(1+$C$6),"")</f>
        <v>52000</v>
      </c>
      <c r="E57" s="15">
        <f t="shared" ref="E57:G57" si="32">IF(E56&lt;=$C$3,D57*(1+$C$6),"")</f>
        <v>54080</v>
      </c>
      <c r="F57" s="15">
        <f t="shared" si="32"/>
        <v>56243.200000000004</v>
      </c>
      <c r="G57" s="15">
        <f t="shared" si="32"/>
        <v>58492.928000000007</v>
      </c>
      <c r="H57" s="18"/>
      <c r="I57" s="65"/>
      <c r="J57" s="50" t="str">
        <f>"Replacement year"&amp;" "&amp;L56</f>
        <v>Replacement year 8</v>
      </c>
      <c r="L57" s="68">
        <f>$C$4*(1+$C$6)^(L56-1)</f>
        <v>65796.588961792018</v>
      </c>
    </row>
    <row r="58" spans="2:12" x14ac:dyDescent="0.25">
      <c r="B58" t="s">
        <v>208</v>
      </c>
      <c r="C58" s="15"/>
      <c r="D58" s="15">
        <f>$F$3*(1+$F$4)^(D56-2)</f>
        <v>20000</v>
      </c>
      <c r="E58" s="15">
        <f t="shared" ref="E58:G58" si="33">$F$3*(1+$F$4)^(E56-2)</f>
        <v>22000</v>
      </c>
      <c r="F58" s="15">
        <f t="shared" si="33"/>
        <v>24200.000000000004</v>
      </c>
      <c r="G58" s="15">
        <f t="shared" si="33"/>
        <v>26620.000000000007</v>
      </c>
      <c r="H58" s="18"/>
      <c r="I58" s="65"/>
      <c r="J58" s="101" t="s">
        <v>206</v>
      </c>
      <c r="K58" s="102"/>
      <c r="L58" s="68">
        <f>F3*(1+F4)^(L56-2)</f>
        <v>35431.220000000016</v>
      </c>
    </row>
    <row r="59" spans="2:12" x14ac:dyDescent="0.25">
      <c r="B59" t="str">
        <f>+B48</f>
        <v>Depreciation</v>
      </c>
      <c r="C59" s="15">
        <f>IFERROR(C62-C60,"")</f>
        <v>6386.6797152410463</v>
      </c>
      <c r="D59" s="15">
        <f t="shared" ref="D59:G59" si="34">IFERROR(D62-D60,"")</f>
        <v>7537.0243097404691</v>
      </c>
      <c r="E59" s="15">
        <f t="shared" si="34"/>
        <v>8778.1265583143595</v>
      </c>
      <c r="F59" s="15">
        <f t="shared" si="34"/>
        <v>10115.853960640419</v>
      </c>
      <c r="G59" s="15">
        <f t="shared" si="34"/>
        <v>11556.420576059196</v>
      </c>
      <c r="H59" s="2"/>
      <c r="I59" s="64"/>
      <c r="J59" s="62" t="s">
        <v>13</v>
      </c>
      <c r="K59" s="62"/>
      <c r="L59" s="63">
        <f>PMT($C$8,$C$3,-L57,$C$5)</f>
        <v>15363.6894028146</v>
      </c>
    </row>
    <row r="60" spans="2:12" x14ac:dyDescent="0.25">
      <c r="B60" t="str">
        <f>+B49</f>
        <v>Capital Cost</v>
      </c>
      <c r="C60" s="15">
        <f>IFERROR(C61*$C$8,"")</f>
        <v>5288.4615384615381</v>
      </c>
      <c r="D60" s="15">
        <f t="shared" ref="D60:G60" si="35">IFERROR(D61*$C$8,"")</f>
        <v>4605.1225941102166</v>
      </c>
      <c r="E60" s="15">
        <f t="shared" si="35"/>
        <v>3849.7062216903541</v>
      </c>
      <c r="F60" s="15">
        <f t="shared" si="35"/>
        <v>3017.0921305644852</v>
      </c>
      <c r="G60" s="15">
        <f t="shared" si="35"/>
        <v>2101.8433587939057</v>
      </c>
      <c r="H60" s="2"/>
    </row>
    <row r="61" spans="2:12" x14ac:dyDescent="0.25">
      <c r="B61" s="5" t="str">
        <f>+B50</f>
        <v>Capital Base (IB)</v>
      </c>
      <c r="C61" s="26">
        <f>C57</f>
        <v>50000</v>
      </c>
      <c r="D61" s="26">
        <f>IFERROR('Accounting Adjustment (CapCost)'!D21,0)</f>
        <v>43539.34088976933</v>
      </c>
      <c r="E61" s="26">
        <f>IFERROR('Accounting Adjustment (CapCost)'!E24,0)</f>
        <v>36397.2224596179</v>
      </c>
      <c r="F61" s="26">
        <f>IFERROR('Accounting Adjustment (CapCost)'!F27,0)</f>
        <v>28525.234688973316</v>
      </c>
      <c r="G61" s="26">
        <f>IFERROR('Accounting Adjustment (CapCost)'!G30,0)</f>
        <v>19871.973574051477</v>
      </c>
      <c r="H61" s="2">
        <f>IFERROR(G61-G59,"")</f>
        <v>8315.5529979922812</v>
      </c>
      <c r="I61" s="2"/>
    </row>
    <row r="62" spans="2:12" x14ac:dyDescent="0.25">
      <c r="B62" t="str">
        <f>+B51</f>
        <v>Total capital cost</v>
      </c>
      <c r="C62" s="18">
        <f>IF(C56&lt;=$C$3,PMT($C$8,$C$3,-C57,$C$5),"")</f>
        <v>11675.141253702584</v>
      </c>
      <c r="D62" s="18">
        <f t="shared" ref="D62:G62" si="36">IF(D56&lt;=$C$3,PMT($C$8,$C$3,-D57,$C$5),"")</f>
        <v>12142.146903850686</v>
      </c>
      <c r="E62" s="18">
        <f t="shared" si="36"/>
        <v>12627.832780004714</v>
      </c>
      <c r="F62" s="18">
        <f t="shared" si="36"/>
        <v>13132.946091204903</v>
      </c>
      <c r="G62" s="18">
        <f t="shared" si="36"/>
        <v>13658.263934853101</v>
      </c>
      <c r="H62" s="18"/>
      <c r="I62" s="18"/>
      <c r="J62" s="18"/>
      <c r="K62" s="18"/>
      <c r="L62" s="18"/>
    </row>
    <row r="63" spans="2:12" x14ac:dyDescent="0.25">
      <c r="B63" s="5" t="s">
        <v>208</v>
      </c>
      <c r="C63" s="5"/>
      <c r="D63" s="6">
        <f>+D58</f>
        <v>20000</v>
      </c>
      <c r="E63" s="6">
        <f t="shared" ref="E63:G63" si="37">+E58</f>
        <v>22000</v>
      </c>
      <c r="F63" s="6">
        <f t="shared" si="37"/>
        <v>24200.000000000004</v>
      </c>
      <c r="G63" s="6">
        <f t="shared" si="37"/>
        <v>26620.000000000007</v>
      </c>
    </row>
    <row r="64" spans="2:12" x14ac:dyDescent="0.25">
      <c r="B64" t="s">
        <v>193</v>
      </c>
      <c r="C64" s="2">
        <f>SUM(C62:C63)</f>
        <v>11675.141253702584</v>
      </c>
      <c r="D64" s="2">
        <f t="shared" ref="D64" si="38">SUM(D62:D63)</f>
        <v>32142.146903850684</v>
      </c>
      <c r="E64" s="2">
        <f t="shared" ref="E64" si="39">SUM(E62:E63)</f>
        <v>34627.832780004712</v>
      </c>
      <c r="F64" s="2">
        <f t="shared" ref="F64" si="40">SUM(F62:F63)</f>
        <v>37332.946091204911</v>
      </c>
      <c r="G64" s="2">
        <f t="shared" ref="G64" si="41">SUM(G62:G63)</f>
        <v>40278.263934853108</v>
      </c>
    </row>
  </sheetData>
  <mergeCells count="11">
    <mergeCell ref="B2:C2"/>
    <mergeCell ref="B11:L11"/>
    <mergeCell ref="B22:L22"/>
    <mergeCell ref="B33:L33"/>
    <mergeCell ref="B44:G44"/>
    <mergeCell ref="J44:L44"/>
    <mergeCell ref="J46:K46"/>
    <mergeCell ref="J48:K48"/>
    <mergeCell ref="B55:G55"/>
    <mergeCell ref="J55:L55"/>
    <mergeCell ref="J58:K5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EFBD-7A26-4A74-8DAF-C13E7A395A6B}">
  <sheetPr>
    <tabColor theme="7" tint="0.79998168889431442"/>
  </sheetPr>
  <dimension ref="B2:I6"/>
  <sheetViews>
    <sheetView workbookViewId="0">
      <selection activeCell="B8" sqref="B8"/>
    </sheetView>
  </sheetViews>
  <sheetFormatPr defaultRowHeight="15" x14ac:dyDescent="0.25"/>
  <sheetData>
    <row r="2" spans="2:9" x14ac:dyDescent="0.25">
      <c r="B2" t="s">
        <v>123</v>
      </c>
    </row>
    <row r="3" spans="2:9" x14ac:dyDescent="0.25">
      <c r="B3" s="70"/>
      <c r="C3" s="70"/>
      <c r="D3" s="70"/>
      <c r="E3" s="70"/>
      <c r="F3" s="70"/>
      <c r="G3" s="70"/>
      <c r="H3" s="70"/>
      <c r="I3" s="70"/>
    </row>
    <row r="4" spans="2:9" x14ac:dyDescent="0.25">
      <c r="B4" s="70"/>
      <c r="C4" s="70"/>
      <c r="D4" s="70"/>
      <c r="E4" s="70"/>
      <c r="F4" s="70"/>
      <c r="G4" s="70"/>
      <c r="H4" s="70"/>
      <c r="I4" s="70"/>
    </row>
    <row r="5" spans="2:9" x14ac:dyDescent="0.25">
      <c r="B5" s="70"/>
      <c r="C5" s="70"/>
      <c r="D5" s="70"/>
      <c r="E5" s="70"/>
      <c r="F5" s="70"/>
      <c r="G5" s="70"/>
      <c r="H5" s="70"/>
      <c r="I5" s="70"/>
    </row>
    <row r="6" spans="2:9" ht="18" x14ac:dyDescent="0.35">
      <c r="B6" t="s">
        <v>124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2:AG58"/>
  <sheetViews>
    <sheetView showGridLines="0" tabSelected="1" zoomScale="85" zoomScaleNormal="85" workbookViewId="0">
      <selection activeCell="Q47" sqref="Q47"/>
    </sheetView>
  </sheetViews>
  <sheetFormatPr defaultRowHeight="15" x14ac:dyDescent="0.25"/>
  <cols>
    <col min="2" max="2" width="19" customWidth="1"/>
    <col min="3" max="3" width="12.140625" bestFit="1" customWidth="1"/>
    <col min="4" max="5" width="10.42578125" customWidth="1"/>
    <col min="6" max="6" width="10.140625" customWidth="1"/>
    <col min="7" max="7" width="11.7109375" customWidth="1"/>
    <col min="8" max="8" width="10.85546875" customWidth="1"/>
    <col min="9" max="11" width="10.42578125" bestFit="1" customWidth="1"/>
    <col min="12" max="12" width="10.7109375" customWidth="1"/>
    <col min="13" max="20" width="10.28515625" bestFit="1" customWidth="1"/>
    <col min="21" max="22" width="10.42578125" bestFit="1" customWidth="1"/>
    <col min="23" max="27" width="11.28515625" bestFit="1" customWidth="1"/>
    <col min="28" max="33" width="10.140625" customWidth="1"/>
  </cols>
  <sheetData>
    <row r="2" spans="2:33" x14ac:dyDescent="0.25">
      <c r="B2" s="107" t="s">
        <v>0</v>
      </c>
      <c r="C2" s="107"/>
    </row>
    <row r="3" spans="2:33" x14ac:dyDescent="0.25">
      <c r="B3" s="1" t="s">
        <v>12</v>
      </c>
      <c r="C3" s="11">
        <v>6</v>
      </c>
    </row>
    <row r="4" spans="2:33" x14ac:dyDescent="0.25">
      <c r="B4" s="1" t="s">
        <v>1</v>
      </c>
      <c r="C4" s="12">
        <v>50000</v>
      </c>
    </row>
    <row r="5" spans="2:33" x14ac:dyDescent="0.25">
      <c r="B5" s="1" t="s">
        <v>2</v>
      </c>
      <c r="C5" s="12">
        <v>0</v>
      </c>
    </row>
    <row r="6" spans="2:33" x14ac:dyDescent="0.25">
      <c r="B6" s="1" t="s">
        <v>3</v>
      </c>
      <c r="C6" s="13">
        <v>0.04</v>
      </c>
    </row>
    <row r="7" spans="2:33" x14ac:dyDescent="0.25">
      <c r="B7" s="1" t="s">
        <v>4</v>
      </c>
      <c r="C7" s="13">
        <v>0.05</v>
      </c>
    </row>
    <row r="8" spans="2:33" x14ac:dyDescent="0.25">
      <c r="B8" s="1" t="s">
        <v>5</v>
      </c>
      <c r="C8" s="14">
        <f>(C7-C6)/(1+C6)</f>
        <v>9.6153846153846177E-3</v>
      </c>
    </row>
    <row r="9" spans="2:33" x14ac:dyDescent="0.25">
      <c r="B9" s="1" t="s">
        <v>17</v>
      </c>
      <c r="C9" s="14">
        <v>-0.03</v>
      </c>
      <c r="D9" s="17" t="s">
        <v>18</v>
      </c>
    </row>
    <row r="11" spans="2:33" x14ac:dyDescent="0.25">
      <c r="B11" s="108" t="s">
        <v>11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</row>
    <row r="12" spans="2:33" x14ac:dyDescent="0.25">
      <c r="B12" t="s">
        <v>6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2:33" x14ac:dyDescent="0.25">
      <c r="B13" t="s">
        <v>10</v>
      </c>
      <c r="C13" s="2">
        <f>IF(C12&lt;=$C$3,$C$4,"")</f>
        <v>50000</v>
      </c>
      <c r="D13" s="2">
        <f t="shared" ref="D13:L13" si="0">IF(D12&lt;=$C$3,$C$4,"")</f>
        <v>50000</v>
      </c>
      <c r="E13" s="2">
        <f t="shared" si="0"/>
        <v>50000</v>
      </c>
      <c r="F13" s="2">
        <f t="shared" si="0"/>
        <v>50000</v>
      </c>
      <c r="G13" s="2">
        <f t="shared" si="0"/>
        <v>50000</v>
      </c>
      <c r="H13" s="2">
        <f t="shared" si="0"/>
        <v>50000</v>
      </c>
      <c r="I13" s="2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0"/>
        <v/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x14ac:dyDescent="0.25">
      <c r="B14" t="s">
        <v>7</v>
      </c>
      <c r="C14" s="2">
        <f>IFERROR((C13-$C$5)/$C$3,"")</f>
        <v>8333.3333333333339</v>
      </c>
      <c r="D14" s="2">
        <f t="shared" ref="D14:L14" si="1">IFERROR((D13-$C$5)/$C$3,"")</f>
        <v>8333.3333333333339</v>
      </c>
      <c r="E14" s="2">
        <f t="shared" si="1"/>
        <v>8333.3333333333339</v>
      </c>
      <c r="F14" s="2">
        <f t="shared" si="1"/>
        <v>8333.3333333333339</v>
      </c>
      <c r="G14" s="2">
        <f t="shared" si="1"/>
        <v>8333.3333333333339</v>
      </c>
      <c r="H14" s="2">
        <f t="shared" si="1"/>
        <v>8333.3333333333339</v>
      </c>
      <c r="I14" s="2" t="str">
        <f t="shared" si="1"/>
        <v/>
      </c>
      <c r="J14" s="2" t="str">
        <f t="shared" si="1"/>
        <v/>
      </c>
      <c r="K14" s="2" t="str">
        <f t="shared" si="1"/>
        <v/>
      </c>
      <c r="L14" s="2" t="str">
        <f t="shared" si="1"/>
        <v/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x14ac:dyDescent="0.25">
      <c r="B15" t="s">
        <v>8</v>
      </c>
      <c r="C15" s="2">
        <f>IF(C12&lt;=$C$3,IFERROR(C16*$C$7,""),"")</f>
        <v>2500</v>
      </c>
      <c r="D15" s="2">
        <f t="shared" ref="D15:L15" si="2">IF(D12&lt;=$C$3,IFERROR(D16*$C$7,""),"")</f>
        <v>2083.3333333333335</v>
      </c>
      <c r="E15" s="2">
        <f t="shared" si="2"/>
        <v>1666.6666666666665</v>
      </c>
      <c r="F15" s="2">
        <f t="shared" si="2"/>
        <v>1249.9999999999998</v>
      </c>
      <c r="G15" s="2">
        <f t="shared" si="2"/>
        <v>833.33333333333292</v>
      </c>
      <c r="H15" s="2">
        <f t="shared" si="2"/>
        <v>416.66666666666617</v>
      </c>
      <c r="I15" s="2" t="str">
        <f t="shared" si="2"/>
        <v/>
      </c>
      <c r="J15" s="2" t="str">
        <f t="shared" si="2"/>
        <v/>
      </c>
      <c r="K15" s="2" t="str">
        <f t="shared" si="2"/>
        <v/>
      </c>
      <c r="L15" s="2" t="str">
        <f t="shared" si="2"/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x14ac:dyDescent="0.25">
      <c r="B16" s="5" t="s">
        <v>9</v>
      </c>
      <c r="C16" s="6">
        <f>C13</f>
        <v>50000</v>
      </c>
      <c r="D16" s="6">
        <f>IFERROR(C16-C14,"")</f>
        <v>41666.666666666664</v>
      </c>
      <c r="E16" s="6">
        <f t="shared" ref="E16:L16" si="3">IFERROR(D16-D14,"")</f>
        <v>33333.333333333328</v>
      </c>
      <c r="F16" s="6">
        <f t="shared" si="3"/>
        <v>24999.999999999993</v>
      </c>
      <c r="G16" s="6">
        <f t="shared" si="3"/>
        <v>16666.666666666657</v>
      </c>
      <c r="H16" s="6">
        <f t="shared" si="3"/>
        <v>8333.333333333323</v>
      </c>
      <c r="I16" s="6">
        <f t="shared" si="3"/>
        <v>-1.0913936421275139E-11</v>
      </c>
      <c r="J16" s="6" t="str">
        <f t="shared" si="3"/>
        <v/>
      </c>
      <c r="K16" s="6" t="str">
        <f t="shared" si="3"/>
        <v/>
      </c>
      <c r="L16" s="6" t="str">
        <f t="shared" si="3"/>
        <v/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ht="15.75" thickBot="1" x14ac:dyDescent="0.3">
      <c r="B17" s="3" t="s">
        <v>13</v>
      </c>
      <c r="C17" s="4">
        <f>IFERROR(C14+C15,"")</f>
        <v>10833.333333333334</v>
      </c>
      <c r="D17" s="4">
        <f t="shared" ref="D17:L17" si="4">IFERROR(D14+D15,"")</f>
        <v>10416.666666666668</v>
      </c>
      <c r="E17" s="4">
        <f t="shared" si="4"/>
        <v>10000</v>
      </c>
      <c r="F17" s="4">
        <f t="shared" si="4"/>
        <v>9583.3333333333339</v>
      </c>
      <c r="G17" s="4">
        <f t="shared" si="4"/>
        <v>9166.6666666666661</v>
      </c>
      <c r="H17" s="4">
        <f t="shared" si="4"/>
        <v>8750</v>
      </c>
      <c r="I17" s="4" t="str">
        <f t="shared" si="4"/>
        <v/>
      </c>
      <c r="J17" s="4" t="str">
        <f t="shared" si="4"/>
        <v/>
      </c>
      <c r="K17" s="4" t="str">
        <f t="shared" si="4"/>
        <v/>
      </c>
      <c r="L17" s="4" t="str">
        <f t="shared" si="4"/>
        <v/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ht="15.75" thickTop="1" x14ac:dyDescent="0.25"/>
    <row r="21" spans="2:33" x14ac:dyDescent="0.25">
      <c r="B21" s="110" t="s">
        <v>14</v>
      </c>
      <c r="C21" s="111"/>
      <c r="D21" s="111"/>
      <c r="E21" s="111"/>
      <c r="F21" s="111"/>
      <c r="G21" s="111"/>
      <c r="H21" s="111"/>
      <c r="I21" s="111"/>
      <c r="J21" s="111"/>
      <c r="K21" s="111"/>
      <c r="L21" s="112"/>
    </row>
    <row r="22" spans="2:33" x14ac:dyDescent="0.25">
      <c r="B22" t="s">
        <v>6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</row>
    <row r="23" spans="2:33" x14ac:dyDescent="0.25">
      <c r="B23" t="str">
        <f>+B13</f>
        <v>Aquisition cost</v>
      </c>
      <c r="C23" s="2">
        <f>IF(C22&lt;=$C$3,$C$4,"")</f>
        <v>50000</v>
      </c>
      <c r="D23" s="2">
        <f t="shared" ref="D23:L23" si="5">IF(D22&lt;=$C$3,$C$4,"")</f>
        <v>50000</v>
      </c>
      <c r="E23" s="2">
        <f t="shared" si="5"/>
        <v>50000</v>
      </c>
      <c r="F23" s="2">
        <f t="shared" si="5"/>
        <v>50000</v>
      </c>
      <c r="G23" s="2">
        <f t="shared" si="5"/>
        <v>50000</v>
      </c>
      <c r="H23" s="2">
        <f t="shared" si="5"/>
        <v>50000</v>
      </c>
      <c r="I23" s="2" t="str">
        <f t="shared" si="5"/>
        <v/>
      </c>
      <c r="J23" s="2" t="str">
        <f t="shared" si="5"/>
        <v/>
      </c>
      <c r="K23" s="2" t="str">
        <f t="shared" si="5"/>
        <v/>
      </c>
      <c r="L23" s="2" t="str">
        <f t="shared" si="5"/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x14ac:dyDescent="0.25">
      <c r="B24" t="str">
        <f>+B14</f>
        <v>Depreciation</v>
      </c>
      <c r="C24" s="9">
        <f>IFERROR(C27-C25,"")</f>
        <v>7350.8734055094155</v>
      </c>
      <c r="D24" s="9">
        <f t="shared" ref="D24:L24" si="6">IFERROR(D27-D25,"")</f>
        <v>7718.417075784886</v>
      </c>
      <c r="E24" s="9">
        <f t="shared" si="6"/>
        <v>8104.3379295741306</v>
      </c>
      <c r="F24" s="9">
        <f t="shared" si="6"/>
        <v>8509.5548260528376</v>
      </c>
      <c r="G24" s="9">
        <f t="shared" si="6"/>
        <v>8935.0325673554798</v>
      </c>
      <c r="H24" s="8">
        <f t="shared" si="6"/>
        <v>9381.7841957232522</v>
      </c>
      <c r="I24" s="8" t="str">
        <f t="shared" si="6"/>
        <v/>
      </c>
      <c r="J24" s="8" t="str">
        <f t="shared" si="6"/>
        <v/>
      </c>
      <c r="K24" s="8" t="str">
        <f t="shared" si="6"/>
        <v/>
      </c>
      <c r="L24" s="8" t="str">
        <f t="shared" si="6"/>
        <v/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2:33" x14ac:dyDescent="0.25">
      <c r="B25" t="str">
        <f t="shared" ref="B25:B27" si="7">+B15</f>
        <v>Capital Cost</v>
      </c>
      <c r="C25" s="2">
        <f t="shared" ref="C25:K25" si="8">IF(C22&lt;=$C$3,IFERROR(C26*$C$7,""),"")</f>
        <v>2500</v>
      </c>
      <c r="D25" s="2">
        <f t="shared" si="8"/>
        <v>2132.456329724529</v>
      </c>
      <c r="E25" s="2">
        <f t="shared" si="8"/>
        <v>1746.5354759352849</v>
      </c>
      <c r="F25" s="2">
        <f t="shared" si="8"/>
        <v>1341.3185794565784</v>
      </c>
      <c r="G25" s="2">
        <f t="shared" si="8"/>
        <v>915.84083815393649</v>
      </c>
      <c r="H25" s="2">
        <f t="shared" si="8"/>
        <v>469.08920978616243</v>
      </c>
      <c r="I25" s="2" t="str">
        <f t="shared" si="8"/>
        <v/>
      </c>
      <c r="J25" s="2" t="str">
        <f t="shared" si="8"/>
        <v/>
      </c>
      <c r="K25" s="2" t="str">
        <f t="shared" si="8"/>
        <v/>
      </c>
      <c r="L25" s="2" t="str">
        <f>IF(L22&lt;=$C$3,IFERROR(L26*$C$7,""),"")</f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25">
      <c r="B26" t="str">
        <f t="shared" si="7"/>
        <v>Capital Base (IB)</v>
      </c>
      <c r="C26" s="2">
        <f>C23</f>
        <v>50000</v>
      </c>
      <c r="D26" s="2">
        <f>IFERROR(C26-C24,"")</f>
        <v>42649.126594490583</v>
      </c>
      <c r="E26" s="2">
        <f t="shared" ref="E26:L26" si="9">IFERROR(D26-D24,"")</f>
        <v>34930.709518705698</v>
      </c>
      <c r="F26" s="2">
        <f t="shared" si="9"/>
        <v>26826.371589131566</v>
      </c>
      <c r="G26" s="2">
        <f t="shared" si="9"/>
        <v>18316.816763078728</v>
      </c>
      <c r="H26" s="2">
        <f t="shared" si="9"/>
        <v>9381.7841957232486</v>
      </c>
      <c r="I26" s="2">
        <f t="shared" si="9"/>
        <v>-3.637978807091713E-12</v>
      </c>
      <c r="J26" s="2" t="str">
        <f t="shared" si="9"/>
        <v/>
      </c>
      <c r="K26" s="2" t="str">
        <f t="shared" si="9"/>
        <v/>
      </c>
      <c r="L26" s="2" t="str">
        <f t="shared" si="9"/>
        <v/>
      </c>
      <c r="M26" s="18"/>
      <c r="N26" s="2"/>
      <c r="O26" s="18"/>
      <c r="P26" s="2"/>
      <c r="Q26" s="18"/>
      <c r="R26" s="2"/>
      <c r="S26" s="18"/>
      <c r="T26" s="2"/>
      <c r="U26" s="18"/>
      <c r="V26" s="2"/>
      <c r="W26" s="18"/>
      <c r="X26" s="2"/>
      <c r="Y26" s="18"/>
      <c r="Z26" s="2"/>
      <c r="AA26" s="18"/>
      <c r="AB26" s="2"/>
      <c r="AC26" s="18"/>
      <c r="AD26" s="2"/>
      <c r="AE26" s="18"/>
      <c r="AF26" s="2"/>
      <c r="AG26" s="18"/>
    </row>
    <row r="27" spans="2:33" ht="15.75" thickBot="1" x14ac:dyDescent="0.3">
      <c r="B27" s="7" t="str">
        <f t="shared" si="7"/>
        <v>Total capital cost</v>
      </c>
      <c r="C27" s="10">
        <f>IF(C22&lt;=$C$3,PMT($C$7,$C$3,-$C$4,$C$5),"")</f>
        <v>9850.8734055094155</v>
      </c>
      <c r="D27" s="10">
        <f t="shared" ref="D27:L27" si="10">IF(D22&lt;=$C$3,PMT($C$7,$C$3,-$C$4,$C$5),"")</f>
        <v>9850.8734055094155</v>
      </c>
      <c r="E27" s="10">
        <f t="shared" si="10"/>
        <v>9850.8734055094155</v>
      </c>
      <c r="F27" s="10">
        <f t="shared" si="10"/>
        <v>9850.8734055094155</v>
      </c>
      <c r="G27" s="10">
        <f t="shared" si="10"/>
        <v>9850.8734055094155</v>
      </c>
      <c r="H27" s="10">
        <f t="shared" si="10"/>
        <v>9850.8734055094155</v>
      </c>
      <c r="I27" s="10" t="str">
        <f t="shared" si="10"/>
        <v/>
      </c>
      <c r="J27" s="10" t="str">
        <f t="shared" si="10"/>
        <v/>
      </c>
      <c r="K27" s="10" t="str">
        <f t="shared" si="10"/>
        <v/>
      </c>
      <c r="L27" s="10" t="str">
        <f t="shared" si="10"/>
        <v/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ht="15.75" thickTop="1" x14ac:dyDescent="0.25"/>
    <row r="31" spans="2:33" x14ac:dyDescent="0.25">
      <c r="B31" s="113" t="s">
        <v>15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4"/>
    </row>
    <row r="32" spans="2:33" x14ac:dyDescent="0.25">
      <c r="B32" t="str">
        <f>+B22</f>
        <v>Year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</row>
    <row r="33" spans="2:33" x14ac:dyDescent="0.25">
      <c r="B33" t="s">
        <v>16</v>
      </c>
      <c r="C33" s="2">
        <f t="shared" ref="C33:L33" si="11">IF(C32&lt;=$C$3,$C$4*(1-$C$9)^(C32-$C$32),"")</f>
        <v>50000</v>
      </c>
      <c r="D33" s="2">
        <f t="shared" si="11"/>
        <v>51500</v>
      </c>
      <c r="E33" s="2">
        <f t="shared" si="11"/>
        <v>53045</v>
      </c>
      <c r="F33" s="2">
        <f t="shared" si="11"/>
        <v>54636.35</v>
      </c>
      <c r="G33" s="2">
        <f t="shared" si="11"/>
        <v>56275.440499999997</v>
      </c>
      <c r="H33" s="2">
        <f t="shared" si="11"/>
        <v>57963.703714999989</v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2:33" x14ac:dyDescent="0.25">
      <c r="B34" t="str">
        <f t="shared" ref="B34:B36" si="12">+B24</f>
        <v>Depreciation</v>
      </c>
      <c r="C34" s="2">
        <f>IFERROR((C33-$C$5)/$C$3,"")</f>
        <v>8333.3333333333339</v>
      </c>
      <c r="D34" s="2">
        <f t="shared" ref="D34:L34" si="13">IFERROR((D33-$C$5)/$C$3,"")</f>
        <v>8583.3333333333339</v>
      </c>
      <c r="E34" s="2">
        <f t="shared" si="13"/>
        <v>8840.8333333333339</v>
      </c>
      <c r="F34" s="2">
        <f t="shared" si="13"/>
        <v>9106.0583333333325</v>
      </c>
      <c r="G34" s="2">
        <f t="shared" si="13"/>
        <v>9379.2400833333322</v>
      </c>
      <c r="H34" s="2">
        <f t="shared" si="13"/>
        <v>9660.6172858333321</v>
      </c>
      <c r="I34" s="2" t="str">
        <f t="shared" si="13"/>
        <v/>
      </c>
      <c r="J34" s="2" t="str">
        <f t="shared" si="13"/>
        <v/>
      </c>
      <c r="K34" s="2" t="str">
        <f t="shared" si="13"/>
        <v/>
      </c>
      <c r="L34" s="2" t="str">
        <f t="shared" si="13"/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2:33" x14ac:dyDescent="0.25">
      <c r="B35" t="str">
        <f t="shared" si="12"/>
        <v>Capital Cost</v>
      </c>
      <c r="C35" s="9">
        <f>IF(C32&lt;=$C$3,IFERROR(C36*$C$8,""),"")</f>
        <v>480.76923076923089</v>
      </c>
      <c r="D35" s="9">
        <f t="shared" ref="D35:L35" si="14">IF(D32&lt;=$C$3,IFERROR(D36*$C$8,""),"")</f>
        <v>412.66025641025647</v>
      </c>
      <c r="E35" s="9">
        <f t="shared" ref="E35" si="15">IF(E32&lt;=$C$3,IFERROR(E36*$C$8,""),"")</f>
        <v>340.03205128205133</v>
      </c>
      <c r="F35" s="9">
        <f t="shared" ref="F35" si="16">IF(F32&lt;=$C$3,IFERROR(F36*$C$8,""),"")</f>
        <v>262.67475961538469</v>
      </c>
      <c r="G35" s="9">
        <f t="shared" ref="G35" si="17">IF(G32&lt;=$C$3,IFERROR(G36*$C$8,""),"")</f>
        <v>180.37000160256414</v>
      </c>
      <c r="H35" s="9">
        <f t="shared" si="14"/>
        <v>92.890550825320503</v>
      </c>
      <c r="I35" s="9" t="str">
        <f t="shared" si="14"/>
        <v/>
      </c>
      <c r="J35" s="9" t="str">
        <f t="shared" si="14"/>
        <v/>
      </c>
      <c r="K35" s="9" t="str">
        <f t="shared" si="14"/>
        <v/>
      </c>
      <c r="L35" s="9" t="str">
        <f t="shared" si="14"/>
        <v/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3" x14ac:dyDescent="0.25">
      <c r="B36" t="str">
        <f t="shared" si="12"/>
        <v>Capital Base (IB)</v>
      </c>
      <c r="C36" s="15">
        <f t="shared" ref="C36" si="18">IFERROR(C33-(C32-$C$32)*C34,"")</f>
        <v>50000</v>
      </c>
      <c r="D36" s="15">
        <f t="shared" ref="D36:H36" si="19">IFERROR(IF((C34+$C$5)=C36,$C$5,IFERROR(D33-(D32-$C$32)*D34,"")),"")</f>
        <v>42916.666666666664</v>
      </c>
      <c r="E36" s="15">
        <f t="shared" si="19"/>
        <v>35363.333333333328</v>
      </c>
      <c r="F36" s="15">
        <f t="shared" si="19"/>
        <v>27318.175000000003</v>
      </c>
      <c r="G36" s="15">
        <f t="shared" si="19"/>
        <v>18758.480166666668</v>
      </c>
      <c r="H36" s="15">
        <f t="shared" si="19"/>
        <v>9660.6172858333302</v>
      </c>
      <c r="I36" s="15">
        <f>IFERROR(IF((H34+$C$5)=H36,$C$5,IFERROR(I33-(I32-$C$32)*I34,"")),"")</f>
        <v>0</v>
      </c>
      <c r="J36" s="15" t="str">
        <f>IFERROR(IF((I34+$C$5)=I36,$C$5,IFERROR(J33-(J32-$C$32)*J34,"")),"")</f>
        <v/>
      </c>
      <c r="K36" s="15" t="str">
        <f>IFERROR(IF((J34+$C$5)=J36,$C$5,IFERROR(K33-(K32-$C$32)*K34,"")),"")</f>
        <v/>
      </c>
      <c r="L36" s="15" t="str">
        <f>IFERROR(IF((K34+$C$5)=K36,$C$5,IFERROR(L33-(L32-$C$32)*L34,"")),"")</f>
        <v/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2:33" ht="15.75" thickBot="1" x14ac:dyDescent="0.3">
      <c r="B37" s="7" t="str">
        <f>+B27</f>
        <v>Total capital cost</v>
      </c>
      <c r="C37" s="16">
        <f>IFERROR(C34+C35,"")</f>
        <v>8814.1025641025644</v>
      </c>
      <c r="D37" s="16">
        <f t="shared" ref="D37:L37" si="20">IFERROR(D34+D35,"")</f>
        <v>8995.9935897435898</v>
      </c>
      <c r="E37" s="16">
        <f t="shared" si="20"/>
        <v>9180.8653846153848</v>
      </c>
      <c r="F37" s="16">
        <f t="shared" si="20"/>
        <v>9368.733092948718</v>
      </c>
      <c r="G37" s="16">
        <f t="shared" si="20"/>
        <v>9559.6100849358972</v>
      </c>
      <c r="H37" s="16">
        <f t="shared" si="20"/>
        <v>9753.5078366586531</v>
      </c>
      <c r="I37" s="16" t="str">
        <f t="shared" si="20"/>
        <v/>
      </c>
      <c r="J37" s="16" t="str">
        <f t="shared" si="20"/>
        <v/>
      </c>
      <c r="K37" s="16" t="str">
        <f t="shared" si="20"/>
        <v/>
      </c>
      <c r="L37" s="16" t="str">
        <f t="shared" si="20"/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2:33" ht="15.75" thickTop="1" x14ac:dyDescent="0.25"/>
    <row r="41" spans="2:33" x14ac:dyDescent="0.25">
      <c r="B41" s="115" t="s">
        <v>19</v>
      </c>
      <c r="C41" s="115"/>
      <c r="D41" s="115"/>
      <c r="E41" s="115"/>
      <c r="F41" s="115"/>
      <c r="G41" s="115"/>
      <c r="H41" s="19"/>
      <c r="I41" s="19"/>
      <c r="J41" s="115" t="s">
        <v>118</v>
      </c>
      <c r="K41" s="115"/>
      <c r="L41" s="115"/>
    </row>
    <row r="42" spans="2:33" x14ac:dyDescent="0.25">
      <c r="B42" t="str">
        <f>+B32</f>
        <v>Year</v>
      </c>
      <c r="C42">
        <v>1</v>
      </c>
      <c r="D42">
        <v>2</v>
      </c>
      <c r="E42">
        <v>3</v>
      </c>
      <c r="F42">
        <v>4</v>
      </c>
      <c r="G42">
        <v>5</v>
      </c>
      <c r="I42" s="64"/>
      <c r="J42" s="61" t="s">
        <v>6</v>
      </c>
      <c r="K42" s="66"/>
      <c r="L42" s="67">
        <v>8</v>
      </c>
    </row>
    <row r="43" spans="2:33" x14ac:dyDescent="0.25">
      <c r="B43" t="str">
        <f t="shared" ref="B43:B47" si="21">+B33</f>
        <v>Replacement cost</v>
      </c>
      <c r="C43" s="15">
        <f>C4</f>
        <v>50000</v>
      </c>
      <c r="D43" s="15">
        <f>IF(D42&lt;=$C$3,C43*(1-$C$9),"")</f>
        <v>51500</v>
      </c>
      <c r="E43" s="15">
        <f t="shared" ref="E43:G43" si="22">IF(E42&lt;=$C$3,D43*(1-$C$9),"")</f>
        <v>53045</v>
      </c>
      <c r="F43" s="15">
        <f t="shared" si="22"/>
        <v>54636.35</v>
      </c>
      <c r="G43" s="15">
        <f t="shared" si="22"/>
        <v>56275.440499999997</v>
      </c>
      <c r="H43" s="18"/>
      <c r="I43" s="65"/>
      <c r="J43" s="101" t="str">
        <f>"Replacement year"&amp;" "&amp;L42</f>
        <v>Replacement year 8</v>
      </c>
      <c r="K43" s="102"/>
      <c r="L43" s="68">
        <f>C4*(1-C9)^(L42-1)</f>
        <v>61493.693271243501</v>
      </c>
    </row>
    <row r="44" spans="2:33" x14ac:dyDescent="0.25">
      <c r="B44" t="str">
        <f t="shared" si="21"/>
        <v>Depreciation</v>
      </c>
      <c r="C44" s="15">
        <f>IFERROR(C47-C45,"")</f>
        <v>8135.249144452564</v>
      </c>
      <c r="D44" s="15">
        <f t="shared" ref="D44:G44" si="23">IFERROR(D47-D45,"")</f>
        <v>8459.8768747360082</v>
      </c>
      <c r="E44" s="15">
        <f t="shared" si="23"/>
        <v>8797.458500025954</v>
      </c>
      <c r="F44" s="15">
        <f t="shared" si="23"/>
        <v>9148.5109305558362</v>
      </c>
      <c r="G44" s="15">
        <f t="shared" si="23"/>
        <v>9513.5717032655157</v>
      </c>
      <c r="I44" s="64"/>
      <c r="J44" s="103" t="s">
        <v>13</v>
      </c>
      <c r="K44" s="103"/>
      <c r="L44" s="63">
        <f>PMT($C$8,$C$3,-L43,$C$5)</f>
        <v>10596.615823705737</v>
      </c>
    </row>
    <row r="45" spans="2:33" x14ac:dyDescent="0.25">
      <c r="B45" t="str">
        <f t="shared" si="21"/>
        <v>Capital Cost</v>
      </c>
      <c r="C45" s="15">
        <f>IFERROR(C46*$C$8,"")</f>
        <v>480.76923076923089</v>
      </c>
      <c r="D45" s="15">
        <f t="shared" ref="D45:G45" si="24">IFERROR(D46*$C$8,"")</f>
        <v>414.62205174244104</v>
      </c>
      <c r="E45" s="15">
        <f t="shared" si="24"/>
        <v>343.27539424684801</v>
      </c>
      <c r="F45" s="15">
        <f t="shared" si="24"/>
        <v>266.4449805451502</v>
      </c>
      <c r="G45" s="15">
        <f t="shared" si="24"/>
        <v>183.83288516849984</v>
      </c>
    </row>
    <row r="46" spans="2:33" x14ac:dyDescent="0.25">
      <c r="B46" t="str">
        <f t="shared" si="21"/>
        <v>Capital Base (IB)</v>
      </c>
      <c r="C46" s="15">
        <f>C43</f>
        <v>50000</v>
      </c>
      <c r="D46" s="15">
        <f>IFERROR('Accounting Adjustment (CapCost)'!D5,0)</f>
        <v>43120.69338121386</v>
      </c>
      <c r="E46" s="15">
        <f>IFERROR('Accounting Adjustment (CapCost)'!E8,0)</f>
        <v>35700.641001672186</v>
      </c>
      <c r="F46" s="15">
        <f>IFERROR('Accounting Adjustment (CapCost)'!F11,0)</f>
        <v>27710.277976695612</v>
      </c>
      <c r="G46" s="15">
        <f>IFERROR('Accounting Adjustment (CapCost)'!G14,0)</f>
        <v>19118.620057523978</v>
      </c>
      <c r="H46" s="2">
        <f>IFERROR(G46-G44,"")</f>
        <v>9605.0483542584625</v>
      </c>
      <c r="I46" s="2"/>
    </row>
    <row r="47" spans="2:33" ht="15.75" thickBot="1" x14ac:dyDescent="0.3">
      <c r="B47" s="7" t="str">
        <f t="shared" si="21"/>
        <v>Total capital cost</v>
      </c>
      <c r="C47" s="10">
        <f>IF(C42&lt;=$C$3,PMT($C$8,$C$3,-C43,$C$5),"")</f>
        <v>8616.0183752217945</v>
      </c>
      <c r="D47" s="10">
        <f t="shared" ref="D47:G47" si="25">IF(D42&lt;=$C$3,PMT($C$8,$C$3,-D43,$C$5),"")</f>
        <v>8874.498926478449</v>
      </c>
      <c r="E47" s="10">
        <f t="shared" si="25"/>
        <v>9140.733894272802</v>
      </c>
      <c r="F47" s="10">
        <f t="shared" si="25"/>
        <v>9414.9559111009858</v>
      </c>
      <c r="G47" s="10">
        <f t="shared" si="25"/>
        <v>9697.4045884340157</v>
      </c>
      <c r="H47" s="18"/>
      <c r="I47" s="18"/>
      <c r="J47" s="18"/>
      <c r="K47" s="18"/>
      <c r="L47" s="18"/>
    </row>
    <row r="48" spans="2:33" ht="15.75" thickTop="1" x14ac:dyDescent="0.25"/>
    <row r="51" spans="2:12" x14ac:dyDescent="0.25">
      <c r="B51" s="104" t="s">
        <v>119</v>
      </c>
      <c r="C51" s="105"/>
      <c r="D51" s="105"/>
      <c r="E51" s="105"/>
      <c r="F51" s="105"/>
      <c r="G51" s="106"/>
      <c r="H51" s="19"/>
      <c r="I51" s="19"/>
      <c r="J51" s="104" t="s">
        <v>122</v>
      </c>
      <c r="K51" s="105"/>
      <c r="L51" s="106"/>
    </row>
    <row r="52" spans="2:12" x14ac:dyDescent="0.25">
      <c r="B52" t="str">
        <f t="shared" ref="B52:B57" si="26">+B42</f>
        <v>Year</v>
      </c>
      <c r="C52">
        <v>1</v>
      </c>
      <c r="D52">
        <v>2</v>
      </c>
      <c r="E52">
        <v>3</v>
      </c>
      <c r="F52">
        <v>4</v>
      </c>
      <c r="G52">
        <v>5</v>
      </c>
      <c r="I52" s="64"/>
      <c r="J52" s="61" t="s">
        <v>6</v>
      </c>
      <c r="K52" s="66"/>
      <c r="L52" s="67">
        <v>8</v>
      </c>
    </row>
    <row r="53" spans="2:12" x14ac:dyDescent="0.25">
      <c r="B53" t="str">
        <f t="shared" si="26"/>
        <v>Replacement cost</v>
      </c>
      <c r="C53" s="15">
        <f>$C$4</f>
        <v>50000</v>
      </c>
      <c r="D53" s="15">
        <f>IF(D52&lt;=$C$3,C53*(1+$C$6),"")</f>
        <v>52000</v>
      </c>
      <c r="E53" s="15">
        <f t="shared" ref="E53:G53" si="27">IF(E52&lt;=$C$3,D53*(1+$C$6),"")</f>
        <v>54080</v>
      </c>
      <c r="F53" s="15">
        <f t="shared" si="27"/>
        <v>56243.200000000004</v>
      </c>
      <c r="G53" s="15">
        <f t="shared" si="27"/>
        <v>58492.928000000007</v>
      </c>
      <c r="H53" s="18"/>
      <c r="I53" s="65"/>
      <c r="J53" s="50" t="str">
        <f>"Replacement year"&amp;" "&amp;L52</f>
        <v>Replacement year 8</v>
      </c>
      <c r="L53" s="68">
        <f>$C$4*(1+$C$6)^(L52-1)</f>
        <v>65796.588961792018</v>
      </c>
    </row>
    <row r="54" spans="2:12" x14ac:dyDescent="0.25">
      <c r="B54" t="str">
        <f t="shared" si="26"/>
        <v>Depreciation</v>
      </c>
      <c r="C54" s="15">
        <f>IFERROR(C57-C55,"")</f>
        <v>8135.249144452564</v>
      </c>
      <c r="D54" s="15">
        <f t="shared" ref="D54:G54" si="28">IFERROR(D57-D55,"")</f>
        <v>8542.0116016751927</v>
      </c>
      <c r="E54" s="15">
        <f t="shared" si="28"/>
        <v>8969.1121817589537</v>
      </c>
      <c r="F54" s="15">
        <f t="shared" si="28"/>
        <v>9417.5677908468988</v>
      </c>
      <c r="G54" s="15">
        <f t="shared" si="28"/>
        <v>9888.4461803892445</v>
      </c>
      <c r="H54" s="2"/>
      <c r="I54" s="64"/>
      <c r="J54" s="62" t="s">
        <v>13</v>
      </c>
      <c r="K54" s="62"/>
      <c r="L54" s="63">
        <f>PMT($C$8,$C$3,-L53,$C$5)</f>
        <v>11338.092390434311</v>
      </c>
    </row>
    <row r="55" spans="2:12" x14ac:dyDescent="0.25">
      <c r="B55" t="str">
        <f t="shared" si="26"/>
        <v>Capital Cost</v>
      </c>
      <c r="C55" s="15">
        <f>IFERROR(C56*$C$8,"")</f>
        <v>480.76923076923089</v>
      </c>
      <c r="D55" s="15">
        <f t="shared" ref="D55:G55" si="29">IFERROR(D56*$C$8,"")</f>
        <v>418.64750855547442</v>
      </c>
      <c r="E55" s="15">
        <f t="shared" si="29"/>
        <v>349.97329288094141</v>
      </c>
      <c r="F55" s="15">
        <f t="shared" si="29"/>
        <v>274.28110277858963</v>
      </c>
      <c r="G55" s="15">
        <f t="shared" si="29"/>
        <v>191.07666898126425</v>
      </c>
      <c r="H55" s="2"/>
    </row>
    <row r="56" spans="2:12" x14ac:dyDescent="0.25">
      <c r="B56" s="5" t="str">
        <f t="shared" si="26"/>
        <v>Capital Base (IB)</v>
      </c>
      <c r="C56" s="26">
        <f>C53</f>
        <v>50000</v>
      </c>
      <c r="D56" s="15">
        <f>IFERROR('Accounting Adjustment (CapCost)'!D21,0)</f>
        <v>43539.34088976933</v>
      </c>
      <c r="E56" s="15">
        <f>IFERROR('Accounting Adjustment (CapCost)'!E24,0)</f>
        <v>36397.2224596179</v>
      </c>
      <c r="F56" s="15">
        <f>IFERROR('Accounting Adjustment (CapCost)'!F27,0)</f>
        <v>28525.234688973316</v>
      </c>
      <c r="G56" s="15">
        <f>IFERROR('Accounting Adjustment (CapCost)'!G30,0)</f>
        <v>19871.973574051477</v>
      </c>
      <c r="H56" s="2">
        <f>IFERROR(G56-G54,"")</f>
        <v>9983.5273936622325</v>
      </c>
      <c r="I56" s="2"/>
    </row>
    <row r="57" spans="2:12" ht="15.75" thickBot="1" x14ac:dyDescent="0.3">
      <c r="B57" s="7" t="str">
        <f t="shared" si="26"/>
        <v>Total capital cost</v>
      </c>
      <c r="C57" s="10">
        <f>IF(C52&lt;=$C$3,PMT($C$8,$C$3,-C53,$C$5),"")</f>
        <v>8616.0183752217945</v>
      </c>
      <c r="D57" s="10">
        <f t="shared" ref="D57:G57" si="30">IF(D52&lt;=$C$3,PMT($C$8,$C$3,-D53,$C$5),"")</f>
        <v>8960.6591102306666</v>
      </c>
      <c r="E57" s="10">
        <f t="shared" si="30"/>
        <v>9319.0854746398945</v>
      </c>
      <c r="F57" s="10">
        <f t="shared" si="30"/>
        <v>9691.8488936254889</v>
      </c>
      <c r="G57" s="10">
        <f t="shared" si="30"/>
        <v>10079.522849370509</v>
      </c>
      <c r="H57" s="18"/>
      <c r="I57" s="18"/>
      <c r="J57" s="18"/>
      <c r="K57" s="18"/>
      <c r="L57" s="18"/>
    </row>
    <row r="58" spans="2:12" ht="15.75" thickTop="1" x14ac:dyDescent="0.25"/>
  </sheetData>
  <mergeCells count="10">
    <mergeCell ref="B51:G51"/>
    <mergeCell ref="J51:L51"/>
    <mergeCell ref="J44:K44"/>
    <mergeCell ref="J43:K43"/>
    <mergeCell ref="B2:C2"/>
    <mergeCell ref="B11:L11"/>
    <mergeCell ref="B21:L21"/>
    <mergeCell ref="B31:L31"/>
    <mergeCell ref="B41:G41"/>
    <mergeCell ref="J41:L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BF2A-DD78-488C-8737-3A0771F306F6}">
  <sheetPr>
    <tabColor theme="2" tint="-9.9978637043366805E-2"/>
  </sheetPr>
  <dimension ref="B2:L30"/>
  <sheetViews>
    <sheetView workbookViewId="0">
      <selection activeCell="E19" sqref="E19"/>
    </sheetView>
  </sheetViews>
  <sheetFormatPr defaultRowHeight="15" x14ac:dyDescent="0.25"/>
  <cols>
    <col min="2" max="2" width="33.28515625" customWidth="1"/>
    <col min="4" max="4" width="11.5703125" bestFit="1" customWidth="1"/>
    <col min="5" max="6" width="11.42578125" bestFit="1" customWidth="1"/>
    <col min="7" max="7" width="15.42578125" bestFit="1" customWidth="1"/>
    <col min="8" max="12" width="9.28515625" bestFit="1" customWidth="1"/>
  </cols>
  <sheetData>
    <row r="2" spans="2:12" x14ac:dyDescent="0.25">
      <c r="B2" t="s">
        <v>120</v>
      </c>
      <c r="C2">
        <v>1</v>
      </c>
      <c r="D2">
        <v>2</v>
      </c>
      <c r="E2">
        <v>3</v>
      </c>
      <c r="F2">
        <v>4</v>
      </c>
      <c r="G2">
        <v>5</v>
      </c>
    </row>
    <row r="3" spans="2:12" x14ac:dyDescent="0.25">
      <c r="B3" t="s">
        <v>20</v>
      </c>
      <c r="C3" s="15"/>
      <c r="D3" s="15">
        <f>'Capital Cost'!D43*'Capital Cost'!$C$8</f>
        <v>495.19230769230779</v>
      </c>
      <c r="E3" s="15">
        <f>'Capital Cost'!E43*'Capital Cost'!$C$8</f>
        <v>510.04807692307702</v>
      </c>
      <c r="F3" s="15">
        <f>'Capital Cost'!F43*'Capital Cost'!$C$8</f>
        <v>525.34951923076937</v>
      </c>
      <c r="G3" s="15">
        <f>'Capital Cost'!G43*'Capital Cost'!$C$8</f>
        <v>541.11000480769246</v>
      </c>
      <c r="H3" s="15"/>
      <c r="I3" s="15"/>
      <c r="J3" s="15"/>
      <c r="K3" s="15"/>
      <c r="L3" s="15"/>
    </row>
    <row r="4" spans="2:12" x14ac:dyDescent="0.25">
      <c r="B4" t="s">
        <v>21</v>
      </c>
      <c r="C4" s="15"/>
      <c r="D4" s="15">
        <f>'Capital Cost'!D47-'Accounting Adjustment (CapCost)'!D3</f>
        <v>8379.3066187861405</v>
      </c>
      <c r="E4" s="15">
        <f>'Capital Cost'!E47-'Accounting Adjustment (CapCost)'!E3</f>
        <v>8630.6858173497258</v>
      </c>
      <c r="F4" s="15">
        <f>'Capital Cost'!F47-'Accounting Adjustment (CapCost)'!F3</f>
        <v>8889.6063918702166</v>
      </c>
      <c r="G4" s="15">
        <f>'Capital Cost'!G47-'Accounting Adjustment (CapCost)'!G3</f>
        <v>9156.2945836263225</v>
      </c>
      <c r="H4" s="15"/>
      <c r="I4" s="15"/>
      <c r="J4" s="15"/>
      <c r="K4" s="15"/>
      <c r="L4" s="15"/>
    </row>
    <row r="5" spans="2:12" x14ac:dyDescent="0.25">
      <c r="B5" t="s">
        <v>22</v>
      </c>
      <c r="C5" s="15"/>
      <c r="D5" s="15">
        <f>'Capital Cost'!D43-'Accounting Adjustment (CapCost)'!D4</f>
        <v>43120.69338121386</v>
      </c>
      <c r="E5" s="15">
        <f>'Capital Cost'!E43-'Accounting Adjustment (CapCost)'!E4</f>
        <v>44414.314182650276</v>
      </c>
      <c r="F5" s="15">
        <f>'Capital Cost'!F43-'Accounting Adjustment (CapCost)'!F4</f>
        <v>45746.743608129778</v>
      </c>
      <c r="G5" s="15">
        <f>'Capital Cost'!G43-'Accounting Adjustment (CapCost)'!G4</f>
        <v>47119.145916373673</v>
      </c>
      <c r="H5" s="15"/>
      <c r="I5" s="15"/>
      <c r="J5" s="15"/>
      <c r="K5" s="15"/>
      <c r="L5" s="15"/>
    </row>
    <row r="6" spans="2:12" x14ac:dyDescent="0.25">
      <c r="B6" t="s">
        <v>23</v>
      </c>
      <c r="C6" s="15"/>
      <c r="D6" s="15"/>
      <c r="E6" s="15">
        <f>E5*'Capital Cost'!$C$8</f>
        <v>427.06071329471428</v>
      </c>
      <c r="F6" s="15">
        <f>F5*'Capital Cost'!$C$8</f>
        <v>439.87253469355568</v>
      </c>
      <c r="G6" s="15">
        <f>G5*'Capital Cost'!$C$8</f>
        <v>453.06871073436236</v>
      </c>
      <c r="H6" s="15"/>
      <c r="I6" s="15"/>
      <c r="J6" s="15"/>
      <c r="K6" s="15"/>
      <c r="L6" s="15"/>
    </row>
    <row r="7" spans="2:12" x14ac:dyDescent="0.25">
      <c r="B7" t="s">
        <v>24</v>
      </c>
      <c r="C7" s="15"/>
      <c r="D7" s="15"/>
      <c r="E7" s="15">
        <f>'Capital Cost'!E47-'Accounting Adjustment (CapCost)'!E6</f>
        <v>8713.6731809780886</v>
      </c>
      <c r="F7" s="15">
        <f>'Capital Cost'!F47-'Accounting Adjustment (CapCost)'!F6</f>
        <v>8975.0833764074305</v>
      </c>
      <c r="G7" s="15">
        <f>'Capital Cost'!G47-'Accounting Adjustment (CapCost)'!G6</f>
        <v>9244.3358776996538</v>
      </c>
      <c r="H7" s="15"/>
      <c r="I7" s="15"/>
      <c r="J7" s="15"/>
      <c r="K7" s="15"/>
      <c r="L7" s="15"/>
    </row>
    <row r="8" spans="2:12" x14ac:dyDescent="0.25">
      <c r="B8" t="s">
        <v>25</v>
      </c>
      <c r="C8" s="15"/>
      <c r="D8" s="15"/>
      <c r="E8" s="15">
        <f>E5-E7</f>
        <v>35700.641001672186</v>
      </c>
      <c r="F8" s="15">
        <f t="shared" ref="F8:G8" si="0">F5-F7</f>
        <v>36771.660231722344</v>
      </c>
      <c r="G8" s="15">
        <f t="shared" si="0"/>
        <v>37874.810038674019</v>
      </c>
      <c r="H8" s="15"/>
      <c r="I8" s="15"/>
      <c r="J8" s="15"/>
      <c r="K8" s="15"/>
      <c r="L8" s="15"/>
    </row>
    <row r="9" spans="2:12" x14ac:dyDescent="0.25">
      <c r="B9" t="s">
        <v>23</v>
      </c>
      <c r="F9" s="2">
        <f>F8*'Capital Cost'!$C$8</f>
        <v>353.57365607425339</v>
      </c>
      <c r="G9" s="2">
        <f>G8*'Capital Cost'!$C$8</f>
        <v>364.18086575648101</v>
      </c>
      <c r="H9" s="2"/>
      <c r="I9" s="2"/>
      <c r="J9" s="2"/>
      <c r="K9" s="2"/>
      <c r="L9" s="2"/>
    </row>
    <row r="10" spans="2:12" x14ac:dyDescent="0.25">
      <c r="B10" t="s">
        <v>24</v>
      </c>
      <c r="F10" s="2">
        <f>'Capital Cost'!F47-'Accounting Adjustment (CapCost)'!F9</f>
        <v>9061.3822550267323</v>
      </c>
      <c r="G10" s="2">
        <f>'Capital Cost'!G47-'Accounting Adjustment (CapCost)'!G9</f>
        <v>9333.2237226775342</v>
      </c>
      <c r="H10" s="2"/>
      <c r="I10" s="2"/>
      <c r="J10" s="2"/>
      <c r="K10" s="2"/>
      <c r="L10" s="2"/>
    </row>
    <row r="11" spans="2:12" x14ac:dyDescent="0.25">
      <c r="B11" t="s">
        <v>26</v>
      </c>
      <c r="F11" s="2">
        <f>F8-F10</f>
        <v>27710.277976695612</v>
      </c>
      <c r="G11" s="2">
        <f t="shared" ref="G11" si="1">G8-G10</f>
        <v>28541.586315996487</v>
      </c>
      <c r="H11" s="2"/>
      <c r="I11" s="2"/>
      <c r="J11" s="2"/>
      <c r="K11" s="2"/>
      <c r="L11" s="2"/>
    </row>
    <row r="12" spans="2:12" x14ac:dyDescent="0.25">
      <c r="B12" t="s">
        <v>23</v>
      </c>
      <c r="G12" s="2">
        <f>G11*'Capital Cost'!C8</f>
        <v>274.43832996150473</v>
      </c>
    </row>
    <row r="13" spans="2:12" x14ac:dyDescent="0.25">
      <c r="B13" t="s">
        <v>24</v>
      </c>
      <c r="G13" s="2">
        <f>'Capital Cost'!G47-'Accounting Adjustment (CapCost)'!G12</f>
        <v>9422.9662584725102</v>
      </c>
    </row>
    <row r="14" spans="2:12" x14ac:dyDescent="0.25">
      <c r="B14" t="s">
        <v>27</v>
      </c>
      <c r="G14" s="2">
        <f>G11-G13</f>
        <v>19118.620057523978</v>
      </c>
    </row>
    <row r="18" spans="2:7" x14ac:dyDescent="0.25">
      <c r="B18" t="s">
        <v>121</v>
      </c>
      <c r="C18">
        <v>1</v>
      </c>
      <c r="D18">
        <v>2</v>
      </c>
      <c r="E18">
        <v>3</v>
      </c>
      <c r="F18">
        <v>4</v>
      </c>
      <c r="G18">
        <v>5</v>
      </c>
    </row>
    <row r="19" spans="2:7" x14ac:dyDescent="0.25">
      <c r="B19" t="s">
        <v>20</v>
      </c>
      <c r="C19" s="15"/>
      <c r="D19" s="15">
        <f>'Capital Cost'!D53*'Capital Cost'!$C$8</f>
        <v>500.00000000000011</v>
      </c>
      <c r="E19" s="15">
        <f>'Capital Cost'!E53*'Capital Cost'!$C$8</f>
        <v>520.00000000000011</v>
      </c>
      <c r="F19" s="15">
        <f>'Capital Cost'!F53*'Capital Cost'!$C$8</f>
        <v>540.80000000000018</v>
      </c>
      <c r="G19" s="15">
        <f>'Capital Cost'!G53*'Capital Cost'!$C$8</f>
        <v>562.43200000000024</v>
      </c>
    </row>
    <row r="20" spans="2:7" x14ac:dyDescent="0.25">
      <c r="B20" t="s">
        <v>21</v>
      </c>
      <c r="C20" s="15"/>
      <c r="D20" s="15">
        <f>'Capital Cost'!D57-'Accounting Adjustment (CapCost)'!D19</f>
        <v>8460.6591102306666</v>
      </c>
      <c r="E20" s="15">
        <f>'Capital Cost'!E57-'Accounting Adjustment (CapCost)'!E19</f>
        <v>8799.0854746398945</v>
      </c>
      <c r="F20" s="15">
        <f>'Capital Cost'!F57-'Accounting Adjustment (CapCost)'!F19</f>
        <v>9151.0488936254878</v>
      </c>
      <c r="G20" s="15">
        <f>'Capital Cost'!G57-'Accounting Adjustment (CapCost)'!G19</f>
        <v>9517.0908493705083</v>
      </c>
    </row>
    <row r="21" spans="2:7" x14ac:dyDescent="0.25">
      <c r="B21" t="s">
        <v>22</v>
      </c>
      <c r="C21" s="15"/>
      <c r="D21" s="15">
        <f>'Capital Cost'!D53-'Accounting Adjustment (CapCost)'!D20</f>
        <v>43539.34088976933</v>
      </c>
      <c r="E21" s="15">
        <f>'Capital Cost'!E53-'Accounting Adjustment (CapCost)'!E20</f>
        <v>45280.914525360102</v>
      </c>
      <c r="F21" s="15">
        <f>'Capital Cost'!F53-'Accounting Adjustment (CapCost)'!F20</f>
        <v>47092.151106374513</v>
      </c>
      <c r="G21" s="15">
        <f>'Capital Cost'!G53-'Accounting Adjustment (CapCost)'!G20</f>
        <v>48975.837150629501</v>
      </c>
    </row>
    <row r="22" spans="2:7" x14ac:dyDescent="0.25">
      <c r="B22" t="s">
        <v>23</v>
      </c>
      <c r="C22" s="15"/>
      <c r="D22" s="15"/>
      <c r="E22" s="15">
        <f>E21*'Capital Cost'!$C$8</f>
        <v>435.3934088976934</v>
      </c>
      <c r="F22" s="15">
        <f>F21*'Capital Cost'!$C$8</f>
        <v>452.80914525360117</v>
      </c>
      <c r="G22" s="15">
        <f>G21*'Capital Cost'!$C$8</f>
        <v>470.9215110637453</v>
      </c>
    </row>
    <row r="23" spans="2:7" x14ac:dyDescent="0.25">
      <c r="B23" t="s">
        <v>24</v>
      </c>
      <c r="C23" s="15"/>
      <c r="D23" s="15"/>
      <c r="E23" s="15">
        <f>'Capital Cost'!E57-'Accounting Adjustment (CapCost)'!E22</f>
        <v>8883.6920657422015</v>
      </c>
      <c r="F23" s="15">
        <f>'Capital Cost'!F57-'Accounting Adjustment (CapCost)'!F22</f>
        <v>9239.039748371888</v>
      </c>
      <c r="G23" s="15">
        <f>'Capital Cost'!G57-'Accounting Adjustment (CapCost)'!G22</f>
        <v>9608.6013383067639</v>
      </c>
    </row>
    <row r="24" spans="2:7" x14ac:dyDescent="0.25">
      <c r="B24" t="s">
        <v>25</v>
      </c>
      <c r="C24" s="15"/>
      <c r="D24" s="15"/>
      <c r="E24" s="15">
        <f>E21-E23</f>
        <v>36397.2224596179</v>
      </c>
      <c r="F24" s="15">
        <f t="shared" ref="F24:G24" si="2">F21-F23</f>
        <v>37853.111358002629</v>
      </c>
      <c r="G24" s="15">
        <f t="shared" si="2"/>
        <v>39367.235812322739</v>
      </c>
    </row>
    <row r="25" spans="2:7" x14ac:dyDescent="0.25">
      <c r="B25" t="s">
        <v>23</v>
      </c>
      <c r="F25" s="2">
        <f>F24*'Capital Cost'!$C$8</f>
        <v>363.97222459617922</v>
      </c>
      <c r="G25" s="2">
        <f>G24*'Capital Cost'!$C$8</f>
        <v>378.53111358002644</v>
      </c>
    </row>
    <row r="26" spans="2:7" x14ac:dyDescent="0.25">
      <c r="B26" t="s">
        <v>24</v>
      </c>
      <c r="F26" s="2">
        <f>'Capital Cost'!F57-'Accounting Adjustment (CapCost)'!F25</f>
        <v>9327.8766690293105</v>
      </c>
      <c r="G26" s="2">
        <f>'Capital Cost'!G57-'Accounting Adjustment (CapCost)'!G25</f>
        <v>9700.9917357904833</v>
      </c>
    </row>
    <row r="27" spans="2:7" x14ac:dyDescent="0.25">
      <c r="B27" t="s">
        <v>26</v>
      </c>
      <c r="F27" s="2">
        <f>F24-F26</f>
        <v>28525.234688973316</v>
      </c>
      <c r="G27" s="2">
        <f t="shared" ref="G27" si="3">G24-G26</f>
        <v>29666.244076532254</v>
      </c>
    </row>
    <row r="28" spans="2:7" x14ac:dyDescent="0.25">
      <c r="B28" t="s">
        <v>23</v>
      </c>
      <c r="G28" s="69">
        <f>G27*'Capital Cost'!$C$8</f>
        <v>285.25234688973325</v>
      </c>
    </row>
    <row r="29" spans="2:7" x14ac:dyDescent="0.25">
      <c r="B29" t="s">
        <v>24</v>
      </c>
      <c r="G29" s="2">
        <f>'Capital Cost'!G57-'Accounting Adjustment (CapCost)'!G28</f>
        <v>9794.2705024807765</v>
      </c>
    </row>
    <row r="30" spans="2:7" x14ac:dyDescent="0.25">
      <c r="B30" t="s">
        <v>27</v>
      </c>
      <c r="G30" s="2">
        <f>G27-G29</f>
        <v>19871.973574051477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AFE-DD9E-415B-9F51-89D3A8A90E2B}">
  <sheetPr>
    <tabColor theme="5" tint="0.59999389629810485"/>
  </sheetPr>
  <dimension ref="B1:H57"/>
  <sheetViews>
    <sheetView workbookViewId="0">
      <selection activeCell="I37" sqref="I37"/>
    </sheetView>
  </sheetViews>
  <sheetFormatPr defaultRowHeight="15" x14ac:dyDescent="0.25"/>
  <cols>
    <col min="1" max="1" width="9.28515625" style="20" customWidth="1"/>
    <col min="2" max="2" width="7.85546875" style="21" customWidth="1"/>
    <col min="3" max="3" width="8" style="20" customWidth="1"/>
    <col min="4" max="4" width="15" style="20" customWidth="1"/>
    <col min="5" max="8" width="9.28515625" style="20" customWidth="1"/>
    <col min="9" max="16384" width="9.140625" style="20"/>
  </cols>
  <sheetData>
    <row r="1" spans="2:8" x14ac:dyDescent="0.25">
      <c r="B1" s="20"/>
    </row>
    <row r="2" spans="2:8" x14ac:dyDescent="0.25">
      <c r="B2" s="116" t="s">
        <v>34</v>
      </c>
      <c r="C2" s="116"/>
      <c r="D2" s="116"/>
      <c r="E2" s="116"/>
      <c r="F2" s="116"/>
      <c r="G2" s="116"/>
      <c r="H2" s="116"/>
    </row>
    <row r="3" spans="2:8" x14ac:dyDescent="0.25">
      <c r="B3" s="20">
        <v>1</v>
      </c>
      <c r="C3" s="20" t="s">
        <v>29</v>
      </c>
    </row>
    <row r="4" spans="2:8" x14ac:dyDescent="0.25">
      <c r="B4" s="20">
        <v>2</v>
      </c>
      <c r="C4" s="20" t="s">
        <v>30</v>
      </c>
    </row>
    <row r="5" spans="2:8" x14ac:dyDescent="0.25">
      <c r="B5" s="20">
        <v>3</v>
      </c>
      <c r="C5" s="20" t="s">
        <v>31</v>
      </c>
    </row>
    <row r="6" spans="2:8" x14ac:dyDescent="0.25">
      <c r="B6" s="20">
        <v>4</v>
      </c>
      <c r="C6" s="20" t="s">
        <v>32</v>
      </c>
    </row>
    <row r="7" spans="2:8" x14ac:dyDescent="0.25">
      <c r="B7" s="22">
        <v>5</v>
      </c>
      <c r="C7" s="22" t="s">
        <v>33</v>
      </c>
      <c r="D7" s="22"/>
      <c r="E7" s="22"/>
      <c r="F7" s="22"/>
      <c r="G7" s="22"/>
      <c r="H7" s="22"/>
    </row>
    <row r="8" spans="2:8" x14ac:dyDescent="0.25">
      <c r="B8" s="20"/>
    </row>
    <row r="9" spans="2:8" x14ac:dyDescent="0.25">
      <c r="B9" s="20" t="s">
        <v>159</v>
      </c>
    </row>
    <row r="10" spans="2:8" x14ac:dyDescent="0.25">
      <c r="B10" s="20" t="s">
        <v>160</v>
      </c>
    </row>
    <row r="11" spans="2:8" x14ac:dyDescent="0.25">
      <c r="B11" s="20"/>
    </row>
    <row r="12" spans="2:8" x14ac:dyDescent="0.25">
      <c r="B12" s="20"/>
    </row>
    <row r="13" spans="2:8" x14ac:dyDescent="0.25">
      <c r="B13" s="20"/>
    </row>
    <row r="14" spans="2:8" x14ac:dyDescent="0.25">
      <c r="B14" s="20"/>
    </row>
    <row r="15" spans="2:8" x14ac:dyDescent="0.25">
      <c r="B15" s="20"/>
    </row>
    <row r="16" spans="2:8" x14ac:dyDescent="0.25">
      <c r="B16" s="20"/>
    </row>
    <row r="17" spans="2:4" x14ac:dyDescent="0.25">
      <c r="B17" s="20"/>
    </row>
    <row r="18" spans="2:4" x14ac:dyDescent="0.25">
      <c r="B18" s="20"/>
    </row>
    <row r="19" spans="2:4" x14ac:dyDescent="0.25">
      <c r="B19" s="20"/>
    </row>
    <row r="20" spans="2:4" x14ac:dyDescent="0.25">
      <c r="B20" s="20"/>
    </row>
    <row r="22" spans="2:4" x14ac:dyDescent="0.25">
      <c r="B22" s="20" t="s">
        <v>161</v>
      </c>
    </row>
    <row r="23" spans="2:4" x14ac:dyDescent="0.25">
      <c r="B23" s="20" t="s">
        <v>162</v>
      </c>
    </row>
    <row r="25" spans="2:4" x14ac:dyDescent="0.25">
      <c r="B25" s="20" t="s">
        <v>165</v>
      </c>
      <c r="C25" s="20" t="s">
        <v>164</v>
      </c>
      <c r="D25" s="83">
        <v>33</v>
      </c>
    </row>
    <row r="26" spans="2:4" x14ac:dyDescent="0.25">
      <c r="B26" s="25" t="s">
        <v>163</v>
      </c>
      <c r="C26" s="20" t="s">
        <v>113</v>
      </c>
      <c r="D26" s="83">
        <v>25</v>
      </c>
    </row>
    <row r="27" spans="2:4" x14ac:dyDescent="0.25">
      <c r="B27" s="20"/>
      <c r="D27" s="34"/>
    </row>
    <row r="28" spans="2:4" x14ac:dyDescent="0.25">
      <c r="B28" s="20" t="s">
        <v>166</v>
      </c>
      <c r="C28" s="20" t="s">
        <v>167</v>
      </c>
      <c r="D28" s="84">
        <v>25</v>
      </c>
    </row>
    <row r="29" spans="2:4" x14ac:dyDescent="0.25">
      <c r="B29" s="20"/>
      <c r="C29" s="20" t="s">
        <v>168</v>
      </c>
      <c r="D29" s="84">
        <v>10</v>
      </c>
    </row>
    <row r="30" spans="2:4" x14ac:dyDescent="0.25">
      <c r="B30" s="20"/>
    </row>
    <row r="31" spans="2:4" x14ac:dyDescent="0.25">
      <c r="B31" s="20" t="s">
        <v>169</v>
      </c>
      <c r="D31" s="81">
        <f>((D29/D28)*(D26/D25))/2</f>
        <v>0.15151515151515152</v>
      </c>
    </row>
    <row r="32" spans="2:4" x14ac:dyDescent="0.25">
      <c r="B32" s="20" t="s">
        <v>170</v>
      </c>
      <c r="D32" s="81">
        <f>(1-(D29/D28))/2</f>
        <v>0.3</v>
      </c>
    </row>
    <row r="33" spans="2:4" x14ac:dyDescent="0.25">
      <c r="B33" s="20" t="s">
        <v>116</v>
      </c>
      <c r="D33" s="81">
        <f>((1-(D29/D28))*(1-D26/D25))/2</f>
        <v>7.2727272727272724E-2</v>
      </c>
    </row>
    <row r="34" spans="2:4" x14ac:dyDescent="0.25">
      <c r="C34" s="20" t="s">
        <v>171</v>
      </c>
      <c r="D34" s="82">
        <f>SUM(D31:D33)</f>
        <v>0.52424242424242429</v>
      </c>
    </row>
    <row r="35" spans="2:4" x14ac:dyDescent="0.25">
      <c r="B35" s="20"/>
    </row>
    <row r="36" spans="2:4" x14ac:dyDescent="0.25">
      <c r="B36" s="20" t="s">
        <v>117</v>
      </c>
      <c r="C36" s="85">
        <v>0.5</v>
      </c>
    </row>
    <row r="37" spans="2:4" x14ac:dyDescent="0.25">
      <c r="B37" s="20" t="s">
        <v>172</v>
      </c>
      <c r="C37" s="85">
        <f>ABS(C36-D34)</f>
        <v>2.4242424242424288E-2</v>
      </c>
    </row>
    <row r="38" spans="2:4" x14ac:dyDescent="0.25">
      <c r="B38" s="20" t="s">
        <v>173</v>
      </c>
      <c r="C38" s="86">
        <f>C37*2</f>
        <v>4.8484848484848575E-2</v>
      </c>
    </row>
    <row r="39" spans="2:4" x14ac:dyDescent="0.25">
      <c r="B39" s="20"/>
    </row>
    <row r="40" spans="2:4" x14ac:dyDescent="0.25">
      <c r="B40" s="20"/>
    </row>
    <row r="41" spans="2:4" x14ac:dyDescent="0.25">
      <c r="B41" s="20"/>
    </row>
    <row r="42" spans="2:4" x14ac:dyDescent="0.25">
      <c r="B42" s="20"/>
    </row>
    <row r="43" spans="2:4" x14ac:dyDescent="0.25">
      <c r="B43" s="20"/>
    </row>
    <row r="44" spans="2:4" x14ac:dyDescent="0.25">
      <c r="B44" s="20"/>
    </row>
    <row r="45" spans="2:4" x14ac:dyDescent="0.25">
      <c r="B45" s="20"/>
    </row>
    <row r="46" spans="2:4" x14ac:dyDescent="0.25">
      <c r="B46" s="20"/>
    </row>
    <row r="47" spans="2:4" x14ac:dyDescent="0.25">
      <c r="B47" s="20"/>
    </row>
    <row r="48" spans="2:4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</sheetData>
  <mergeCells count="1">
    <mergeCell ref="B2:H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0D7C-D42A-4341-9B70-974AFBDF262D}">
  <sheetPr>
    <tabColor theme="5" tint="0.79998168889431442"/>
  </sheetPr>
  <dimension ref="B2:Q17"/>
  <sheetViews>
    <sheetView workbookViewId="0">
      <selection activeCell="P15" sqref="P15"/>
    </sheetView>
  </sheetViews>
  <sheetFormatPr defaultRowHeight="15" x14ac:dyDescent="0.25"/>
  <cols>
    <col min="2" max="6" width="11.28515625" customWidth="1"/>
    <col min="7" max="7" width="15.140625" customWidth="1"/>
    <col min="8" max="8" width="15.5703125" customWidth="1"/>
    <col min="9" max="9" width="11.28515625" customWidth="1"/>
    <col min="11" max="11" width="10.5703125" customWidth="1"/>
    <col min="12" max="12" width="14" customWidth="1"/>
    <col min="13" max="13" width="12.42578125" customWidth="1"/>
    <col min="14" max="14" width="14.5703125" customWidth="1"/>
    <col min="16" max="16" width="10.85546875" customWidth="1"/>
  </cols>
  <sheetData>
    <row r="2" spans="2:17" x14ac:dyDescent="0.25">
      <c r="B2" s="19"/>
      <c r="C2" s="19" t="s">
        <v>28</v>
      </c>
      <c r="D2" s="19" t="s">
        <v>178</v>
      </c>
      <c r="E2" s="19" t="s">
        <v>192</v>
      </c>
      <c r="F2" s="19" t="s">
        <v>180</v>
      </c>
      <c r="G2" s="19" t="s">
        <v>28</v>
      </c>
      <c r="H2" s="19" t="s">
        <v>183</v>
      </c>
      <c r="I2" s="87" t="s">
        <v>185</v>
      </c>
      <c r="J2" s="19" t="s">
        <v>59</v>
      </c>
      <c r="K2" s="19" t="s">
        <v>195</v>
      </c>
      <c r="L2" s="19" t="s">
        <v>110</v>
      </c>
      <c r="M2" s="19" t="s">
        <v>195</v>
      </c>
      <c r="N2" s="19" t="s">
        <v>110</v>
      </c>
      <c r="O2" s="117" t="s">
        <v>200</v>
      </c>
      <c r="P2" s="117"/>
      <c r="Q2" s="117"/>
    </row>
    <row r="3" spans="2:17" x14ac:dyDescent="0.25">
      <c r="B3" s="76" t="s">
        <v>28</v>
      </c>
      <c r="C3" s="76" t="s">
        <v>177</v>
      </c>
      <c r="D3" s="76" t="s">
        <v>179</v>
      </c>
      <c r="E3" s="76" t="s">
        <v>177</v>
      </c>
      <c r="F3" s="76" t="s">
        <v>181</v>
      </c>
      <c r="G3" s="76" t="s">
        <v>182</v>
      </c>
      <c r="H3" s="76" t="s">
        <v>184</v>
      </c>
      <c r="I3" s="89" t="s">
        <v>186</v>
      </c>
      <c r="J3" s="19" t="s">
        <v>194</v>
      </c>
      <c r="K3" s="19" t="s">
        <v>196</v>
      </c>
      <c r="L3" s="19" t="s">
        <v>111</v>
      </c>
      <c r="M3" s="19" t="s">
        <v>197</v>
      </c>
      <c r="N3" s="19" t="s">
        <v>198</v>
      </c>
      <c r="O3" s="19" t="s">
        <v>115</v>
      </c>
      <c r="P3" s="19" t="s">
        <v>116</v>
      </c>
      <c r="Q3" s="19" t="s">
        <v>199</v>
      </c>
    </row>
    <row r="4" spans="2:17" x14ac:dyDescent="0.25">
      <c r="B4" s="19"/>
      <c r="C4" s="19"/>
      <c r="D4" s="19"/>
      <c r="E4" s="19"/>
      <c r="F4" s="19"/>
      <c r="G4" s="19"/>
      <c r="H4" s="19"/>
      <c r="I4" s="87"/>
      <c r="J4" s="19"/>
      <c r="L4">
        <v>0</v>
      </c>
      <c r="N4">
        <v>0</v>
      </c>
    </row>
    <row r="5" spans="2:17" x14ac:dyDescent="0.25">
      <c r="B5" t="s">
        <v>191</v>
      </c>
      <c r="C5">
        <v>900000</v>
      </c>
      <c r="D5">
        <v>0</v>
      </c>
      <c r="E5">
        <f>C5-D5</f>
        <v>900000</v>
      </c>
      <c r="F5">
        <v>540000</v>
      </c>
      <c r="G5">
        <f>E5-F5</f>
        <v>360000</v>
      </c>
      <c r="H5">
        <v>120000</v>
      </c>
      <c r="I5" s="64">
        <f>G5-H5</f>
        <v>240000</v>
      </c>
      <c r="J5" s="90">
        <f t="shared" ref="J5:J9" si="0">I5/C5</f>
        <v>0.26666666666666666</v>
      </c>
      <c r="K5" s="90">
        <f t="shared" ref="K5:K9" si="1">C5/$C$10</f>
        <v>0.09</v>
      </c>
      <c r="L5" s="90">
        <f t="shared" ref="L5:L9" si="2">L4+K5</f>
        <v>0.09</v>
      </c>
      <c r="M5" s="90">
        <f t="shared" ref="M5:M9" si="3">1/COUNT($J$5:$J$9)</f>
        <v>0.2</v>
      </c>
      <c r="N5" s="90">
        <f t="shared" ref="N5:N9" si="4">N4+M5</f>
        <v>0.2</v>
      </c>
      <c r="O5" s="92">
        <f>((N5-N4)*(L5-L4))/2</f>
        <v>8.9999999999999993E-3</v>
      </c>
      <c r="P5" s="31">
        <f>(N6-N5)*L5</f>
        <v>1.7999999999999999E-2</v>
      </c>
      <c r="Q5" s="91">
        <f>SUM(O5:P5)</f>
        <v>2.6999999999999996E-2</v>
      </c>
    </row>
    <row r="6" spans="2:17" x14ac:dyDescent="0.25">
      <c r="B6" t="s">
        <v>189</v>
      </c>
      <c r="C6">
        <v>1050000</v>
      </c>
      <c r="D6">
        <v>10500</v>
      </c>
      <c r="E6">
        <f>C6-D6</f>
        <v>1039500</v>
      </c>
      <c r="F6">
        <v>630000</v>
      </c>
      <c r="G6">
        <f>E6-F6</f>
        <v>409500</v>
      </c>
      <c r="H6">
        <v>321000</v>
      </c>
      <c r="I6" s="64">
        <f>G6-H6</f>
        <v>88500</v>
      </c>
      <c r="J6" s="90">
        <f t="shared" si="0"/>
        <v>8.4285714285714283E-2</v>
      </c>
      <c r="K6" s="90">
        <f t="shared" si="1"/>
        <v>0.105</v>
      </c>
      <c r="L6" s="90">
        <f t="shared" si="2"/>
        <v>0.19500000000000001</v>
      </c>
      <c r="M6" s="90">
        <f t="shared" si="3"/>
        <v>0.2</v>
      </c>
      <c r="N6" s="90">
        <f t="shared" si="4"/>
        <v>0.4</v>
      </c>
      <c r="O6" s="92">
        <f t="shared" ref="O6:O9" si="5">((N6-N5)*(L6-L5))/2</f>
        <v>1.0500000000000002E-2</v>
      </c>
      <c r="P6" s="31">
        <f t="shared" ref="P6:P8" si="6">(N7-N6)*L6</f>
        <v>3.9000000000000014E-2</v>
      </c>
      <c r="Q6" s="91">
        <f t="shared" ref="Q6:Q9" si="7">SUM(O6:P6)</f>
        <v>4.9500000000000016E-2</v>
      </c>
    </row>
    <row r="7" spans="2:17" x14ac:dyDescent="0.25">
      <c r="B7" t="s">
        <v>187</v>
      </c>
      <c r="C7">
        <v>1700000</v>
      </c>
      <c r="D7">
        <v>17000</v>
      </c>
      <c r="E7">
        <f>C7-D7</f>
        <v>1683000</v>
      </c>
      <c r="F7">
        <v>1020000</v>
      </c>
      <c r="G7">
        <f>E7-F7</f>
        <v>663000</v>
      </c>
      <c r="H7">
        <v>712000</v>
      </c>
      <c r="I7" s="64">
        <f>G7-H7</f>
        <v>-49000</v>
      </c>
      <c r="J7" s="90">
        <f t="shared" si="0"/>
        <v>-2.8823529411764706E-2</v>
      </c>
      <c r="K7" s="90">
        <f t="shared" si="1"/>
        <v>0.17</v>
      </c>
      <c r="L7" s="90">
        <f t="shared" si="2"/>
        <v>0.36499999999999999</v>
      </c>
      <c r="M7" s="90">
        <f t="shared" si="3"/>
        <v>0.2</v>
      </c>
      <c r="N7" s="90">
        <f t="shared" si="4"/>
        <v>0.60000000000000009</v>
      </c>
      <c r="O7" s="92">
        <f t="shared" si="5"/>
        <v>1.7000000000000005E-2</v>
      </c>
      <c r="P7" s="31">
        <f t="shared" si="6"/>
        <v>7.2999999999999982E-2</v>
      </c>
      <c r="Q7" s="91">
        <f t="shared" si="7"/>
        <v>8.9999999999999983E-2</v>
      </c>
    </row>
    <row r="8" spans="2:17" x14ac:dyDescent="0.25">
      <c r="B8" t="s">
        <v>188</v>
      </c>
      <c r="C8">
        <v>3100000</v>
      </c>
      <c r="D8">
        <v>155000</v>
      </c>
      <c r="E8">
        <f>C8-D8</f>
        <v>2945000</v>
      </c>
      <c r="F8">
        <v>1860000</v>
      </c>
      <c r="G8">
        <f>E8-F8</f>
        <v>1085000</v>
      </c>
      <c r="H8">
        <v>815000</v>
      </c>
      <c r="I8" s="64">
        <f>G8-H8</f>
        <v>270000</v>
      </c>
      <c r="J8" s="90">
        <f t="shared" si="0"/>
        <v>8.7096774193548387E-2</v>
      </c>
      <c r="K8" s="90">
        <f t="shared" si="1"/>
        <v>0.31</v>
      </c>
      <c r="L8" s="90">
        <f t="shared" si="2"/>
        <v>0.67500000000000004</v>
      </c>
      <c r="M8" s="90">
        <f t="shared" si="3"/>
        <v>0.2</v>
      </c>
      <c r="N8" s="90">
        <f t="shared" si="4"/>
        <v>0.8</v>
      </c>
      <c r="O8" s="92">
        <f t="shared" si="5"/>
        <v>3.1E-2</v>
      </c>
      <c r="P8" s="31">
        <f t="shared" si="6"/>
        <v>0.13499999999999998</v>
      </c>
      <c r="Q8" s="91">
        <f t="shared" si="7"/>
        <v>0.16599999999999998</v>
      </c>
    </row>
    <row r="9" spans="2:17" x14ac:dyDescent="0.25">
      <c r="B9" s="5" t="s">
        <v>190</v>
      </c>
      <c r="C9" s="5">
        <v>3250000</v>
      </c>
      <c r="D9" s="5">
        <v>13000</v>
      </c>
      <c r="E9" s="5">
        <f>C9-D9</f>
        <v>3237000</v>
      </c>
      <c r="F9" s="5">
        <v>1950000</v>
      </c>
      <c r="G9" s="5">
        <f>E9-F9</f>
        <v>1287000</v>
      </c>
      <c r="H9" s="5">
        <v>1400000</v>
      </c>
      <c r="I9" s="88">
        <f>G9-H9</f>
        <v>-113000</v>
      </c>
      <c r="J9" s="90">
        <f t="shared" si="0"/>
        <v>-3.4769230769230768E-2</v>
      </c>
      <c r="K9" s="90">
        <f t="shared" si="1"/>
        <v>0.32500000000000001</v>
      </c>
      <c r="L9" s="90">
        <f t="shared" si="2"/>
        <v>1</v>
      </c>
      <c r="M9" s="90">
        <f t="shared" si="3"/>
        <v>0.2</v>
      </c>
      <c r="N9" s="90">
        <f t="shared" si="4"/>
        <v>1</v>
      </c>
      <c r="O9" s="95">
        <f t="shared" si="5"/>
        <v>3.2499999999999987E-2</v>
      </c>
      <c r="P9" s="93"/>
      <c r="Q9" s="94">
        <f t="shared" si="7"/>
        <v>3.2499999999999987E-2</v>
      </c>
    </row>
    <row r="10" spans="2:17" x14ac:dyDescent="0.25">
      <c r="B10" t="s">
        <v>193</v>
      </c>
      <c r="C10">
        <f t="shared" ref="C10:I10" si="8">SUM(C5:C9)</f>
        <v>10000000</v>
      </c>
      <c r="D10">
        <f t="shared" si="8"/>
        <v>195500</v>
      </c>
      <c r="E10">
        <f t="shared" si="8"/>
        <v>9804500</v>
      </c>
      <c r="F10">
        <f t="shared" si="8"/>
        <v>6000000</v>
      </c>
      <c r="G10">
        <f t="shared" si="8"/>
        <v>3804500</v>
      </c>
      <c r="H10">
        <f t="shared" si="8"/>
        <v>3368000</v>
      </c>
      <c r="I10" s="64">
        <f t="shared" si="8"/>
        <v>436500</v>
      </c>
      <c r="P10" s="21" t="s">
        <v>158</v>
      </c>
      <c r="Q10" s="80">
        <f>SUM(Q5:Q9)</f>
        <v>0.36499999999999994</v>
      </c>
    </row>
    <row r="12" spans="2:17" x14ac:dyDescent="0.25">
      <c r="P12" s="21" t="s">
        <v>201</v>
      </c>
      <c r="Q12" s="80">
        <f>0.5-Q10</f>
        <v>0.13500000000000006</v>
      </c>
    </row>
    <row r="13" spans="2:17" ht="15.75" thickBot="1" x14ac:dyDescent="0.3">
      <c r="P13" s="96" t="s">
        <v>202</v>
      </c>
      <c r="Q13" s="97">
        <f>Q12*2</f>
        <v>0.27000000000000013</v>
      </c>
    </row>
    <row r="14" spans="2:17" ht="15.75" thickTop="1" x14ac:dyDescent="0.25"/>
    <row r="15" spans="2:17" x14ac:dyDescent="0.25">
      <c r="P15" s="21" t="s">
        <v>203</v>
      </c>
      <c r="Q15">
        <f>Q17/COUNT(C5:C9)</f>
        <v>0.6</v>
      </c>
    </row>
    <row r="16" spans="2:17" x14ac:dyDescent="0.25">
      <c r="O16" t="s">
        <v>204</v>
      </c>
      <c r="P16" s="21"/>
      <c r="Q16">
        <f>SUM(C5:C9)/COUNT(C5:C9)</f>
        <v>2000000</v>
      </c>
    </row>
    <row r="17" spans="15:17" x14ac:dyDescent="0.25">
      <c r="O17" t="s">
        <v>205</v>
      </c>
      <c r="Q17">
        <f>COUNTIF(C5:C9,"&lt;"&amp;Q16)</f>
        <v>3</v>
      </c>
    </row>
  </sheetData>
  <sortState xmlns:xlrd2="http://schemas.microsoft.com/office/spreadsheetml/2017/richdata2" ref="B5:I9">
    <sortCondition ref="C5:C9"/>
  </sortState>
  <mergeCells count="1">
    <mergeCell ref="O2:Q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94E4-5539-4C7D-B6D5-CE0274F5DA28}">
  <sheetPr>
    <tabColor theme="5" tint="0.59999389629810485"/>
  </sheetPr>
  <dimension ref="B2:H16"/>
  <sheetViews>
    <sheetView workbookViewId="0">
      <selection activeCell="H39" sqref="H39"/>
    </sheetView>
  </sheetViews>
  <sheetFormatPr defaultRowHeight="15" x14ac:dyDescent="0.25"/>
  <cols>
    <col min="2" max="2" width="11.140625" customWidth="1"/>
  </cols>
  <sheetData>
    <row r="2" spans="2:8" x14ac:dyDescent="0.25">
      <c r="B2" s="116" t="s">
        <v>34</v>
      </c>
      <c r="C2" s="116"/>
      <c r="D2" s="116"/>
      <c r="E2" s="116"/>
      <c r="F2" s="116"/>
      <c r="G2" s="116"/>
      <c r="H2" s="116"/>
    </row>
    <row r="3" spans="2:8" x14ac:dyDescent="0.25">
      <c r="B3" s="20">
        <v>1</v>
      </c>
      <c r="C3" s="20" t="s">
        <v>93</v>
      </c>
      <c r="D3" s="20"/>
      <c r="E3" s="20"/>
      <c r="F3" s="20"/>
      <c r="G3" s="20"/>
      <c r="H3" s="20"/>
    </row>
    <row r="4" spans="2:8" x14ac:dyDescent="0.25">
      <c r="B4" s="20">
        <v>2</v>
      </c>
      <c r="C4" s="20" t="s">
        <v>94</v>
      </c>
      <c r="D4" s="20"/>
      <c r="E4" s="20"/>
      <c r="F4" s="20"/>
      <c r="G4" s="20"/>
      <c r="H4" s="20"/>
    </row>
    <row r="5" spans="2:8" x14ac:dyDescent="0.25">
      <c r="B5" s="20">
        <v>3</v>
      </c>
      <c r="C5" s="20" t="s">
        <v>95</v>
      </c>
      <c r="D5" s="20"/>
      <c r="E5" s="20"/>
      <c r="F5" s="20"/>
      <c r="G5" s="20"/>
      <c r="H5" s="20"/>
    </row>
    <row r="6" spans="2:8" x14ac:dyDescent="0.25">
      <c r="B6" s="20">
        <v>4</v>
      </c>
      <c r="C6" s="20" t="s">
        <v>96</v>
      </c>
      <c r="D6" s="20"/>
      <c r="E6" s="20"/>
      <c r="F6" s="20"/>
      <c r="G6" s="20"/>
      <c r="H6" s="20"/>
    </row>
    <row r="7" spans="2:8" x14ac:dyDescent="0.25">
      <c r="B7" s="20">
        <v>5</v>
      </c>
      <c r="C7" s="20" t="s">
        <v>97</v>
      </c>
      <c r="D7" s="20"/>
      <c r="E7" s="20"/>
      <c r="F7" s="20"/>
      <c r="G7" s="20"/>
      <c r="H7" s="20"/>
    </row>
    <row r="8" spans="2:8" x14ac:dyDescent="0.25">
      <c r="B8" s="22">
        <v>6</v>
      </c>
      <c r="C8" s="22" t="s">
        <v>98</v>
      </c>
      <c r="D8" s="5"/>
      <c r="E8" s="5"/>
      <c r="F8" s="5"/>
      <c r="G8" s="5"/>
      <c r="H8" s="5"/>
    </row>
    <row r="11" spans="2:8" x14ac:dyDescent="0.25">
      <c r="B11" t="s">
        <v>150</v>
      </c>
    </row>
    <row r="12" spans="2:8" x14ac:dyDescent="0.25">
      <c r="B12" t="s">
        <v>113</v>
      </c>
      <c r="C12" s="78">
        <v>0.52</v>
      </c>
      <c r="D12" s="77" t="s">
        <v>152</v>
      </c>
      <c r="F12" t="s">
        <v>151</v>
      </c>
    </row>
    <row r="13" spans="2:8" x14ac:dyDescent="0.25">
      <c r="B13" t="s">
        <v>153</v>
      </c>
      <c r="C13" s="78">
        <v>4.87</v>
      </c>
      <c r="D13" s="77" t="s">
        <v>154</v>
      </c>
    </row>
    <row r="14" spans="2:8" x14ac:dyDescent="0.25">
      <c r="B14" t="s">
        <v>157</v>
      </c>
      <c r="C14" s="79">
        <f>(C13*100%)/2</f>
        <v>2.4350000000000001</v>
      </c>
    </row>
    <row r="15" spans="2:8" x14ac:dyDescent="0.25">
      <c r="B15" t="s">
        <v>158</v>
      </c>
      <c r="C15">
        <v>0.5</v>
      </c>
    </row>
    <row r="16" spans="2:8" x14ac:dyDescent="0.25">
      <c r="B16" t="s">
        <v>155</v>
      </c>
      <c r="C16" s="80">
        <f>C14/(C14+C15)</f>
        <v>0.82964224872231684</v>
      </c>
      <c r="F16" t="s">
        <v>156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DDBC-10D7-4E41-AC72-DF1D1DAF9BE6}">
  <sheetPr>
    <tabColor theme="5" tint="0.79998168889431442"/>
  </sheetPr>
  <dimension ref="B2:T16"/>
  <sheetViews>
    <sheetView zoomScale="115" zoomScaleNormal="115" workbookViewId="0">
      <selection activeCell="S25" sqref="S25"/>
    </sheetView>
  </sheetViews>
  <sheetFormatPr defaultRowHeight="15" x14ac:dyDescent="0.25"/>
  <cols>
    <col min="2" max="2" width="10" customWidth="1"/>
    <col min="3" max="3" width="14" bestFit="1" customWidth="1"/>
    <col min="5" max="5" width="14.28515625" customWidth="1"/>
    <col min="6" max="6" width="10.28515625" customWidth="1"/>
    <col min="7" max="7" width="16.28515625" customWidth="1"/>
    <col min="9" max="9" width="11.42578125" bestFit="1" customWidth="1"/>
    <col min="12" max="12" width="13.140625" customWidth="1"/>
    <col min="13" max="13" width="13.28515625" customWidth="1"/>
    <col min="14" max="14" width="13.85546875" customWidth="1"/>
    <col min="15" max="15" width="13" customWidth="1"/>
    <col min="18" max="18" width="12" customWidth="1"/>
  </cols>
  <sheetData>
    <row r="2" spans="2:20" x14ac:dyDescent="0.25">
      <c r="B2" t="s">
        <v>99</v>
      </c>
      <c r="S2" s="118" t="s">
        <v>114</v>
      </c>
      <c r="T2" s="118"/>
    </row>
    <row r="3" spans="2:20" ht="19.5" customHeight="1" x14ac:dyDescent="0.25">
      <c r="B3" s="55" t="s">
        <v>28</v>
      </c>
      <c r="C3" s="119" t="s">
        <v>37</v>
      </c>
      <c r="D3" s="119"/>
      <c r="E3" s="119" t="s">
        <v>106</v>
      </c>
      <c r="F3" s="119"/>
      <c r="G3" s="119" t="s">
        <v>107</v>
      </c>
      <c r="H3" s="119"/>
      <c r="I3" s="119" t="s">
        <v>108</v>
      </c>
      <c r="J3" s="119"/>
      <c r="L3" t="s">
        <v>109</v>
      </c>
      <c r="M3" t="s">
        <v>110</v>
      </c>
      <c r="N3" t="s">
        <v>111</v>
      </c>
      <c r="O3" t="s">
        <v>110</v>
      </c>
      <c r="P3" s="102" t="s">
        <v>112</v>
      </c>
      <c r="Q3" s="102"/>
      <c r="S3" t="s">
        <v>115</v>
      </c>
      <c r="T3" t="s">
        <v>116</v>
      </c>
    </row>
    <row r="4" spans="2:20" ht="19.5" customHeight="1" x14ac:dyDescent="0.25">
      <c r="B4" s="23"/>
      <c r="C4" s="58"/>
      <c r="D4" s="58"/>
      <c r="E4" s="58"/>
      <c r="F4" s="58"/>
      <c r="G4" s="58"/>
      <c r="H4" s="58"/>
      <c r="I4" s="58"/>
      <c r="J4" s="58"/>
      <c r="M4">
        <v>0</v>
      </c>
      <c r="O4">
        <v>0</v>
      </c>
      <c r="Q4">
        <v>0</v>
      </c>
    </row>
    <row r="5" spans="2:20" x14ac:dyDescent="0.25">
      <c r="B5" s="19" t="s">
        <v>105</v>
      </c>
      <c r="C5" s="15">
        <v>4690000</v>
      </c>
      <c r="D5" s="32">
        <f t="shared" ref="D5:D10" si="0">C5/$C$11</f>
        <v>7.0000000000000007E-2</v>
      </c>
      <c r="E5" s="15">
        <v>2221000</v>
      </c>
      <c r="F5" s="24">
        <f t="shared" ref="F5:F10" si="1">E5/C5</f>
        <v>0.47356076759061833</v>
      </c>
      <c r="G5" s="15">
        <v>755400</v>
      </c>
      <c r="H5" s="24">
        <f t="shared" ref="H5:H10" si="2">G5/C5</f>
        <v>0.16106609808102346</v>
      </c>
      <c r="I5" s="15">
        <v>750400</v>
      </c>
      <c r="J5" s="24">
        <f t="shared" ref="J5:J10" si="3">I5/C5</f>
        <v>0.16</v>
      </c>
      <c r="L5" s="32">
        <f>I5/$I$11</f>
        <v>2.074074074074074</v>
      </c>
      <c r="M5" s="33">
        <f>M4+L5</f>
        <v>2.074074074074074</v>
      </c>
      <c r="N5" s="32">
        <f>C5/$C$11</f>
        <v>7.0000000000000007E-2</v>
      </c>
      <c r="O5" s="33">
        <f>O4+N5</f>
        <v>7.0000000000000007E-2</v>
      </c>
      <c r="P5" s="59">
        <f>1/COUNT($C$5:$C$10)</f>
        <v>0.16666666666666666</v>
      </c>
      <c r="Q5" s="60">
        <f>Q4+P5</f>
        <v>0.16666666666666666</v>
      </c>
      <c r="S5">
        <f>((M5-M4)*(O5-O4))/2</f>
        <v>7.2592592592592597E-2</v>
      </c>
      <c r="T5">
        <f>(M5-M4)*(O6-O5)</f>
        <v>8.2962962962962974E-2</v>
      </c>
    </row>
    <row r="6" spans="2:20" x14ac:dyDescent="0.25">
      <c r="B6" s="19" t="s">
        <v>100</v>
      </c>
      <c r="C6" s="15">
        <v>2680000</v>
      </c>
      <c r="D6" s="32">
        <f t="shared" si="0"/>
        <v>0.04</v>
      </c>
      <c r="E6" s="15">
        <v>1246000</v>
      </c>
      <c r="F6" s="24">
        <f t="shared" si="1"/>
        <v>0.46492537313432836</v>
      </c>
      <c r="G6" s="15">
        <v>304800</v>
      </c>
      <c r="H6" s="24">
        <f t="shared" si="2"/>
        <v>0.11373134328358209</v>
      </c>
      <c r="I6" s="15">
        <v>294800</v>
      </c>
      <c r="J6" s="24">
        <f t="shared" si="3"/>
        <v>0.11</v>
      </c>
      <c r="L6" s="32">
        <f t="shared" ref="L6:L10" si="4">I6/$I$11</f>
        <v>0.81481481481481477</v>
      </c>
      <c r="M6" s="33">
        <f t="shared" ref="M6:M10" si="5">M5+L6</f>
        <v>2.8888888888888888</v>
      </c>
      <c r="N6" s="32">
        <f t="shared" ref="N6:N10" si="6">C6/$C$11</f>
        <v>0.04</v>
      </c>
      <c r="O6" s="33">
        <f t="shared" ref="O6:O10" si="7">O5+N6</f>
        <v>0.11000000000000001</v>
      </c>
      <c r="P6" s="59">
        <f>1/COUNT($C$5:$C$10)</f>
        <v>0.16666666666666666</v>
      </c>
      <c r="Q6" s="60">
        <f t="shared" ref="Q6:Q10" si="8">Q5+P6</f>
        <v>0.33333333333333331</v>
      </c>
      <c r="S6">
        <f t="shared" ref="S6:S8" si="9">((M6-M5)*(O6-O5))/2</f>
        <v>1.6296296296296302E-2</v>
      </c>
      <c r="T6">
        <f t="shared" ref="T6:T8" si="10">(M6-M5)*(O7-O6)</f>
        <v>0.162962962962963</v>
      </c>
    </row>
    <row r="7" spans="2:20" x14ac:dyDescent="0.25">
      <c r="B7" s="19" t="s">
        <v>103</v>
      </c>
      <c r="C7" s="15">
        <v>13400000</v>
      </c>
      <c r="D7" s="32">
        <f t="shared" si="0"/>
        <v>0.2</v>
      </c>
      <c r="E7" s="15">
        <v>9380000</v>
      </c>
      <c r="F7" s="24">
        <f t="shared" si="1"/>
        <v>0.7</v>
      </c>
      <c r="G7" s="15">
        <v>288000</v>
      </c>
      <c r="H7" s="24">
        <f t="shared" si="2"/>
        <v>2.1492537313432834E-2</v>
      </c>
      <c r="I7" s="15">
        <v>268000</v>
      </c>
      <c r="J7" s="24">
        <f t="shared" si="3"/>
        <v>0.02</v>
      </c>
      <c r="L7" s="32">
        <f t="shared" si="4"/>
        <v>0.7407407407407407</v>
      </c>
      <c r="M7" s="33">
        <f t="shared" si="5"/>
        <v>3.6296296296296298</v>
      </c>
      <c r="N7" s="32">
        <f t="shared" si="6"/>
        <v>0.2</v>
      </c>
      <c r="O7" s="33">
        <f t="shared" si="7"/>
        <v>0.31000000000000005</v>
      </c>
      <c r="P7" s="59">
        <f t="shared" ref="P7:P10" si="11">1/COUNT($C$5:$C$10)</f>
        <v>0.16666666666666666</v>
      </c>
      <c r="Q7" s="60">
        <f t="shared" si="8"/>
        <v>0.5</v>
      </c>
      <c r="S7">
        <f t="shared" si="9"/>
        <v>7.4074074074074112E-2</v>
      </c>
      <c r="T7">
        <f t="shared" si="10"/>
        <v>7.407407407407407E-2</v>
      </c>
    </row>
    <row r="8" spans="2:20" x14ac:dyDescent="0.25">
      <c r="B8" s="19" t="s">
        <v>102</v>
      </c>
      <c r="C8" s="15">
        <v>6700000</v>
      </c>
      <c r="D8" s="32">
        <f t="shared" si="0"/>
        <v>0.1</v>
      </c>
      <c r="E8" s="15">
        <v>3886000</v>
      </c>
      <c r="F8" s="24">
        <f t="shared" si="1"/>
        <v>0.57999999999999996</v>
      </c>
      <c r="G8" s="15">
        <v>77000</v>
      </c>
      <c r="H8" s="24">
        <f t="shared" si="2"/>
        <v>1.1492537313432836E-2</v>
      </c>
      <c r="I8" s="15">
        <v>67000</v>
      </c>
      <c r="J8" s="24">
        <f t="shared" si="3"/>
        <v>0.01</v>
      </c>
      <c r="L8" s="32">
        <f t="shared" si="4"/>
        <v>0.18518518518518517</v>
      </c>
      <c r="M8" s="33">
        <f t="shared" si="5"/>
        <v>3.8148148148148149</v>
      </c>
      <c r="N8" s="32">
        <f t="shared" si="6"/>
        <v>0.1</v>
      </c>
      <c r="O8" s="33">
        <f t="shared" si="7"/>
        <v>0.41000000000000003</v>
      </c>
      <c r="P8" s="59">
        <f t="shared" si="11"/>
        <v>0.16666666666666666</v>
      </c>
      <c r="Q8" s="60">
        <f t="shared" si="8"/>
        <v>0.66666666666666663</v>
      </c>
      <c r="S8">
        <f t="shared" si="9"/>
        <v>9.2592592592592535E-3</v>
      </c>
      <c r="T8">
        <f t="shared" si="10"/>
        <v>4.629629629629628E-2</v>
      </c>
    </row>
    <row r="9" spans="2:20" x14ac:dyDescent="0.25">
      <c r="B9" s="19" t="s">
        <v>104</v>
      </c>
      <c r="C9" s="15">
        <v>16750000</v>
      </c>
      <c r="D9" s="32">
        <f t="shared" si="0"/>
        <v>0.25</v>
      </c>
      <c r="E9" s="15">
        <v>14237500</v>
      </c>
      <c r="F9" s="24">
        <f t="shared" si="1"/>
        <v>0.85</v>
      </c>
      <c r="G9" s="15">
        <v>320000</v>
      </c>
      <c r="H9" s="24">
        <f t="shared" si="2"/>
        <v>1.9104477611940299E-2</v>
      </c>
      <c r="I9" s="15">
        <v>-335000</v>
      </c>
      <c r="J9" s="24">
        <f t="shared" si="3"/>
        <v>-0.02</v>
      </c>
      <c r="L9" s="32">
        <f t="shared" si="4"/>
        <v>-0.92592592592592593</v>
      </c>
      <c r="M9" s="33">
        <f t="shared" si="5"/>
        <v>2.8888888888888888</v>
      </c>
      <c r="N9" s="32">
        <f t="shared" si="6"/>
        <v>0.25</v>
      </c>
      <c r="O9" s="33">
        <f t="shared" si="7"/>
        <v>0.66</v>
      </c>
      <c r="P9" s="59">
        <f t="shared" si="11"/>
        <v>0.16666666666666666</v>
      </c>
      <c r="Q9" s="60">
        <f t="shared" si="8"/>
        <v>0.83333333333333326</v>
      </c>
      <c r="S9">
        <f>((M8-M9)*(O9-O8))/2</f>
        <v>0.11574074074074076</v>
      </c>
      <c r="T9">
        <f>(M9-M8)*(O9-O10)</f>
        <v>0.31481481481481483</v>
      </c>
    </row>
    <row r="10" spans="2:20" x14ac:dyDescent="0.25">
      <c r="B10" s="19" t="s">
        <v>101</v>
      </c>
      <c r="C10" s="15">
        <v>22780000</v>
      </c>
      <c r="D10" s="32">
        <f t="shared" si="0"/>
        <v>0.34</v>
      </c>
      <c r="E10" s="15">
        <v>14807000</v>
      </c>
      <c r="F10" s="24">
        <f t="shared" si="1"/>
        <v>0.65</v>
      </c>
      <c r="G10" s="15">
        <v>-653400</v>
      </c>
      <c r="H10" s="24">
        <f t="shared" si="2"/>
        <v>-2.8683055311676909E-2</v>
      </c>
      <c r="I10" s="15">
        <v>-683400</v>
      </c>
      <c r="J10" s="24">
        <f t="shared" si="3"/>
        <v>-0.03</v>
      </c>
      <c r="L10" s="32">
        <f t="shared" si="4"/>
        <v>-1.8888888888888888</v>
      </c>
      <c r="M10" s="33">
        <f t="shared" si="5"/>
        <v>1</v>
      </c>
      <c r="N10" s="32">
        <f t="shared" si="6"/>
        <v>0.34</v>
      </c>
      <c r="O10" s="33">
        <f t="shared" si="7"/>
        <v>1</v>
      </c>
      <c r="P10" s="59">
        <f t="shared" si="11"/>
        <v>0.16666666666666666</v>
      </c>
      <c r="Q10" s="60">
        <f t="shared" si="8"/>
        <v>0.99999999999999989</v>
      </c>
      <c r="S10" s="5">
        <f>((M9-M10)*(O10-O9))/2</f>
        <v>0.32111111111111107</v>
      </c>
    </row>
    <row r="11" spans="2:20" x14ac:dyDescent="0.25">
      <c r="B11" t="s">
        <v>35</v>
      </c>
      <c r="C11" s="56">
        <f>SUM(C5:C10)</f>
        <v>67000000</v>
      </c>
      <c r="I11" s="57">
        <f>SUM(I5:I10)</f>
        <v>361800</v>
      </c>
      <c r="L11" s="33">
        <f>SUM(L5:L10)</f>
        <v>1</v>
      </c>
      <c r="N11" s="33">
        <f>SUM(N5:N10)</f>
        <v>1</v>
      </c>
      <c r="R11" t="s">
        <v>117</v>
      </c>
      <c r="S11">
        <f>SUM(S5:T10)</f>
        <v>1.2901851851851853</v>
      </c>
    </row>
    <row r="13" spans="2:20" x14ac:dyDescent="0.25">
      <c r="R13" s="29" t="s">
        <v>113</v>
      </c>
      <c r="S13" s="33">
        <f>1-O8</f>
        <v>0.59</v>
      </c>
    </row>
    <row r="14" spans="2:20" x14ac:dyDescent="0.25">
      <c r="R14" t="s">
        <v>100</v>
      </c>
      <c r="S14" s="80">
        <f>S11-S15</f>
        <v>0.79018518518518532</v>
      </c>
    </row>
    <row r="15" spans="2:20" x14ac:dyDescent="0.25">
      <c r="R15" t="s">
        <v>101</v>
      </c>
      <c r="S15" s="80">
        <v>0.5</v>
      </c>
    </row>
    <row r="16" spans="2:20" x14ac:dyDescent="0.25">
      <c r="R16" t="s">
        <v>155</v>
      </c>
      <c r="S16" s="80">
        <f>S14/(S15+S14)</f>
        <v>0.61245873403186457</v>
      </c>
    </row>
  </sheetData>
  <sortState xmlns:xlrd2="http://schemas.microsoft.com/office/spreadsheetml/2017/richdata2" ref="B5:J10">
    <sortCondition descending="1" ref="J5:J10"/>
  </sortState>
  <mergeCells count="6">
    <mergeCell ref="S2:T2"/>
    <mergeCell ref="C3:D3"/>
    <mergeCell ref="E3:F3"/>
    <mergeCell ref="G3:H3"/>
    <mergeCell ref="I3:J3"/>
    <mergeCell ref="P3:Q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17A-608E-48AC-9FA7-BE4E602EE7F1}">
  <sheetPr>
    <tabColor theme="7" tint="0.59999389629810485"/>
  </sheetPr>
  <dimension ref="B1:T39"/>
  <sheetViews>
    <sheetView workbookViewId="0">
      <selection activeCell="O18" sqref="O18"/>
    </sheetView>
  </sheetViews>
  <sheetFormatPr defaultRowHeight="15" x14ac:dyDescent="0.25"/>
  <cols>
    <col min="2" max="2" width="13" customWidth="1"/>
    <col min="7" max="7" width="9.85546875" customWidth="1"/>
    <col min="13" max="13" width="4.7109375" customWidth="1"/>
    <col min="14" max="14" width="6" customWidth="1"/>
    <col min="15" max="15" width="9.140625" customWidth="1"/>
    <col min="18" max="18" width="10.5703125" customWidth="1"/>
  </cols>
  <sheetData>
    <row r="1" spans="2:20" ht="15.75" thickBot="1" x14ac:dyDescent="0.3"/>
    <row r="2" spans="2:20" ht="15.75" thickBot="1" x14ac:dyDescent="0.3">
      <c r="B2" s="129" t="s">
        <v>61</v>
      </c>
      <c r="C2" s="129"/>
      <c r="M2" s="50"/>
      <c r="N2" s="129" t="s">
        <v>77</v>
      </c>
      <c r="O2" s="129"/>
      <c r="P2" s="129"/>
      <c r="R2" s="123" t="s">
        <v>85</v>
      </c>
      <c r="S2" s="124"/>
      <c r="T2" s="125"/>
    </row>
    <row r="3" spans="2:20" ht="18.75" thickBot="1" x14ac:dyDescent="0.4">
      <c r="B3" s="36"/>
      <c r="C3" s="37" t="s">
        <v>62</v>
      </c>
      <c r="D3" s="37" t="s">
        <v>63</v>
      </c>
      <c r="E3" s="38" t="s">
        <v>64</v>
      </c>
      <c r="G3" s="44" t="s">
        <v>66</v>
      </c>
      <c r="H3" s="49" t="s">
        <v>76</v>
      </c>
      <c r="M3" s="50"/>
      <c r="N3" t="s">
        <v>84</v>
      </c>
      <c r="R3" s="126" t="str">
        <f>"p = "&amp;ROUND(O5,2)&amp;" + "&amp;ROUND(O4,4)&amp;"Q"</f>
        <v>p = 305,33 + -0,0436Q</v>
      </c>
      <c r="S3" s="127"/>
      <c r="T3" s="128"/>
    </row>
    <row r="4" spans="2:20" ht="15.75" thickBot="1" x14ac:dyDescent="0.3">
      <c r="B4" s="39" t="s">
        <v>53</v>
      </c>
      <c r="C4" s="35">
        <v>229</v>
      </c>
      <c r="D4" s="71">
        <f>C4*(1+E4)</f>
        <v>206.1</v>
      </c>
      <c r="E4" s="40">
        <v>-0.1</v>
      </c>
      <c r="G4" s="45">
        <f>E5/E4</f>
        <v>-2.9999999999999996</v>
      </c>
      <c r="M4" s="50"/>
      <c r="N4" t="s">
        <v>78</v>
      </c>
      <c r="O4" s="52">
        <f>(C4-D4)/(C5-D5)</f>
        <v>-4.3619047619047627E-2</v>
      </c>
    </row>
    <row r="5" spans="2:20" ht="15.75" thickBot="1" x14ac:dyDescent="0.3">
      <c r="B5" s="41" t="s">
        <v>65</v>
      </c>
      <c r="C5" s="42">
        <v>1750</v>
      </c>
      <c r="D5" s="72">
        <f>C5*(1+E5)</f>
        <v>2275</v>
      </c>
      <c r="E5" s="43">
        <v>0.3</v>
      </c>
      <c r="M5" s="50"/>
      <c r="N5" t="s">
        <v>79</v>
      </c>
      <c r="O5" s="53">
        <f>C4-(O4*C5)</f>
        <v>305.33333333333337</v>
      </c>
      <c r="P5" t="s">
        <v>80</v>
      </c>
    </row>
    <row r="6" spans="2:20" ht="15.75" thickBot="1" x14ac:dyDescent="0.3">
      <c r="M6" s="50"/>
    </row>
    <row r="7" spans="2:20" x14ac:dyDescent="0.25">
      <c r="B7" s="130" t="s">
        <v>67</v>
      </c>
      <c r="C7" s="131"/>
      <c r="E7" s="130" t="s">
        <v>74</v>
      </c>
      <c r="F7" s="132"/>
      <c r="G7" s="131"/>
      <c r="M7" s="50"/>
    </row>
    <row r="8" spans="2:20" ht="15.75" thickBot="1" x14ac:dyDescent="0.3">
      <c r="B8" s="46" t="s">
        <v>73</v>
      </c>
      <c r="C8" s="47">
        <f>SUM(C12:C19)</f>
        <v>245000</v>
      </c>
      <c r="E8" s="41" t="s">
        <v>75</v>
      </c>
      <c r="F8" s="120">
        <f>(1/(1+(1/G4)))*C9</f>
        <v>210</v>
      </c>
      <c r="G8" s="121"/>
      <c r="M8" s="50"/>
      <c r="N8" s="54" t="s">
        <v>86</v>
      </c>
      <c r="O8" s="54"/>
      <c r="Q8" s="54" t="s">
        <v>88</v>
      </c>
      <c r="R8" s="54"/>
    </row>
    <row r="9" spans="2:20" ht="15.75" thickBot="1" x14ac:dyDescent="0.3">
      <c r="B9" s="41" t="s">
        <v>130</v>
      </c>
      <c r="C9" s="48">
        <f>C8/C5</f>
        <v>140</v>
      </c>
      <c r="F9" s="21" t="s">
        <v>174</v>
      </c>
      <c r="M9" s="50"/>
      <c r="N9" t="s">
        <v>87</v>
      </c>
      <c r="Q9" t="s">
        <v>89</v>
      </c>
    </row>
    <row r="10" spans="2:20" x14ac:dyDescent="0.25">
      <c r="F10" t="s">
        <v>175</v>
      </c>
      <c r="M10" s="50"/>
      <c r="N10" t="s">
        <v>86</v>
      </c>
      <c r="Q10" s="54" t="s">
        <v>90</v>
      </c>
      <c r="R10" s="54"/>
    </row>
    <row r="11" spans="2:20" x14ac:dyDescent="0.25">
      <c r="B11" s="122" t="s">
        <v>69</v>
      </c>
      <c r="C11" s="122"/>
      <c r="F11" t="s">
        <v>176</v>
      </c>
      <c r="M11" s="50"/>
      <c r="N11" t="s">
        <v>92</v>
      </c>
      <c r="Q11" t="s">
        <v>91</v>
      </c>
    </row>
    <row r="12" spans="2:20" x14ac:dyDescent="0.25">
      <c r="B12" t="s">
        <v>71</v>
      </c>
      <c r="C12">
        <v>96250</v>
      </c>
      <c r="M12" s="50"/>
      <c r="N12" t="s">
        <v>81</v>
      </c>
      <c r="Q12" t="s">
        <v>81</v>
      </c>
    </row>
    <row r="13" spans="2:20" x14ac:dyDescent="0.25">
      <c r="B13" t="s">
        <v>72</v>
      </c>
      <c r="C13">
        <v>26250</v>
      </c>
      <c r="M13" s="50"/>
      <c r="N13" t="s">
        <v>82</v>
      </c>
      <c r="O13" s="51">
        <f>(C9-O5)/(2*O4)</f>
        <v>1895.1965065502184</v>
      </c>
      <c r="Q13" t="s">
        <v>82</v>
      </c>
      <c r="R13" s="51">
        <f>(C9-O5)/(2*O4)</f>
        <v>1895.1965065502184</v>
      </c>
    </row>
    <row r="14" spans="2:20" x14ac:dyDescent="0.25">
      <c r="B14" t="s">
        <v>70</v>
      </c>
      <c r="C14">
        <v>122500</v>
      </c>
      <c r="M14" s="50"/>
      <c r="N14" t="s">
        <v>83</v>
      </c>
      <c r="O14" s="34">
        <f>O5+(O13*O4)</f>
        <v>222.66666666666669</v>
      </c>
      <c r="Q14" t="s">
        <v>83</v>
      </c>
      <c r="R14" s="34">
        <f>O5+(R13*O4)</f>
        <v>222.66666666666669</v>
      </c>
    </row>
    <row r="15" spans="2:20" x14ac:dyDescent="0.25">
      <c r="M15" s="50"/>
    </row>
    <row r="16" spans="2:20" x14ac:dyDescent="0.25">
      <c r="M16" s="50"/>
    </row>
    <row r="17" spans="2:13" x14ac:dyDescent="0.25">
      <c r="M17" s="50"/>
    </row>
    <row r="18" spans="2:13" x14ac:dyDescent="0.25">
      <c r="M18" s="50"/>
    </row>
    <row r="19" spans="2:13" x14ac:dyDescent="0.25">
      <c r="M19" s="50"/>
    </row>
    <row r="20" spans="2:13" x14ac:dyDescent="0.25">
      <c r="M20" s="50"/>
    </row>
    <row r="21" spans="2:13" ht="15.75" thickBot="1" x14ac:dyDescent="0.3">
      <c r="B21" s="129" t="s">
        <v>61</v>
      </c>
      <c r="C21" s="129"/>
      <c r="M21" s="50"/>
    </row>
    <row r="22" spans="2:13" ht="18" x14ac:dyDescent="0.35">
      <c r="B22" s="36"/>
      <c r="C22" s="37" t="s">
        <v>62</v>
      </c>
      <c r="D22" s="37" t="s">
        <v>63</v>
      </c>
      <c r="E22" s="38" t="s">
        <v>64</v>
      </c>
      <c r="G22" s="44" t="s">
        <v>66</v>
      </c>
      <c r="H22" s="49" t="s">
        <v>76</v>
      </c>
      <c r="M22" s="50"/>
    </row>
    <row r="23" spans="2:13" ht="15.75" thickBot="1" x14ac:dyDescent="0.3">
      <c r="B23" s="39" t="s">
        <v>53</v>
      </c>
      <c r="C23" s="35">
        <v>20</v>
      </c>
      <c r="D23" s="35">
        <v>45</v>
      </c>
      <c r="E23" s="73">
        <f>(D23/C23)-1</f>
        <v>1.25</v>
      </c>
      <c r="G23" s="45">
        <f>E24/E23</f>
        <v>-0.55999999999999994</v>
      </c>
      <c r="M23" s="50"/>
    </row>
    <row r="24" spans="2:13" ht="15.75" thickBot="1" x14ac:dyDescent="0.3">
      <c r="B24" s="41" t="s">
        <v>65</v>
      </c>
      <c r="C24" s="42">
        <v>50000</v>
      </c>
      <c r="D24" s="42">
        <v>15000</v>
      </c>
      <c r="E24" s="74">
        <f>(D24/C24)-1</f>
        <v>-0.7</v>
      </c>
      <c r="M24" s="50"/>
    </row>
    <row r="25" spans="2:13" ht="15.75" thickBot="1" x14ac:dyDescent="0.3">
      <c r="M25" s="50"/>
    </row>
    <row r="26" spans="2:13" x14ac:dyDescent="0.25">
      <c r="B26" s="130" t="s">
        <v>67</v>
      </c>
      <c r="C26" s="131"/>
      <c r="E26" s="130" t="s">
        <v>74</v>
      </c>
      <c r="F26" s="132"/>
      <c r="G26" s="131"/>
      <c r="M26" s="50"/>
    </row>
    <row r="27" spans="2:13" ht="15.75" thickBot="1" x14ac:dyDescent="0.3">
      <c r="B27" s="41" t="s">
        <v>68</v>
      </c>
      <c r="C27" s="48">
        <v>8</v>
      </c>
      <c r="E27" s="41" t="s">
        <v>75</v>
      </c>
      <c r="F27" s="120">
        <f>(1/(1+(1/G23)))*C27</f>
        <v>-10.18181818181818</v>
      </c>
      <c r="G27" s="121"/>
      <c r="M27" s="50"/>
    </row>
    <row r="28" spans="2:13" x14ac:dyDescent="0.25">
      <c r="M28" s="50"/>
    </row>
    <row r="29" spans="2:13" x14ac:dyDescent="0.25">
      <c r="M29" s="50"/>
    </row>
    <row r="30" spans="2:13" x14ac:dyDescent="0.25">
      <c r="M30" s="50"/>
    </row>
    <row r="31" spans="2:13" x14ac:dyDescent="0.25">
      <c r="M31" s="50"/>
    </row>
    <row r="32" spans="2:13" x14ac:dyDescent="0.25">
      <c r="M32" s="50"/>
    </row>
    <row r="33" spans="13:13" x14ac:dyDescent="0.25">
      <c r="M33" s="50"/>
    </row>
    <row r="34" spans="13:13" x14ac:dyDescent="0.25">
      <c r="M34" s="50"/>
    </row>
    <row r="35" spans="13:13" x14ac:dyDescent="0.25">
      <c r="M35" s="50"/>
    </row>
    <row r="36" spans="13:13" x14ac:dyDescent="0.25">
      <c r="M36" s="50"/>
    </row>
    <row r="37" spans="13:13" x14ac:dyDescent="0.25">
      <c r="M37" s="50"/>
    </row>
    <row r="38" spans="13:13" x14ac:dyDescent="0.25">
      <c r="M38" s="50"/>
    </row>
    <row r="39" spans="13:13" x14ac:dyDescent="0.25">
      <c r="M39" s="50"/>
    </row>
  </sheetData>
  <mergeCells count="12">
    <mergeCell ref="F27:G27"/>
    <mergeCell ref="B11:C11"/>
    <mergeCell ref="R2:T2"/>
    <mergeCell ref="R3:T3"/>
    <mergeCell ref="B21:C21"/>
    <mergeCell ref="B26:C26"/>
    <mergeCell ref="E26:G26"/>
    <mergeCell ref="B2:C2"/>
    <mergeCell ref="B7:C7"/>
    <mergeCell ref="E7:G7"/>
    <mergeCell ref="F8:G8"/>
    <mergeCell ref="N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A912C-0DD5-45E4-91F7-9B42838098E2}">
  <sheetPr>
    <tabColor theme="7" tint="0.79998168889431442"/>
  </sheetPr>
  <dimension ref="A2:L86"/>
  <sheetViews>
    <sheetView workbookViewId="0">
      <selection activeCell="K27" sqref="K27"/>
    </sheetView>
  </sheetViews>
  <sheetFormatPr defaultRowHeight="15" x14ac:dyDescent="0.25"/>
  <cols>
    <col min="2" max="2" width="21.28515625" customWidth="1"/>
    <col min="3" max="3" width="11.42578125" bestFit="1" customWidth="1"/>
    <col min="4" max="4" width="20.7109375" customWidth="1"/>
    <col min="5" max="5" width="16.5703125" customWidth="1"/>
    <col min="6" max="6" width="17.5703125" customWidth="1"/>
    <col min="7" max="7" width="15.42578125" customWidth="1"/>
    <col min="8" max="8" width="19.5703125" customWidth="1"/>
    <col min="9" max="9" width="13.42578125" customWidth="1"/>
    <col min="10" max="10" width="12.7109375" customWidth="1"/>
    <col min="11" max="12" width="9.28515625" customWidth="1"/>
  </cols>
  <sheetData>
    <row r="2" spans="1:12" ht="15.75" thickBot="1" x14ac:dyDescent="0.3">
      <c r="B2" t="s">
        <v>50</v>
      </c>
      <c r="H2" t="s">
        <v>51</v>
      </c>
    </row>
    <row r="3" spans="1:12" ht="15.75" thickBot="1" x14ac:dyDescent="0.3">
      <c r="B3" s="27" t="s">
        <v>44</v>
      </c>
      <c r="C3" s="28">
        <v>500</v>
      </c>
      <c r="H3" s="133" t="s">
        <v>52</v>
      </c>
      <c r="I3" s="134"/>
      <c r="J3" s="134"/>
      <c r="K3" s="134"/>
      <c r="L3" s="135"/>
    </row>
    <row r="4" spans="1:12" x14ac:dyDescent="0.25">
      <c r="H4" t="s">
        <v>53</v>
      </c>
      <c r="I4">
        <v>229</v>
      </c>
      <c r="K4" t="s">
        <v>37</v>
      </c>
      <c r="L4">
        <f>I4*I5</f>
        <v>400750</v>
      </c>
    </row>
    <row r="5" spans="1:12" x14ac:dyDescent="0.25">
      <c r="B5" s="5" t="s">
        <v>36</v>
      </c>
      <c r="C5" s="5" t="s">
        <v>45</v>
      </c>
      <c r="D5" s="5" t="s">
        <v>35</v>
      </c>
      <c r="H5" t="s">
        <v>54</v>
      </c>
      <c r="I5">
        <v>1750</v>
      </c>
      <c r="K5" t="s">
        <v>58</v>
      </c>
      <c r="L5">
        <f>+I6</f>
        <v>96250</v>
      </c>
    </row>
    <row r="6" spans="1:12" x14ac:dyDescent="0.25">
      <c r="B6" t="s">
        <v>37</v>
      </c>
      <c r="C6" s="15">
        <v>400000</v>
      </c>
      <c r="D6" s="15">
        <f>C6*$C$3</f>
        <v>200000000</v>
      </c>
      <c r="H6" t="s">
        <v>55</v>
      </c>
      <c r="I6">
        <v>96250</v>
      </c>
      <c r="L6">
        <f>+I7</f>
        <v>26250</v>
      </c>
    </row>
    <row r="7" spans="1:12" x14ac:dyDescent="0.25">
      <c r="A7" s="25" t="s">
        <v>42</v>
      </c>
      <c r="B7" t="s">
        <v>38</v>
      </c>
      <c r="C7" s="15">
        <v>100000</v>
      </c>
      <c r="D7" s="15">
        <f t="shared" ref="D7:D8" si="0">C7*$C$3</f>
        <v>50000000</v>
      </c>
      <c r="H7" t="s">
        <v>56</v>
      </c>
      <c r="I7">
        <v>26250</v>
      </c>
      <c r="K7" s="5"/>
      <c r="L7" s="5">
        <f>+I8</f>
        <v>122500</v>
      </c>
    </row>
    <row r="8" spans="1:12" x14ac:dyDescent="0.25">
      <c r="A8" s="25" t="s">
        <v>42</v>
      </c>
      <c r="B8" s="5" t="s">
        <v>39</v>
      </c>
      <c r="C8" s="26">
        <v>150000</v>
      </c>
      <c r="D8" s="26">
        <f t="shared" si="0"/>
        <v>75000000</v>
      </c>
      <c r="H8" t="s">
        <v>57</v>
      </c>
      <c r="I8">
        <v>122500</v>
      </c>
      <c r="K8" t="s">
        <v>59</v>
      </c>
      <c r="L8">
        <f>L4-SUM(L5:L7)</f>
        <v>155750</v>
      </c>
    </row>
    <row r="9" spans="1:12" x14ac:dyDescent="0.25">
      <c r="A9" s="25" t="s">
        <v>43</v>
      </c>
      <c r="B9" t="s">
        <v>40</v>
      </c>
      <c r="C9" s="15">
        <f>C6-SUM(C7:C8)</f>
        <v>150000</v>
      </c>
      <c r="D9" s="30">
        <f>D6-SUM(D7:D8)</f>
        <v>75000000</v>
      </c>
    </row>
    <row r="10" spans="1:12" x14ac:dyDescent="0.25">
      <c r="B10" t="s">
        <v>41</v>
      </c>
      <c r="C10" s="24">
        <f>C9/C6</f>
        <v>0.375</v>
      </c>
      <c r="D10" s="24">
        <f>D9/D6</f>
        <v>0.375</v>
      </c>
      <c r="H10" s="31" t="s">
        <v>60</v>
      </c>
    </row>
    <row r="11" spans="1:12" x14ac:dyDescent="0.25">
      <c r="H11" t="s">
        <v>53</v>
      </c>
      <c r="I11">
        <f>+I4*0.9</f>
        <v>206.1</v>
      </c>
      <c r="K11" t="s">
        <v>37</v>
      </c>
      <c r="L11">
        <f>I11*I12</f>
        <v>468877.5</v>
      </c>
    </row>
    <row r="12" spans="1:12" x14ac:dyDescent="0.25">
      <c r="H12" t="s">
        <v>54</v>
      </c>
      <c r="I12">
        <f>+I5*1.3</f>
        <v>2275</v>
      </c>
      <c r="K12" t="s">
        <v>58</v>
      </c>
      <c r="L12">
        <f>+I13</f>
        <v>96250</v>
      </c>
    </row>
    <row r="13" spans="1:12" ht="15.75" thickBot="1" x14ac:dyDescent="0.3">
      <c r="D13" t="s">
        <v>48</v>
      </c>
      <c r="H13" t="s">
        <v>55</v>
      </c>
      <c r="I13">
        <v>96250</v>
      </c>
      <c r="L13">
        <f>+I14</f>
        <v>26250</v>
      </c>
    </row>
    <row r="14" spans="1:12" ht="15.75" thickBot="1" x14ac:dyDescent="0.3">
      <c r="B14" s="27" t="s">
        <v>47</v>
      </c>
      <c r="C14" s="28">
        <v>1500</v>
      </c>
      <c r="D14" s="24">
        <f>(C14/C3)</f>
        <v>3</v>
      </c>
      <c r="E14" t="s">
        <v>49</v>
      </c>
      <c r="H14" t="s">
        <v>56</v>
      </c>
      <c r="I14">
        <v>26250</v>
      </c>
      <c r="K14" s="5"/>
      <c r="L14" s="5">
        <f>+I15</f>
        <v>122500</v>
      </c>
    </row>
    <row r="15" spans="1:12" x14ac:dyDescent="0.25">
      <c r="H15" t="s">
        <v>57</v>
      </c>
      <c r="I15">
        <v>122500</v>
      </c>
      <c r="K15" t="s">
        <v>59</v>
      </c>
      <c r="L15">
        <f>L11-SUM(L12:L14)</f>
        <v>223877.5</v>
      </c>
    </row>
    <row r="16" spans="1:12" x14ac:dyDescent="0.25">
      <c r="B16" s="29" t="s">
        <v>46</v>
      </c>
      <c r="L16">
        <f>L15/L8</f>
        <v>1.4374157303370787</v>
      </c>
    </row>
    <row r="17" spans="1:5" x14ac:dyDescent="0.25">
      <c r="B17" s="5" t="s">
        <v>36</v>
      </c>
      <c r="C17" s="5" t="s">
        <v>45</v>
      </c>
      <c r="D17" s="5" t="s">
        <v>35</v>
      </c>
    </row>
    <row r="18" spans="1:5" x14ac:dyDescent="0.25">
      <c r="B18" t="s">
        <v>37</v>
      </c>
      <c r="C18" s="15">
        <f>400000*0.75</f>
        <v>300000</v>
      </c>
      <c r="D18" s="15">
        <f>C18*$C$14</f>
        <v>450000000</v>
      </c>
    </row>
    <row r="19" spans="1:5" x14ac:dyDescent="0.25">
      <c r="A19" s="25" t="s">
        <v>42</v>
      </c>
      <c r="B19" t="s">
        <v>38</v>
      </c>
      <c r="C19" s="15">
        <v>100000</v>
      </c>
      <c r="D19" s="15">
        <f t="shared" ref="D19:D20" si="1">C19*$C$14</f>
        <v>150000000</v>
      </c>
    </row>
    <row r="20" spans="1:5" x14ac:dyDescent="0.25">
      <c r="A20" s="25" t="s">
        <v>42</v>
      </c>
      <c r="B20" s="5" t="s">
        <v>39</v>
      </c>
      <c r="C20" s="26">
        <v>150000</v>
      </c>
      <c r="D20" s="26">
        <f t="shared" si="1"/>
        <v>225000000</v>
      </c>
    </row>
    <row r="21" spans="1:5" x14ac:dyDescent="0.25">
      <c r="A21" s="25" t="s">
        <v>43</v>
      </c>
      <c r="B21" t="s">
        <v>40</v>
      </c>
      <c r="C21" s="15">
        <f>C18-SUM(C19:C20)</f>
        <v>50000</v>
      </c>
      <c r="D21" s="30">
        <f>D18-SUM(D19:D20)</f>
        <v>75000000</v>
      </c>
    </row>
    <row r="22" spans="1:5" x14ac:dyDescent="0.25">
      <c r="B22" t="s">
        <v>41</v>
      </c>
      <c r="C22" s="24">
        <f>C21/C18</f>
        <v>0.16666666666666666</v>
      </c>
      <c r="D22" s="24">
        <f>D21/D18</f>
        <v>0.16666666666666666</v>
      </c>
    </row>
    <row r="25" spans="1:5" ht="15.75" thickBot="1" x14ac:dyDescent="0.3">
      <c r="D25" t="s">
        <v>48</v>
      </c>
    </row>
    <row r="26" spans="1:5" ht="15.75" thickBot="1" x14ac:dyDescent="0.3">
      <c r="B26" s="27" t="s">
        <v>47</v>
      </c>
      <c r="C26" s="28">
        <v>300</v>
      </c>
      <c r="D26" s="24">
        <f>(C26/C3)</f>
        <v>0.6</v>
      </c>
      <c r="E26" t="s">
        <v>49</v>
      </c>
    </row>
    <row r="28" spans="1:5" x14ac:dyDescent="0.25">
      <c r="B28" s="29" t="s">
        <v>46</v>
      </c>
    </row>
    <row r="29" spans="1:5" x14ac:dyDescent="0.25">
      <c r="B29" s="5" t="s">
        <v>36</v>
      </c>
      <c r="C29" s="5" t="s">
        <v>45</v>
      </c>
      <c r="D29" s="5" t="s">
        <v>35</v>
      </c>
    </row>
    <row r="30" spans="1:5" x14ac:dyDescent="0.25">
      <c r="B30" t="s">
        <v>37</v>
      </c>
      <c r="C30" s="15">
        <f>400000*1.25</f>
        <v>500000</v>
      </c>
      <c r="D30" s="15">
        <f>C30*$C$26</f>
        <v>150000000</v>
      </c>
    </row>
    <row r="31" spans="1:5" x14ac:dyDescent="0.25">
      <c r="A31" s="25" t="s">
        <v>42</v>
      </c>
      <c r="B31" t="s">
        <v>38</v>
      </c>
      <c r="C31" s="15">
        <v>100000</v>
      </c>
      <c r="D31" s="15">
        <f t="shared" ref="D31:D32" si="2">C31*$C$26</f>
        <v>30000000</v>
      </c>
    </row>
    <row r="32" spans="1:5" x14ac:dyDescent="0.25">
      <c r="A32" s="25" t="s">
        <v>42</v>
      </c>
      <c r="B32" s="5" t="s">
        <v>39</v>
      </c>
      <c r="C32" s="26">
        <v>150000</v>
      </c>
      <c r="D32" s="26">
        <f t="shared" si="2"/>
        <v>45000000</v>
      </c>
    </row>
    <row r="33" spans="1:6" x14ac:dyDescent="0.25">
      <c r="A33" s="25" t="s">
        <v>43</v>
      </c>
      <c r="B33" t="s">
        <v>40</v>
      </c>
      <c r="C33" s="15">
        <f>C30-SUM(C31:C32)</f>
        <v>250000</v>
      </c>
      <c r="D33" s="30">
        <f>D30-SUM(D31:D32)</f>
        <v>75000000</v>
      </c>
    </row>
    <row r="34" spans="1:6" x14ac:dyDescent="0.25">
      <c r="B34" t="s">
        <v>41</v>
      </c>
      <c r="C34" s="24">
        <f>C33/C30</f>
        <v>0.5</v>
      </c>
      <c r="D34" s="24">
        <f>D33/D30</f>
        <v>0.5</v>
      </c>
    </row>
    <row r="40" spans="1:6" x14ac:dyDescent="0.25">
      <c r="B40" s="29" t="s">
        <v>125</v>
      </c>
    </row>
    <row r="42" spans="1:6" x14ac:dyDescent="0.25">
      <c r="B42" t="s">
        <v>126</v>
      </c>
      <c r="C42">
        <v>5</v>
      </c>
    </row>
    <row r="43" spans="1:6" x14ac:dyDescent="0.25">
      <c r="B43" t="s">
        <v>127</v>
      </c>
      <c r="C43">
        <v>3</v>
      </c>
    </row>
    <row r="44" spans="1:6" x14ac:dyDescent="0.25">
      <c r="B44" t="s">
        <v>128</v>
      </c>
      <c r="C44">
        <f>SUM(C42:C43)</f>
        <v>8</v>
      </c>
    </row>
    <row r="47" spans="1:6" x14ac:dyDescent="0.25">
      <c r="B47" t="s">
        <v>53</v>
      </c>
      <c r="C47" t="s">
        <v>65</v>
      </c>
      <c r="D47" t="s">
        <v>37</v>
      </c>
      <c r="E47" t="s">
        <v>129</v>
      </c>
      <c r="F47" t="s">
        <v>59</v>
      </c>
    </row>
    <row r="48" spans="1:6" x14ac:dyDescent="0.25">
      <c r="B48">
        <v>20</v>
      </c>
      <c r="C48">
        <v>50000</v>
      </c>
      <c r="D48">
        <f>B48*C48</f>
        <v>1000000</v>
      </c>
      <c r="E48">
        <f>C48*$C$44</f>
        <v>400000</v>
      </c>
      <c r="F48">
        <f>D48-E48</f>
        <v>600000</v>
      </c>
    </row>
    <row r="49" spans="2:10" x14ac:dyDescent="0.25">
      <c r="B49">
        <v>25</v>
      </c>
      <c r="C49">
        <v>40000</v>
      </c>
      <c r="D49">
        <f t="shared" ref="D49:D53" si="3">B49*C49</f>
        <v>1000000</v>
      </c>
      <c r="E49">
        <f t="shared" ref="E49:E53" si="4">C49*$C$44</f>
        <v>320000</v>
      </c>
      <c r="F49">
        <f t="shared" ref="F49:F53" si="5">D49-E49</f>
        <v>680000</v>
      </c>
    </row>
    <row r="50" spans="2:10" x14ac:dyDescent="0.25">
      <c r="B50">
        <v>30</v>
      </c>
      <c r="C50">
        <v>30000</v>
      </c>
      <c r="D50">
        <f t="shared" si="3"/>
        <v>900000</v>
      </c>
      <c r="E50">
        <f t="shared" si="4"/>
        <v>240000</v>
      </c>
      <c r="F50">
        <f t="shared" si="5"/>
        <v>660000</v>
      </c>
    </row>
    <row r="51" spans="2:10" x14ac:dyDescent="0.25">
      <c r="B51">
        <v>35</v>
      </c>
      <c r="C51">
        <v>28000</v>
      </c>
      <c r="D51">
        <f t="shared" si="3"/>
        <v>980000</v>
      </c>
      <c r="E51">
        <f t="shared" si="4"/>
        <v>224000</v>
      </c>
      <c r="F51" s="75">
        <f t="shared" si="5"/>
        <v>756000</v>
      </c>
    </row>
    <row r="52" spans="2:10" x14ac:dyDescent="0.25">
      <c r="B52">
        <v>40</v>
      </c>
      <c r="C52">
        <v>23000</v>
      </c>
      <c r="D52">
        <f t="shared" si="3"/>
        <v>920000</v>
      </c>
      <c r="E52">
        <f t="shared" si="4"/>
        <v>184000</v>
      </c>
      <c r="F52">
        <f t="shared" si="5"/>
        <v>736000</v>
      </c>
    </row>
    <row r="53" spans="2:10" x14ac:dyDescent="0.25">
      <c r="B53">
        <v>45</v>
      </c>
      <c r="C53">
        <v>15000</v>
      </c>
      <c r="D53">
        <f t="shared" si="3"/>
        <v>675000</v>
      </c>
      <c r="E53">
        <f t="shared" si="4"/>
        <v>120000</v>
      </c>
      <c r="F53" s="17">
        <f t="shared" si="5"/>
        <v>555000</v>
      </c>
      <c r="J53" t="s">
        <v>148</v>
      </c>
    </row>
    <row r="54" spans="2:10" x14ac:dyDescent="0.25">
      <c r="J54" t="s">
        <v>149</v>
      </c>
    </row>
    <row r="56" spans="2:10" x14ac:dyDescent="0.25">
      <c r="B56" s="29" t="s">
        <v>131</v>
      </c>
    </row>
    <row r="57" spans="2:10" x14ac:dyDescent="0.25">
      <c r="B57" t="s">
        <v>132</v>
      </c>
      <c r="C57">
        <v>890</v>
      </c>
    </row>
    <row r="58" spans="2:10" x14ac:dyDescent="0.25">
      <c r="B58" t="s">
        <v>138</v>
      </c>
      <c r="C58" s="33">
        <v>0.9</v>
      </c>
    </row>
    <row r="59" spans="2:10" x14ac:dyDescent="0.25">
      <c r="B59" t="s">
        <v>53</v>
      </c>
      <c r="C59">
        <v>14000</v>
      </c>
    </row>
    <row r="60" spans="2:10" x14ac:dyDescent="0.25">
      <c r="B60" t="s">
        <v>141</v>
      </c>
      <c r="C60">
        <f>+C59-C61</f>
        <v>6000</v>
      </c>
    </row>
    <row r="61" spans="2:10" x14ac:dyDescent="0.25">
      <c r="B61" t="s">
        <v>133</v>
      </c>
      <c r="C61">
        <v>8000</v>
      </c>
    </row>
    <row r="62" spans="2:10" x14ac:dyDescent="0.25">
      <c r="B62" t="s">
        <v>147</v>
      </c>
      <c r="C62">
        <f>C59-C63</f>
        <v>13000</v>
      </c>
    </row>
    <row r="63" spans="2:10" x14ac:dyDescent="0.25">
      <c r="B63" t="s">
        <v>139</v>
      </c>
      <c r="C63">
        <v>1000</v>
      </c>
    </row>
    <row r="65" spans="2:10" x14ac:dyDescent="0.25">
      <c r="B65" t="s">
        <v>134</v>
      </c>
      <c r="C65" t="s">
        <v>135</v>
      </c>
      <c r="D65" t="s">
        <v>59</v>
      </c>
    </row>
    <row r="66" spans="2:10" x14ac:dyDescent="0.25">
      <c r="B66" t="s">
        <v>136</v>
      </c>
      <c r="C66">
        <f>+C57</f>
        <v>890</v>
      </c>
      <c r="D66" s="15">
        <f>C66*C61</f>
        <v>7120000</v>
      </c>
    </row>
    <row r="67" spans="2:10" x14ac:dyDescent="0.25">
      <c r="B67" t="s">
        <v>137</v>
      </c>
      <c r="C67">
        <f>+C68-C66</f>
        <v>110</v>
      </c>
      <c r="D67" s="15">
        <f>C67*C63</f>
        <v>110000</v>
      </c>
    </row>
    <row r="68" spans="2:10" x14ac:dyDescent="0.25">
      <c r="B68" t="s">
        <v>35</v>
      </c>
      <c r="C68">
        <v>1000</v>
      </c>
      <c r="D68" s="15">
        <f>SUM(D66:D67)</f>
        <v>7230000</v>
      </c>
    </row>
    <row r="71" spans="2:10" x14ac:dyDescent="0.25">
      <c r="B71" t="s">
        <v>140</v>
      </c>
      <c r="C71" t="s">
        <v>53</v>
      </c>
      <c r="D71" t="s">
        <v>145</v>
      </c>
      <c r="E71" t="s">
        <v>146</v>
      </c>
      <c r="F71" t="s">
        <v>142</v>
      </c>
      <c r="G71" t="s">
        <v>143</v>
      </c>
      <c r="H71" t="s">
        <v>35</v>
      </c>
      <c r="I71" t="s">
        <v>144</v>
      </c>
      <c r="J71" t="s">
        <v>40</v>
      </c>
    </row>
    <row r="72" spans="2:10" x14ac:dyDescent="0.25">
      <c r="B72" s="33">
        <v>0.35</v>
      </c>
      <c r="C72">
        <f t="shared" ref="C72:C77" si="6">$C$59*(1+B72)</f>
        <v>18900</v>
      </c>
      <c r="D72">
        <f t="shared" ref="D72:D86" si="7">C72-$C$60</f>
        <v>12900</v>
      </c>
      <c r="E72">
        <f t="shared" ref="E72:E78" si="8">C72-$C$62</f>
        <v>5900</v>
      </c>
      <c r="G72" s="15"/>
      <c r="J72" s="2">
        <f>$D$68</f>
        <v>7230000</v>
      </c>
    </row>
    <row r="73" spans="2:10" x14ac:dyDescent="0.25">
      <c r="B73" s="33">
        <v>0.3</v>
      </c>
      <c r="C73">
        <f t="shared" si="6"/>
        <v>18200</v>
      </c>
      <c r="D73">
        <f t="shared" si="7"/>
        <v>12200</v>
      </c>
      <c r="E73">
        <f t="shared" si="8"/>
        <v>5200</v>
      </c>
      <c r="G73" s="15"/>
      <c r="J73" s="2">
        <f t="shared" ref="J73:J86" si="9">$D$68</f>
        <v>7230000</v>
      </c>
    </row>
    <row r="74" spans="2:10" x14ac:dyDescent="0.25">
      <c r="B74" s="33">
        <v>0.25</v>
      </c>
      <c r="C74">
        <f t="shared" si="6"/>
        <v>17500</v>
      </c>
      <c r="D74">
        <f t="shared" si="7"/>
        <v>11500</v>
      </c>
      <c r="E74">
        <f t="shared" si="8"/>
        <v>4500</v>
      </c>
      <c r="G74" s="15"/>
      <c r="J74" s="2">
        <f t="shared" si="9"/>
        <v>7230000</v>
      </c>
    </row>
    <row r="75" spans="2:10" x14ac:dyDescent="0.25">
      <c r="B75" s="33">
        <v>0.2</v>
      </c>
      <c r="C75">
        <f t="shared" si="6"/>
        <v>16800</v>
      </c>
      <c r="D75">
        <f t="shared" si="7"/>
        <v>10800</v>
      </c>
      <c r="E75">
        <f t="shared" si="8"/>
        <v>3800</v>
      </c>
      <c r="G75" s="15"/>
      <c r="J75" s="2">
        <f t="shared" si="9"/>
        <v>7230000</v>
      </c>
    </row>
    <row r="76" spans="2:10" x14ac:dyDescent="0.25">
      <c r="B76" s="33">
        <v>0.15</v>
      </c>
      <c r="C76">
        <f t="shared" si="6"/>
        <v>16099.999999999998</v>
      </c>
      <c r="D76">
        <f t="shared" si="7"/>
        <v>10099.999999999998</v>
      </c>
      <c r="E76">
        <f t="shared" si="8"/>
        <v>3099.9999999999982</v>
      </c>
      <c r="G76" s="15"/>
      <c r="J76" s="2">
        <f t="shared" si="9"/>
        <v>7230000</v>
      </c>
    </row>
    <row r="77" spans="2:10" x14ac:dyDescent="0.25">
      <c r="B77" s="33">
        <v>0.1</v>
      </c>
      <c r="C77">
        <f t="shared" si="6"/>
        <v>15400.000000000002</v>
      </c>
      <c r="D77">
        <f t="shared" si="7"/>
        <v>9400.0000000000018</v>
      </c>
      <c r="E77">
        <f t="shared" si="8"/>
        <v>2400.0000000000018</v>
      </c>
      <c r="G77" s="15"/>
      <c r="J77" s="2">
        <f t="shared" si="9"/>
        <v>7230000</v>
      </c>
    </row>
    <row r="78" spans="2:10" x14ac:dyDescent="0.25">
      <c r="B78" s="33">
        <v>0.05</v>
      </c>
      <c r="C78">
        <f>$C$59*(1+B78)</f>
        <v>14700</v>
      </c>
      <c r="D78">
        <f t="shared" si="7"/>
        <v>8700</v>
      </c>
      <c r="E78">
        <f t="shared" si="8"/>
        <v>1700</v>
      </c>
      <c r="G78" s="15"/>
      <c r="J78" s="2">
        <f t="shared" si="9"/>
        <v>7230000</v>
      </c>
    </row>
    <row r="79" spans="2:10" x14ac:dyDescent="0.25">
      <c r="B79" s="33">
        <v>0</v>
      </c>
      <c r="C79">
        <f>$C$59*(1+B79)</f>
        <v>14000</v>
      </c>
      <c r="D79">
        <f>C79-$C$60</f>
        <v>8000</v>
      </c>
      <c r="E79">
        <f>C79-$C$62</f>
        <v>1000</v>
      </c>
      <c r="F79">
        <f>$C$57</f>
        <v>890</v>
      </c>
      <c r="G79" s="15">
        <f>C67</f>
        <v>110</v>
      </c>
      <c r="H79">
        <v>1000</v>
      </c>
      <c r="I79" s="32">
        <f>(H79/C68)-1</f>
        <v>0</v>
      </c>
      <c r="J79" s="2">
        <f t="shared" si="9"/>
        <v>7230000</v>
      </c>
    </row>
    <row r="80" spans="2:10" x14ac:dyDescent="0.25">
      <c r="B80" s="33">
        <v>-0.05</v>
      </c>
      <c r="C80">
        <f t="shared" ref="C80:C86" si="10">$C$59*(1+B80)</f>
        <v>13300</v>
      </c>
      <c r="D80">
        <f t="shared" si="7"/>
        <v>7300</v>
      </c>
      <c r="E80">
        <f t="shared" ref="E80" si="11">C80-$C$62</f>
        <v>300</v>
      </c>
      <c r="F80">
        <f t="shared" ref="F80:F86" si="12">$C$57</f>
        <v>890</v>
      </c>
      <c r="G80" s="15">
        <f>(J80-(D80*F80))/E80</f>
        <v>2443.3333333333335</v>
      </c>
      <c r="J80" s="2">
        <f t="shared" si="9"/>
        <v>7230000</v>
      </c>
    </row>
    <row r="81" spans="2:10" x14ac:dyDescent="0.25">
      <c r="B81" s="33">
        <v>-0.1</v>
      </c>
      <c r="C81">
        <f t="shared" si="10"/>
        <v>12600</v>
      </c>
      <c r="D81">
        <f t="shared" si="7"/>
        <v>6600</v>
      </c>
      <c r="F81">
        <f t="shared" si="12"/>
        <v>890</v>
      </c>
      <c r="G81" s="15"/>
      <c r="J81" s="2">
        <f t="shared" si="9"/>
        <v>7230000</v>
      </c>
    </row>
    <row r="82" spans="2:10" x14ac:dyDescent="0.25">
      <c r="B82" s="33">
        <v>-0.15</v>
      </c>
      <c r="C82">
        <f t="shared" si="10"/>
        <v>11900</v>
      </c>
      <c r="D82">
        <f t="shared" si="7"/>
        <v>5900</v>
      </c>
      <c r="F82">
        <f t="shared" si="12"/>
        <v>890</v>
      </c>
      <c r="G82" s="15"/>
      <c r="J82" s="2">
        <f t="shared" si="9"/>
        <v>7230000</v>
      </c>
    </row>
    <row r="83" spans="2:10" x14ac:dyDescent="0.25">
      <c r="B83" s="33">
        <v>-0.20000000000000101</v>
      </c>
      <c r="C83">
        <f t="shared" si="10"/>
        <v>11199.999999999985</v>
      </c>
      <c r="D83">
        <f t="shared" si="7"/>
        <v>5199.9999999999854</v>
      </c>
      <c r="F83">
        <f t="shared" si="12"/>
        <v>890</v>
      </c>
      <c r="G83" s="15"/>
      <c r="J83" s="2">
        <f t="shared" si="9"/>
        <v>7230000</v>
      </c>
    </row>
    <row r="84" spans="2:10" x14ac:dyDescent="0.25">
      <c r="B84" s="33">
        <v>-0.250000000000001</v>
      </c>
      <c r="C84">
        <f t="shared" si="10"/>
        <v>10499.999999999985</v>
      </c>
      <c r="D84">
        <f t="shared" si="7"/>
        <v>4499.9999999999854</v>
      </c>
      <c r="F84">
        <f t="shared" si="12"/>
        <v>890</v>
      </c>
      <c r="G84" s="15"/>
      <c r="J84" s="2">
        <f t="shared" si="9"/>
        <v>7230000</v>
      </c>
    </row>
    <row r="85" spans="2:10" x14ac:dyDescent="0.25">
      <c r="B85" s="33">
        <v>-0.30000000000000099</v>
      </c>
      <c r="C85">
        <f t="shared" si="10"/>
        <v>9799.9999999999873</v>
      </c>
      <c r="D85">
        <f t="shared" si="7"/>
        <v>3799.9999999999873</v>
      </c>
      <c r="F85">
        <f t="shared" si="12"/>
        <v>890</v>
      </c>
      <c r="G85" s="15"/>
      <c r="J85" s="2">
        <f t="shared" si="9"/>
        <v>7230000</v>
      </c>
    </row>
    <row r="86" spans="2:10" x14ac:dyDescent="0.25">
      <c r="B86" s="33">
        <v>-0.35000000000000098</v>
      </c>
      <c r="C86">
        <f t="shared" si="10"/>
        <v>9099.9999999999854</v>
      </c>
      <c r="D86">
        <f t="shared" si="7"/>
        <v>3099.9999999999854</v>
      </c>
      <c r="F86">
        <f t="shared" si="12"/>
        <v>890</v>
      </c>
      <c r="G86" s="15"/>
      <c r="J86" s="2">
        <f t="shared" si="9"/>
        <v>7230000</v>
      </c>
    </row>
  </sheetData>
  <mergeCells count="1"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Capital Cost Exam</vt:lpstr>
      <vt:lpstr>Capital Cost</vt:lpstr>
      <vt:lpstr>Accounting Adjustment (CapCost)</vt:lpstr>
      <vt:lpstr>Lorentz Curve</vt:lpstr>
      <vt:lpstr>Lorentz Example</vt:lpstr>
      <vt:lpstr>Stobachoff Curve</vt:lpstr>
      <vt:lpstr>Stobachoff Example</vt:lpstr>
      <vt:lpstr>Price Level</vt:lpstr>
      <vt:lpstr>Price Level (Notes)</vt:lpstr>
      <vt:lpstr>Breakeven-analysis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cp:lastPrinted>2022-12-05T11:38:25Z</cp:lastPrinted>
  <dcterms:created xsi:type="dcterms:W3CDTF">2015-06-05T18:17:20Z</dcterms:created>
  <dcterms:modified xsi:type="dcterms:W3CDTF">2023-05-25T09:12:31Z</dcterms:modified>
</cp:coreProperties>
</file>