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 Economics" sheetId="1" r:id="rId3"/>
    <sheet state="hidden" name="Constants" sheetId="2" r:id="rId4"/>
  </sheets>
  <definedNames/>
  <calcPr/>
</workbook>
</file>

<file path=xl/sharedStrings.xml><?xml version="1.0" encoding="utf-8"?>
<sst xmlns="http://schemas.openxmlformats.org/spreadsheetml/2006/main" count="124" uniqueCount="89">
  <si>
    <t>Constants</t>
  </si>
  <si>
    <t>LANDED INVESTMENT DETAILS</t>
  </si>
  <si>
    <t>Investment Share %</t>
  </si>
  <si>
    <t>**The financials below are illustrative only.</t>
  </si>
  <si>
    <t>Assumptions</t>
  </si>
  <si>
    <t>Landed Brokerage Fee</t>
  </si>
  <si>
    <t>Insurance</t>
  </si>
  <si>
    <t>Comments</t>
  </si>
  <si>
    <t>Home Purchase Price</t>
  </si>
  <si>
    <t>equal to Zillow sale price</t>
  </si>
  <si>
    <t>Rent Price</t>
  </si>
  <si>
    <t>Property Tax</t>
  </si>
  <si>
    <t>Property Mgmt Fee</t>
  </si>
  <si>
    <t>Depreciation Years</t>
  </si>
  <si>
    <t>ESCROW fee</t>
  </si>
  <si>
    <t>equal to 0.5% of sale price</t>
  </si>
  <si>
    <t>Would love to show something like this above the two ownership options</t>
  </si>
  <si>
    <t>Personal Tax Rate</t>
  </si>
  <si>
    <t>Transfer Tax</t>
  </si>
  <si>
    <t>Other Cash Closing</t>
  </si>
  <si>
    <t>This is fixed</t>
  </si>
  <si>
    <t>Annual Home Value Increase</t>
  </si>
  <si>
    <t>Have this on slider</t>
  </si>
  <si>
    <t>Cash</t>
  </si>
  <si>
    <t>Debt</t>
  </si>
  <si>
    <t>Land Allocation</t>
  </si>
  <si>
    <t>Max Property Tax Increase</t>
  </si>
  <si>
    <t>Co-Owners</t>
  </si>
  <si>
    <t>Annual Rent Increase</t>
  </si>
  <si>
    <t>This is fixed = above</t>
  </si>
  <si>
    <t>Percent of Investment Paid w/ Debt</t>
  </si>
  <si>
    <t>Personal Debt Rate</t>
  </si>
  <si>
    <t>Desired Initial Ownership</t>
  </si>
  <si>
    <t>Have this on slider (between 4-50%), increments of 4+3*i</t>
  </si>
  <si>
    <t>Years until move out</t>
  </si>
  <si>
    <t>Have this on slider (between 2 - 10)</t>
  </si>
  <si>
    <t>Opportunity cost return</t>
  </si>
  <si>
    <t>Regular Transaction Cost on Sale</t>
  </si>
  <si>
    <t>Landed Transaction Cost on Sale</t>
  </si>
  <si>
    <t>Total closing costs + initial repairs</t>
  </si>
  <si>
    <t>Mortgage Insurance</t>
  </si>
  <si>
    <t>Home Repairs annual %</t>
  </si>
  <si>
    <t>Property Tax annual %</t>
  </si>
  <si>
    <t>Insurance annual %</t>
  </si>
  <si>
    <t>Maximum property tax increase (prop 8)</t>
  </si>
  <si>
    <t>Inflation</t>
  </si>
  <si>
    <t>Landed Fee</t>
  </si>
  <si>
    <t>Renting</t>
  </si>
  <si>
    <t>Co-Owning</t>
  </si>
  <si>
    <t>Owning</t>
  </si>
  <si>
    <t>Total Money Up Front</t>
  </si>
  <si>
    <t>Total On-Going Spending</t>
  </si>
  <si>
    <t>Investing the excess money in rental property</t>
  </si>
  <si>
    <t>Gain on Sale</t>
  </si>
  <si>
    <t>Total Cost</t>
  </si>
  <si>
    <t>Total Cost / Year</t>
  </si>
  <si>
    <t>Control of Space</t>
  </si>
  <si>
    <t>None</t>
  </si>
  <si>
    <t>Full*</t>
  </si>
  <si>
    <t>Full</t>
  </si>
  <si>
    <t>Risk</t>
  </si>
  <si>
    <t>Low</t>
  </si>
  <si>
    <t>Extremely High</t>
  </si>
  <si>
    <t>*we could have risk be a function of leverage:  &lt;10% extremely high, 10-20% high, 20%-50% medium, &lt;50% low, &lt;20%, near zero</t>
  </si>
  <si>
    <t>Gain in a 20% downturn before sale</t>
  </si>
  <si>
    <t>New Total Cost / Yr</t>
  </si>
  <si>
    <t>I think you're going to have to create these arrays, no way around it</t>
  </si>
  <si>
    <t>End of Year</t>
  </si>
  <si>
    <t>Annual Renting Cost</t>
  </si>
  <si>
    <t>Total Investment</t>
  </si>
  <si>
    <t>Gain if expenses invested elsewhere</t>
  </si>
  <si>
    <t>Total Opportunity Cost</t>
  </si>
  <si>
    <t>Home Value</t>
  </si>
  <si>
    <t>Equity</t>
  </si>
  <si>
    <t>Loan LTV</t>
  </si>
  <si>
    <t>Mortgage Payment</t>
  </si>
  <si>
    <t>Home Insurance</t>
  </si>
  <si>
    <t>Home Repair / Maintenance</t>
  </si>
  <si>
    <t>Mortgage Tax Deduction</t>
  </si>
  <si>
    <t>Total Expenses</t>
  </si>
  <si>
    <t>Transaction Cost on Sale</t>
  </si>
  <si>
    <t>Ownership Value</t>
  </si>
  <si>
    <t>Mortgage Payments</t>
  </si>
  <si>
    <t>Expenses to Landed</t>
  </si>
  <si>
    <t>Total Ownership Expenses</t>
  </si>
  <si>
    <t>Rent to Co-Owners</t>
  </si>
  <si>
    <t>------</t>
  </si>
  <si>
    <t>Rate of Return for Co-Owning</t>
  </si>
  <si>
    <t>IRR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</si>
</sst>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0.0%"/>
  </numFmts>
  <fonts count="12">
    <font>
      <sz val="10.0"/>
      <color rgb="FF000000"/>
      <name val="Arial"/>
    </font>
    <font>
      <b/>
      <u/>
      <sz val="11.0"/>
    </font>
    <font>
      <sz val="20.0"/>
      <name val="Arial"/>
    </font>
    <font>
      <sz val="11.0"/>
    </font>
    <font/>
    <font>
      <b/>
      <u/>
    </font>
    <font>
      <sz val="10.0"/>
    </font>
    <font>
      <color rgb="FFFF0000"/>
    </font>
    <font>
      <color rgb="FF000000"/>
    </font>
    <font>
      <b/>
    </font>
    <font>
      <b/>
      <u/>
    </font>
    <font>
      <b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9" xfId="0" applyAlignment="1" applyFont="1" applyNumberForma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4" numFmtId="164" xfId="0" applyAlignment="1" applyFont="1" applyNumberFormat="1">
      <alignment/>
    </xf>
    <xf borderId="0" fillId="0" fontId="7" numFmtId="0" xfId="0" applyAlignment="1" applyFont="1">
      <alignment/>
    </xf>
    <xf borderId="0" fillId="0" fontId="3" numFmtId="10" xfId="0" applyAlignment="1" applyFont="1" applyNumberFormat="1">
      <alignment/>
    </xf>
    <xf borderId="0" fillId="0" fontId="3" numFmtId="165" xfId="0" applyAlignment="1" applyFont="1" applyNumberFormat="1">
      <alignment/>
    </xf>
    <xf borderId="0" fillId="0" fontId="4" numFmtId="10" xfId="0" applyAlignment="1" applyFont="1" applyNumberFormat="1">
      <alignment/>
    </xf>
    <xf borderId="0" fillId="2" fontId="3" numFmtId="9" xfId="0" applyAlignment="1" applyFill="1" applyFont="1" applyNumberFormat="1">
      <alignment/>
    </xf>
    <xf borderId="0" fillId="3" fontId="4" numFmtId="166" xfId="0" applyAlignment="1" applyFill="1" applyFont="1" applyNumberFormat="1">
      <alignment/>
    </xf>
    <xf borderId="0" fillId="4" fontId="4" numFmtId="0" xfId="0" applyAlignment="1" applyFill="1" applyFont="1">
      <alignment horizontal="center"/>
    </xf>
    <xf borderId="0" fillId="0" fontId="4" numFmtId="165" xfId="0" applyAlignment="1" applyFont="1" applyNumberFormat="1">
      <alignment/>
    </xf>
    <xf borderId="0" fillId="3" fontId="4" numFmtId="0" xfId="0" applyAlignment="1" applyFont="1">
      <alignment horizontal="center"/>
    </xf>
    <xf borderId="0" fillId="0" fontId="4" numFmtId="9" xfId="0" applyAlignment="1" applyFont="1" applyNumberFormat="1">
      <alignment/>
    </xf>
    <xf borderId="0" fillId="2" fontId="4" numFmtId="0" xfId="0" applyAlignment="1" applyFont="1">
      <alignment horizontal="center"/>
    </xf>
    <xf borderId="0" fillId="2" fontId="4" numFmtId="166" xfId="0" applyAlignment="1" applyFont="1" applyNumberFormat="1">
      <alignment/>
    </xf>
    <xf borderId="0" fillId="3" fontId="4" numFmtId="9" xfId="0" applyAlignment="1" applyFont="1" applyNumberFormat="1">
      <alignment/>
    </xf>
    <xf borderId="0" fillId="0" fontId="8" numFmtId="0" xfId="0" applyAlignment="1" applyFont="1">
      <alignment/>
    </xf>
    <xf borderId="0" fillId="3" fontId="4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9" numFmtId="10" xfId="0" applyAlignment="1" applyFont="1" applyNumberFormat="1">
      <alignment horizontal="center"/>
    </xf>
    <xf borderId="0" fillId="0" fontId="9" numFmtId="9" xfId="0" applyAlignment="1" applyFont="1" applyNumberForma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/>
    </xf>
    <xf borderId="0" fillId="0" fontId="9" numFmtId="164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4" numFmtId="165" xfId="0" applyFont="1" applyNumberFormat="1"/>
    <xf borderId="0" fillId="0" fontId="9" numFmtId="0" xfId="0" applyAlignment="1" applyFont="1">
      <alignment/>
    </xf>
    <xf borderId="0" fillId="0" fontId="9" numFmtId="0" xfId="0" applyFont="1"/>
    <xf borderId="0" fillId="0" fontId="9" numFmtId="165" xfId="0" applyFont="1" applyNumberFormat="1"/>
    <xf borderId="0" fillId="0" fontId="4" numFmtId="164" xfId="0" applyFont="1" applyNumberFormat="1"/>
    <xf borderId="0" fillId="5" fontId="6" numFmtId="164" xfId="0" applyFill="1" applyFont="1" applyNumberFormat="1"/>
    <xf borderId="0" fillId="0" fontId="6" numFmtId="164" xfId="0" applyAlignment="1" applyFont="1" applyNumberFormat="1">
      <alignment horizontal="right"/>
    </xf>
    <xf borderId="0" fillId="0" fontId="4" numFmtId="10" xfId="0" applyFont="1" applyNumberFormat="1"/>
    <xf borderId="0" fillId="0" fontId="4" numFmtId="165" xfId="0" applyFont="1" applyNumberFormat="1"/>
    <xf borderId="0" fillId="0" fontId="9" numFmtId="165" xfId="0" applyFont="1" applyNumberFormat="1"/>
    <xf borderId="0" fillId="0" fontId="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1028700</xdr:colOff>
      <xdr:row>4</xdr:row>
      <xdr:rowOff>152400</xdr:rowOff>
    </xdr:from>
    <xdr:to>
      <xdr:col>4</xdr:col>
      <xdr:colOff>257175</xdr:colOff>
      <xdr:row>11</xdr:row>
      <xdr:rowOff>133350</xdr:rowOff>
    </xdr:to>
    <xdr:sp>
      <xdr:nvSpPr>
        <xdr:cNvPr id="2" name="Shape 2"/>
        <xdr:cNvSpPr/>
      </xdr:nvSpPr>
      <xdr:spPr>
        <a:xfrm rot="5400000">
          <a:off x="2990850" y="3036349"/>
          <a:ext cx="2304899" cy="257099"/>
        </a:xfrm>
        <a:prstGeom prst="triangle">
          <a:avLst>
            <a:gd fmla="val 50000" name="adj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3"/>
    </row>
    <row r="3">
      <c r="A3" s="4" t="s">
        <v>2</v>
      </c>
      <c r="B3" s="3">
        <v>0.03</v>
      </c>
    </row>
    <row r="4">
      <c r="A4" s="4" t="s">
        <v>5</v>
      </c>
      <c r="B4" s="3">
        <v>0.02</v>
      </c>
    </row>
    <row r="5">
      <c r="A5" s="4" t="s">
        <v>6</v>
      </c>
      <c r="B5" s="10" t="str">
        <f>0.35%*1.25</f>
        <v>0.44%</v>
      </c>
    </row>
    <row r="6">
      <c r="A6" s="4" t="s">
        <v>11</v>
      </c>
      <c r="B6" s="10">
        <v>0.011</v>
      </c>
    </row>
    <row r="7">
      <c r="A7" s="4" t="s">
        <v>12</v>
      </c>
      <c r="B7" s="10">
        <v>0.0165</v>
      </c>
    </row>
    <row r="8">
      <c r="A8" s="5" t="s">
        <v>13</v>
      </c>
      <c r="B8" s="5">
        <v>27.5</v>
      </c>
    </row>
    <row r="9">
      <c r="A9" s="5" t="s">
        <v>14</v>
      </c>
      <c r="B9" s="12">
        <v>0.001</v>
      </c>
    </row>
    <row r="10">
      <c r="A10" s="5" t="s">
        <v>18</v>
      </c>
      <c r="B10" s="12">
        <v>0.003</v>
      </c>
    </row>
    <row r="11">
      <c r="A11" s="5" t="s">
        <v>19</v>
      </c>
      <c r="B11" s="16">
        <v>8000.0</v>
      </c>
    </row>
    <row r="12">
      <c r="A12" s="5" t="s">
        <v>25</v>
      </c>
      <c r="B12" s="18">
        <v>0.2</v>
      </c>
    </row>
    <row r="13">
      <c r="A13" s="5" t="s">
        <v>26</v>
      </c>
      <c r="B13" s="18">
        <v>0.02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86"/>
    <col customWidth="1" min="4" max="4" width="15.71"/>
    <col customWidth="1" min="9" max="9" width="16.43"/>
    <col customWidth="1" min="15" max="15" width="16.14"/>
  </cols>
  <sheetData>
    <row r="1">
      <c r="A1" s="2" t="s">
        <v>1</v>
      </c>
      <c r="B1" s="4"/>
    </row>
    <row r="2">
      <c r="A2" s="5" t="s">
        <v>3</v>
      </c>
    </row>
    <row r="5">
      <c r="B5" s="6" t="s">
        <v>4</v>
      </c>
      <c r="C5" s="6" t="s">
        <v>7</v>
      </c>
    </row>
    <row r="6">
      <c r="A6" s="7" t="s">
        <v>8</v>
      </c>
      <c r="B6" s="8">
        <v>700000.0</v>
      </c>
      <c r="C6" s="9" t="s">
        <v>9</v>
      </c>
    </row>
    <row r="7">
      <c r="A7" s="7" t="s">
        <v>10</v>
      </c>
      <c r="B7" s="11" t="str">
        <f>B6*0.005</f>
        <v>$3,500.00</v>
      </c>
      <c r="C7" s="9" t="s">
        <v>15</v>
      </c>
      <c r="G7" s="9" t="s">
        <v>16</v>
      </c>
    </row>
    <row r="8">
      <c r="A8" s="7" t="s">
        <v>17</v>
      </c>
      <c r="B8" s="13">
        <v>0.33</v>
      </c>
      <c r="C8" s="9" t="s">
        <v>20</v>
      </c>
      <c r="D8" s="5"/>
    </row>
    <row r="9">
      <c r="A9" s="5" t="s">
        <v>21</v>
      </c>
      <c r="B9" s="14">
        <v>0.02</v>
      </c>
      <c r="C9" s="9" t="s">
        <v>22</v>
      </c>
      <c r="F9" s="15" t="s">
        <v>23</v>
      </c>
      <c r="G9" s="17" t="s">
        <v>24</v>
      </c>
      <c r="H9" s="19" t="s">
        <v>27</v>
      </c>
    </row>
    <row r="10">
      <c r="A10" s="5" t="s">
        <v>28</v>
      </c>
      <c r="B10" s="20" t="str">
        <f>B9</f>
        <v>2.0%</v>
      </c>
      <c r="C10" s="9" t="s">
        <v>29</v>
      </c>
    </row>
    <row r="11">
      <c r="A11" s="5" t="s">
        <v>30</v>
      </c>
      <c r="B11" s="21">
        <v>0.8</v>
      </c>
      <c r="C11" s="9" t="s">
        <v>22</v>
      </c>
    </row>
    <row r="12">
      <c r="A12" s="5" t="s">
        <v>31</v>
      </c>
      <c r="B12" s="20">
        <v>0.036</v>
      </c>
      <c r="C12" s="9" t="s">
        <v>20</v>
      </c>
    </row>
    <row r="13">
      <c r="A13" s="5" t="s">
        <v>32</v>
      </c>
      <c r="B13" s="21">
        <v>0.2</v>
      </c>
      <c r="C13" s="9" t="s">
        <v>33</v>
      </c>
    </row>
    <row r="14">
      <c r="A14" s="22" t="s">
        <v>34</v>
      </c>
      <c r="B14" s="23">
        <v>7.0</v>
      </c>
      <c r="C14" s="9" t="s">
        <v>35</v>
      </c>
      <c r="D14" s="24"/>
      <c r="E14" s="24"/>
      <c r="F14" s="24"/>
      <c r="G14" s="24"/>
      <c r="H14" s="24"/>
      <c r="I14" s="24"/>
      <c r="J14" s="24"/>
      <c r="K14" s="24"/>
      <c r="L14" s="24"/>
    </row>
    <row r="15">
      <c r="A15" s="9" t="s">
        <v>36</v>
      </c>
      <c r="B15" s="25" t="str">
        <f t="array" ref="B15">index(M99:M108,B14)</f>
        <v>5.28%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>
      <c r="A16" s="9" t="s">
        <v>37</v>
      </c>
      <c r="B16" s="26">
        <v>0.07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>
      <c r="A17" s="9" t="s">
        <v>38</v>
      </c>
      <c r="B17" s="25">
        <v>0.02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>
      <c r="A18" s="9" t="s">
        <v>39</v>
      </c>
      <c r="B18" s="25">
        <v>0.0375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>
      <c r="A19" s="9" t="s">
        <v>40</v>
      </c>
      <c r="B19" s="26">
        <v>0.01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>
      <c r="A20" s="9" t="s">
        <v>41</v>
      </c>
      <c r="B20" s="25">
        <v>0.01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>
      <c r="A21" s="9" t="s">
        <v>42</v>
      </c>
      <c r="B21" s="25">
        <v>0.011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>
      <c r="A22" s="9" t="s">
        <v>43</v>
      </c>
      <c r="B22" s="25">
        <v>0.0044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>
      <c r="A23" s="9" t="s">
        <v>44</v>
      </c>
      <c r="B23" s="26">
        <v>0.02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>
      <c r="A24" s="9" t="s">
        <v>45</v>
      </c>
      <c r="B24" s="25">
        <v>0.02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>
      <c r="A25" s="9" t="s">
        <v>46</v>
      </c>
      <c r="B25" s="25">
        <v>0.0165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>
      <c r="A26" s="9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>
      <c r="A27" s="9"/>
      <c r="B27" s="27" t="s">
        <v>47</v>
      </c>
      <c r="C27" s="27" t="s">
        <v>48</v>
      </c>
      <c r="D27" s="27" t="s">
        <v>49</v>
      </c>
      <c r="E27" s="24"/>
      <c r="F27" s="24"/>
      <c r="G27" s="24"/>
      <c r="H27" s="24"/>
      <c r="I27" s="24"/>
      <c r="J27" s="24"/>
      <c r="K27" s="24"/>
      <c r="L27" s="24"/>
    </row>
    <row r="28">
      <c r="A28" s="28" t="s">
        <v>50</v>
      </c>
      <c r="B28" s="29" t="str">
        <f>-B7*2</f>
        <v>-$7,000</v>
      </c>
      <c r="C28" s="29" t="str">
        <f>-B6*B13*(1-B11)</f>
        <v>-$28,000</v>
      </c>
      <c r="D28" s="29" t="str">
        <f>-B6*(1-$B$11)</f>
        <v>-$140,000</v>
      </c>
      <c r="E28" s="24"/>
      <c r="F28" s="24"/>
      <c r="G28" s="24"/>
      <c r="H28" s="24"/>
      <c r="I28" s="24"/>
      <c r="J28" s="24"/>
      <c r="K28" s="24"/>
      <c r="L28" s="24"/>
    </row>
    <row r="29">
      <c r="A29" s="28" t="s">
        <v>51</v>
      </c>
      <c r="B29" s="29" t="str">
        <f t="array" ref="B29">index(C45:L45,,$B$14)</f>
        <v>-$291,103</v>
      </c>
      <c r="C29" s="30" t="str">
        <f t="array" ref="C29">index(C88:L88,,B14)</f>
        <v>-$292,499</v>
      </c>
      <c r="D29" s="29" t="str">
        <f t="array" ref="D29">index(C65:L65,,B14)</f>
        <v>-$287,591</v>
      </c>
      <c r="E29" s="24"/>
      <c r="F29" s="24"/>
      <c r="G29" s="24"/>
      <c r="H29" s="24"/>
      <c r="I29" s="24"/>
      <c r="J29" s="24"/>
      <c r="K29" s="24"/>
      <c r="L29" s="24"/>
    </row>
    <row r="30">
      <c r="A30" s="28" t="s">
        <v>52</v>
      </c>
      <c r="B30" s="29" t="str">
        <f t="array" ref="B30">index(C49:L49,,$B$14)-index(C69:L69,,B14)</f>
        <v>$67,887</v>
      </c>
      <c r="C30" s="29" t="str">
        <f t="array" ref="C30">index(C92:L92,,B14)-index(C69:L69,,B14)</f>
        <v>$56,732</v>
      </c>
      <c r="D30" s="29">
        <v>0.0</v>
      </c>
      <c r="E30" s="24"/>
      <c r="F30" s="24"/>
      <c r="G30" s="24"/>
      <c r="H30" s="24"/>
      <c r="I30" s="24"/>
      <c r="J30" s="24"/>
      <c r="K30" s="24"/>
      <c r="L30" s="24"/>
    </row>
    <row r="31">
      <c r="A31" s="28" t="s">
        <v>53</v>
      </c>
      <c r="B31" s="29" t="str">
        <f>-B28</f>
        <v>$7,000</v>
      </c>
      <c r="C31" s="29" t="str">
        <f t="array" ref="C31">index(C95:L95,,B14)</f>
        <v>$41,950</v>
      </c>
      <c r="D31" s="29" t="str">
        <f t="array" ref="D31">index(C72:L72,B14)</f>
        <v>$174,402</v>
      </c>
      <c r="E31" s="24"/>
      <c r="F31" s="24"/>
      <c r="G31" s="24"/>
      <c r="H31" s="24"/>
      <c r="I31" s="24"/>
      <c r="J31" s="24"/>
      <c r="K31" s="24"/>
      <c r="L31" s="24"/>
    </row>
    <row r="32">
      <c r="A32" s="28" t="s">
        <v>54</v>
      </c>
      <c r="B32" s="29" t="str">
        <f t="shared" ref="B32:D32" si="1">sum(B28:B31)</f>
        <v>-$223,217</v>
      </c>
      <c r="C32" s="29" t="str">
        <f t="shared" si="1"/>
        <v>-$221,817</v>
      </c>
      <c r="D32" s="29" t="str">
        <f t="shared" si="1"/>
        <v>-$253,188</v>
      </c>
      <c r="E32" s="24"/>
      <c r="F32" s="24"/>
      <c r="G32" s="24"/>
      <c r="H32" s="24"/>
      <c r="I32" s="24"/>
      <c r="J32" s="24"/>
      <c r="K32" s="24"/>
      <c r="L32" s="24"/>
    </row>
    <row r="33">
      <c r="A33" s="28" t="s">
        <v>55</v>
      </c>
      <c r="B33" s="29" t="str">
        <f>B32/$B$14</f>
        <v>-$31,888</v>
      </c>
      <c r="C33" s="29" t="str">
        <f>C32/B14</f>
        <v>-$31,688</v>
      </c>
      <c r="D33" s="29" t="str">
        <f>D32/B14</f>
        <v>-$36,170</v>
      </c>
      <c r="E33" s="24"/>
      <c r="F33" s="24"/>
      <c r="G33" s="24"/>
      <c r="H33" s="24"/>
      <c r="I33" s="24"/>
      <c r="J33" s="24"/>
      <c r="K33" s="24"/>
      <c r="L33" s="24"/>
    </row>
    <row r="34">
      <c r="A34" s="9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>
      <c r="A35" s="28" t="s">
        <v>56</v>
      </c>
      <c r="B35" s="24" t="s">
        <v>57</v>
      </c>
      <c r="C35" s="24" t="s">
        <v>58</v>
      </c>
      <c r="D35" s="24" t="s">
        <v>59</v>
      </c>
      <c r="E35" s="24"/>
      <c r="F35" s="24"/>
      <c r="G35" s="24"/>
      <c r="H35" s="24"/>
      <c r="I35" s="24"/>
      <c r="J35" s="24"/>
      <c r="K35" s="24"/>
      <c r="L35" s="24"/>
    </row>
    <row r="36">
      <c r="A36" s="28" t="s">
        <v>60</v>
      </c>
      <c r="B36" s="24" t="s">
        <v>61</v>
      </c>
      <c r="C36" s="24" t="s">
        <v>61</v>
      </c>
      <c r="D36" s="24" t="s">
        <v>62</v>
      </c>
      <c r="E36" s="31" t="s">
        <v>63</v>
      </c>
      <c r="F36" s="24"/>
      <c r="G36" s="24"/>
      <c r="H36" s="24"/>
      <c r="I36" s="24"/>
      <c r="J36" s="24"/>
      <c r="K36" s="24"/>
      <c r="L36" s="24"/>
    </row>
    <row r="37">
      <c r="A37" s="28" t="s">
        <v>64</v>
      </c>
      <c r="B37" s="29" t="str">
        <f>B31</f>
        <v>$7,000</v>
      </c>
      <c r="C37" s="29" t="str">
        <f t="array" ref="C37">index(C76:L76,,B14)*0.8*(1-B17)-index(C77:L77)</f>
        <v>$2,048</v>
      </c>
      <c r="D37" s="29" t="str">
        <f t="array" ref="D37">index(C52:L52,,B14)*0.8*(1-$B$16)-index(C53:L53,,B14)</f>
        <v>$42,907</v>
      </c>
      <c r="E37" s="31"/>
      <c r="F37" s="24"/>
      <c r="G37" s="24"/>
      <c r="H37" s="24"/>
      <c r="I37" s="24"/>
      <c r="J37" s="24"/>
      <c r="K37" s="24"/>
      <c r="L37" s="24"/>
    </row>
    <row r="38">
      <c r="A38" s="28" t="s">
        <v>65</v>
      </c>
      <c r="B38" s="29" t="str">
        <f t="shared" ref="B38:D38" si="2">(sum(B28:B30)+B37)/$B$14</f>
        <v>-$31,888</v>
      </c>
      <c r="C38" s="29" t="str">
        <f t="shared" si="2"/>
        <v>-$37,389</v>
      </c>
      <c r="D38" s="29" t="str">
        <f t="shared" si="2"/>
        <v>-$54,955</v>
      </c>
      <c r="E38" s="24"/>
      <c r="F38" s="24"/>
      <c r="G38" s="24"/>
      <c r="H38" s="24"/>
      <c r="I38" s="24"/>
      <c r="J38" s="24"/>
      <c r="K38" s="24"/>
      <c r="L38" s="24"/>
    </row>
    <row r="39">
      <c r="A39" s="9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>
      <c r="A40" s="9" t="s">
        <v>66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>
      <c r="A41" s="5"/>
      <c r="C41" s="24" t="s">
        <v>67</v>
      </c>
      <c r="D41" s="24" t="s">
        <v>67</v>
      </c>
      <c r="E41" s="24" t="s">
        <v>67</v>
      </c>
      <c r="F41" s="24" t="s">
        <v>67</v>
      </c>
      <c r="G41" s="24" t="s">
        <v>67</v>
      </c>
      <c r="H41" s="24" t="s">
        <v>67</v>
      </c>
      <c r="I41" s="24" t="s">
        <v>67</v>
      </c>
      <c r="J41" s="24" t="s">
        <v>67</v>
      </c>
      <c r="K41" s="24" t="s">
        <v>67</v>
      </c>
      <c r="L41" s="24" t="s">
        <v>67</v>
      </c>
      <c r="M41" s="24"/>
    </row>
    <row r="42">
      <c r="A42" s="5"/>
      <c r="C42" s="24">
        <v>1.0</v>
      </c>
      <c r="D42" s="24">
        <v>2.0</v>
      </c>
      <c r="E42" s="24">
        <v>3.0</v>
      </c>
      <c r="F42" s="24">
        <v>4.0</v>
      </c>
      <c r="G42" s="24">
        <v>5.0</v>
      </c>
      <c r="H42" s="24">
        <v>6.0</v>
      </c>
      <c r="I42" s="24">
        <v>7.0</v>
      </c>
      <c r="J42" s="24">
        <v>8.0</v>
      </c>
      <c r="K42" s="24">
        <v>9.0</v>
      </c>
      <c r="L42" s="24">
        <v>10.0</v>
      </c>
      <c r="M42" s="24"/>
    </row>
    <row r="43">
      <c r="A43" s="6" t="s">
        <v>47</v>
      </c>
    </row>
    <row r="44">
      <c r="A44" s="5" t="s">
        <v>68</v>
      </c>
      <c r="C44" s="32" t="str">
        <f t="shared" ref="C44:L44" si="3">$B$7*12*(1+$B$10)^(C42-1)/(1+$B$24)^(C$42-0.5)</f>
        <v>$41,586.20</v>
      </c>
      <c r="D44" s="32" t="str">
        <f t="shared" si="3"/>
        <v>$41,586.20</v>
      </c>
      <c r="E44" s="32" t="str">
        <f t="shared" si="3"/>
        <v>$41,586.20</v>
      </c>
      <c r="F44" s="32" t="str">
        <f t="shared" si="3"/>
        <v>$41,586.20</v>
      </c>
      <c r="G44" s="32" t="str">
        <f t="shared" si="3"/>
        <v>$41,586.20</v>
      </c>
      <c r="H44" s="32" t="str">
        <f t="shared" si="3"/>
        <v>$41,586.20</v>
      </c>
      <c r="I44" s="32" t="str">
        <f t="shared" si="3"/>
        <v>$41,586.20</v>
      </c>
      <c r="J44" s="32" t="str">
        <f t="shared" si="3"/>
        <v>$41,586.20</v>
      </c>
      <c r="K44" s="32" t="str">
        <f t="shared" si="3"/>
        <v>$41,586.20</v>
      </c>
      <c r="L44" s="32" t="str">
        <f t="shared" si="3"/>
        <v>$41,586.20</v>
      </c>
    </row>
    <row r="45">
      <c r="A45" s="33" t="s">
        <v>51</v>
      </c>
      <c r="B45" s="34"/>
      <c r="C45" s="35" t="str">
        <f t="shared" ref="C45:L45" si="4">-sum($C44:C44)</f>
        <v>-$41,586.20</v>
      </c>
      <c r="D45" s="35" t="str">
        <f t="shared" si="4"/>
        <v>-$83,172.39</v>
      </c>
      <c r="E45" s="35" t="str">
        <f t="shared" si="4"/>
        <v>-$124,758.59</v>
      </c>
      <c r="F45" s="35" t="str">
        <f t="shared" si="4"/>
        <v>-$166,344.79</v>
      </c>
      <c r="G45" s="35" t="str">
        <f t="shared" si="4"/>
        <v>-$207,930.98</v>
      </c>
      <c r="H45" s="35" t="str">
        <f t="shared" si="4"/>
        <v>-$249,517.18</v>
      </c>
      <c r="I45" s="35" t="str">
        <f t="shared" si="4"/>
        <v>-$291,103.38</v>
      </c>
      <c r="J45" s="35" t="str">
        <f t="shared" si="4"/>
        <v>-$332,689.57</v>
      </c>
      <c r="K45" s="35" t="str">
        <f t="shared" si="4"/>
        <v>-$374,275.77</v>
      </c>
      <c r="L45" s="35" t="str">
        <f t="shared" si="4"/>
        <v>-$415,861.97</v>
      </c>
    </row>
    <row r="46">
      <c r="A46" s="5"/>
    </row>
    <row r="47">
      <c r="A47" s="5" t="s">
        <v>69</v>
      </c>
      <c r="B47" s="32" t="str">
        <f>B7*2</f>
        <v>$7,000.00</v>
      </c>
      <c r="C47" s="32" t="str">
        <f>B47+B48+0.5*C44</f>
        <v>$28,163.03</v>
      </c>
      <c r="D47" s="32" t="str">
        <f t="shared" ref="D47:L47" si="5">C47+C48+0.5*(C44+D44)</f>
        <v>$71,237.58</v>
      </c>
      <c r="E47" s="32" t="str">
        <f t="shared" si="5"/>
        <v>$116,588.51</v>
      </c>
      <c r="F47" s="32" t="str">
        <f t="shared" si="5"/>
        <v>$164,336.14</v>
      </c>
      <c r="G47" s="32" t="str">
        <f t="shared" si="5"/>
        <v>$214,607.11</v>
      </c>
      <c r="H47" s="32" t="str">
        <f t="shared" si="5"/>
        <v>$267,534.79</v>
      </c>
      <c r="I47" s="32" t="str">
        <f t="shared" si="5"/>
        <v>$323,259.57</v>
      </c>
      <c r="J47" s="32" t="str">
        <f t="shared" si="5"/>
        <v>$381,929.27</v>
      </c>
      <c r="K47" s="32" t="str">
        <f t="shared" si="5"/>
        <v>$443,699.53</v>
      </c>
      <c r="L47" s="32" t="str">
        <f t="shared" si="5"/>
        <v>$508,734.20</v>
      </c>
    </row>
    <row r="48">
      <c r="A48" s="5" t="s">
        <v>70</v>
      </c>
      <c r="B48" s="32" t="str">
        <f t="shared" ref="B48:L48" si="6">B47*($B$15)</f>
        <v>$369.93</v>
      </c>
      <c r="C48" s="32" t="str">
        <f t="shared" si="6"/>
        <v>$1,488.35</v>
      </c>
      <c r="D48" s="32" t="str">
        <f t="shared" si="6"/>
        <v>$3,764.74</v>
      </c>
      <c r="E48" s="32" t="str">
        <f t="shared" si="6"/>
        <v>$6,161.43</v>
      </c>
      <c r="F48" s="32" t="str">
        <f t="shared" si="6"/>
        <v>$8,684.78</v>
      </c>
      <c r="G48" s="32" t="str">
        <f t="shared" si="6"/>
        <v>$11,341.48</v>
      </c>
      <c r="H48" s="32" t="str">
        <f t="shared" si="6"/>
        <v>$14,138.58</v>
      </c>
      <c r="I48" s="32" t="str">
        <f t="shared" si="6"/>
        <v>$17,083.51</v>
      </c>
      <c r="J48" s="32" t="str">
        <f t="shared" si="6"/>
        <v>$20,184.06</v>
      </c>
      <c r="K48" s="32" t="str">
        <f t="shared" si="6"/>
        <v>$23,448.47</v>
      </c>
      <c r="L48" s="32" t="str">
        <f t="shared" si="6"/>
        <v>$26,885.40</v>
      </c>
    </row>
    <row r="49">
      <c r="A49" s="33" t="s">
        <v>71</v>
      </c>
      <c r="B49" s="34"/>
      <c r="C49" s="35" t="str">
        <f t="shared" ref="C49:L49" si="7">-sum($B48:C48)</f>
        <v>-$1,858.28</v>
      </c>
      <c r="D49" s="35" t="str">
        <f t="shared" si="7"/>
        <v>-$5,623.02</v>
      </c>
      <c r="E49" s="35" t="str">
        <f t="shared" si="7"/>
        <v>-$11,784.45</v>
      </c>
      <c r="F49" s="35" t="str">
        <f t="shared" si="7"/>
        <v>-$20,469.23</v>
      </c>
      <c r="G49" s="35" t="str">
        <f t="shared" si="7"/>
        <v>-$31,810.71</v>
      </c>
      <c r="H49" s="35" t="str">
        <f t="shared" si="7"/>
        <v>-$45,949.29</v>
      </c>
      <c r="I49" s="35" t="str">
        <f t="shared" si="7"/>
        <v>-$63,032.80</v>
      </c>
      <c r="J49" s="35" t="str">
        <f t="shared" si="7"/>
        <v>-$83,216.86</v>
      </c>
      <c r="K49" s="35" t="str">
        <f t="shared" si="7"/>
        <v>-$106,665.33</v>
      </c>
      <c r="L49" s="35" t="str">
        <f t="shared" si="7"/>
        <v>-$133,550.73</v>
      </c>
    </row>
    <row r="50">
      <c r="A50" s="5"/>
    </row>
    <row r="51">
      <c r="A51" s="6" t="s">
        <v>49</v>
      </c>
    </row>
    <row r="52">
      <c r="A52" s="5" t="s">
        <v>72</v>
      </c>
      <c r="B52" s="36" t="str">
        <f>B6</f>
        <v>$700,000</v>
      </c>
      <c r="C52" s="37" t="str">
        <f t="shared" ref="C52:L52" si="8">$B$52*(1+$B$9)^(C42)/(1+$B$24)^(C$42-0.5)</f>
        <v>$706,965</v>
      </c>
      <c r="D52" s="37" t="str">
        <f t="shared" si="8"/>
        <v>$706,965</v>
      </c>
      <c r="E52" s="37" t="str">
        <f t="shared" si="8"/>
        <v>$706,965</v>
      </c>
      <c r="F52" s="37" t="str">
        <f t="shared" si="8"/>
        <v>$706,965</v>
      </c>
      <c r="G52" s="37" t="str">
        <f t="shared" si="8"/>
        <v>$706,965</v>
      </c>
      <c r="H52" s="37" t="str">
        <f t="shared" si="8"/>
        <v>$706,965</v>
      </c>
      <c r="I52" s="37" t="str">
        <f t="shared" si="8"/>
        <v>$706,965</v>
      </c>
      <c r="J52" s="37" t="str">
        <f t="shared" si="8"/>
        <v>$706,965</v>
      </c>
      <c r="K52" s="37" t="str">
        <f t="shared" si="8"/>
        <v>$706,965</v>
      </c>
      <c r="L52" s="37" t="str">
        <f t="shared" si="8"/>
        <v>$706,965</v>
      </c>
    </row>
    <row r="53">
      <c r="A53" s="5" t="s">
        <v>24</v>
      </c>
      <c r="B53" s="36" t="str">
        <f>B52-B54</f>
        <v>$560,000</v>
      </c>
      <c r="C53" s="38" t="str">
        <f t="shared" ref="C53:L53" si="9">($B53+ cumprinc($B$12/12,360,100,1,12,0)/100*$B53)/(1+$B$24)^(C$42-0.5)</f>
        <v>$544,021</v>
      </c>
      <c r="D53" s="38" t="str">
        <f t="shared" si="9"/>
        <v>$533,354</v>
      </c>
      <c r="E53" s="38" t="str">
        <f t="shared" si="9"/>
        <v>$522,896</v>
      </c>
      <c r="F53" s="38" t="str">
        <f t="shared" si="9"/>
        <v>$512,643</v>
      </c>
      <c r="G53" s="38" t="str">
        <f t="shared" si="9"/>
        <v>$502,592</v>
      </c>
      <c r="H53" s="38" t="str">
        <f t="shared" si="9"/>
        <v>$492,737</v>
      </c>
      <c r="I53" s="38" t="str">
        <f t="shared" si="9"/>
        <v>$483,075</v>
      </c>
      <c r="J53" s="38" t="str">
        <f t="shared" si="9"/>
        <v>$473,603</v>
      </c>
      <c r="K53" s="38" t="str">
        <f t="shared" si="9"/>
        <v>$464,317</v>
      </c>
      <c r="L53" s="38" t="str">
        <f t="shared" si="9"/>
        <v>$455,213</v>
      </c>
    </row>
    <row r="54">
      <c r="A54" s="5" t="s">
        <v>73</v>
      </c>
      <c r="B54" s="36" t="str">
        <f>-$D$28</f>
        <v>$140,000</v>
      </c>
      <c r="C54" s="36" t="str">
        <f t="shared" ref="C54:L54" si="10">C52-C53</f>
        <v>$162,944</v>
      </c>
      <c r="D54" s="36" t="str">
        <f t="shared" si="10"/>
        <v>$173,611</v>
      </c>
      <c r="E54" s="36" t="str">
        <f t="shared" si="10"/>
        <v>$184,069</v>
      </c>
      <c r="F54" s="36" t="str">
        <f t="shared" si="10"/>
        <v>$194,322</v>
      </c>
      <c r="G54" s="36" t="str">
        <f t="shared" si="10"/>
        <v>$204,374</v>
      </c>
      <c r="H54" s="36" t="str">
        <f t="shared" si="10"/>
        <v>$214,228</v>
      </c>
      <c r="I54" s="36" t="str">
        <f t="shared" si="10"/>
        <v>$223,890</v>
      </c>
      <c r="J54" s="36" t="str">
        <f t="shared" si="10"/>
        <v>$233,362</v>
      </c>
      <c r="K54" s="36" t="str">
        <f t="shared" si="10"/>
        <v>$242,648</v>
      </c>
      <c r="L54" s="36" t="str">
        <f t="shared" si="10"/>
        <v>$251,753</v>
      </c>
    </row>
    <row r="55">
      <c r="A55" s="5" t="s">
        <v>74</v>
      </c>
      <c r="B55" s="39"/>
      <c r="C55" s="39" t="str">
        <f t="shared" ref="C55:L55" si="11">C54/C52</f>
        <v>23.05%</v>
      </c>
      <c r="D55" s="39" t="str">
        <f t="shared" si="11"/>
        <v>24.56%</v>
      </c>
      <c r="E55" s="39" t="str">
        <f t="shared" si="11"/>
        <v>26.04%</v>
      </c>
      <c r="F55" s="39" t="str">
        <f t="shared" si="11"/>
        <v>27.49%</v>
      </c>
      <c r="G55" s="39" t="str">
        <f t="shared" si="11"/>
        <v>28.91%</v>
      </c>
      <c r="H55" s="39" t="str">
        <f t="shared" si="11"/>
        <v>30.30%</v>
      </c>
      <c r="I55" s="39" t="str">
        <f t="shared" si="11"/>
        <v>31.67%</v>
      </c>
      <c r="J55" s="39" t="str">
        <f t="shared" si="11"/>
        <v>33.01%</v>
      </c>
      <c r="K55" s="39" t="str">
        <f t="shared" si="11"/>
        <v>34.32%</v>
      </c>
      <c r="L55" s="39" t="str">
        <f t="shared" si="11"/>
        <v>35.61%</v>
      </c>
    </row>
    <row r="56">
      <c r="A56" s="5"/>
    </row>
    <row r="57">
      <c r="A57" s="5" t="s">
        <v>75</v>
      </c>
      <c r="C57" s="40" t="str">
        <f t="shared" ref="C57:L57" si="12">-pmt($B$12/12,360,$B$53)*12/(1+$B$24)^(C$42-0.5)</f>
        <v>$30,251.15</v>
      </c>
      <c r="D57" s="40" t="str">
        <f t="shared" si="12"/>
        <v>$29,657.99</v>
      </c>
      <c r="E57" s="40" t="str">
        <f t="shared" si="12"/>
        <v>$29,076.46</v>
      </c>
      <c r="F57" s="40" t="str">
        <f t="shared" si="12"/>
        <v>$28,506.34</v>
      </c>
      <c r="G57" s="40" t="str">
        <f t="shared" si="12"/>
        <v>$27,947.39</v>
      </c>
      <c r="H57" s="40" t="str">
        <f t="shared" si="12"/>
        <v>$27,399.40</v>
      </c>
      <c r="I57" s="40" t="str">
        <f t="shared" si="12"/>
        <v>$26,862.16</v>
      </c>
      <c r="J57" s="40" t="str">
        <f t="shared" si="12"/>
        <v>$26,335.45</v>
      </c>
      <c r="K57" s="40" t="str">
        <f t="shared" si="12"/>
        <v>$25,819.07</v>
      </c>
      <c r="L57" s="40" t="str">
        <f t="shared" si="12"/>
        <v>$25,312.81</v>
      </c>
    </row>
    <row r="58">
      <c r="A58" s="5" t="s">
        <v>40</v>
      </c>
      <c r="C58" t="str">
        <f t="shared" ref="C58:L58" si="13">if(C55&lt;0.2,$B$52*$B$19,0)</f>
        <v>0</v>
      </c>
      <c r="D58" t="str">
        <f t="shared" si="13"/>
        <v>0</v>
      </c>
      <c r="E58" t="str">
        <f t="shared" si="13"/>
        <v>0</v>
      </c>
      <c r="F58" t="str">
        <f t="shared" si="13"/>
        <v>0</v>
      </c>
      <c r="G58" t="str">
        <f t="shared" si="13"/>
        <v>0</v>
      </c>
      <c r="H58" t="str">
        <f t="shared" si="13"/>
        <v>0</v>
      </c>
      <c r="I58" t="str">
        <f t="shared" si="13"/>
        <v>0</v>
      </c>
      <c r="J58" t="str">
        <f t="shared" si="13"/>
        <v>0</v>
      </c>
      <c r="K58" t="str">
        <f t="shared" si="13"/>
        <v>0</v>
      </c>
      <c r="L58" t="str">
        <f t="shared" si="13"/>
        <v>0</v>
      </c>
    </row>
    <row r="59">
      <c r="A59" s="5" t="s">
        <v>76</v>
      </c>
      <c r="C59" s="36" t="str">
        <f t="shared" ref="C59:L59" si="14">B52*$B$22</f>
        <v>$3,080</v>
      </c>
      <c r="D59" s="36" t="str">
        <f t="shared" si="14"/>
        <v>$3,111</v>
      </c>
      <c r="E59" s="36" t="str">
        <f t="shared" si="14"/>
        <v>$3,111</v>
      </c>
      <c r="F59" s="36" t="str">
        <f t="shared" si="14"/>
        <v>$3,111</v>
      </c>
      <c r="G59" s="36" t="str">
        <f t="shared" si="14"/>
        <v>$3,111</v>
      </c>
      <c r="H59" s="36" t="str">
        <f t="shared" si="14"/>
        <v>$3,111</v>
      </c>
      <c r="I59" s="36" t="str">
        <f t="shared" si="14"/>
        <v>$3,111</v>
      </c>
      <c r="J59" s="36" t="str">
        <f t="shared" si="14"/>
        <v>$3,111</v>
      </c>
      <c r="K59" s="36" t="str">
        <f t="shared" si="14"/>
        <v>$3,111</v>
      </c>
      <c r="L59" s="36" t="str">
        <f t="shared" si="14"/>
        <v>$3,111</v>
      </c>
    </row>
    <row r="60">
      <c r="A60" s="5" t="s">
        <v>11</v>
      </c>
      <c r="C60" s="36" t="str">
        <f t="shared" ref="C60:L60" si="15">$B$52*$B$21*(1+$B$23)^(C42-1)</f>
        <v>$7,700</v>
      </c>
      <c r="D60" s="36" t="str">
        <f t="shared" si="15"/>
        <v>$7,854</v>
      </c>
      <c r="E60" s="36" t="str">
        <f t="shared" si="15"/>
        <v>$8,011</v>
      </c>
      <c r="F60" s="36" t="str">
        <f t="shared" si="15"/>
        <v>$8,171</v>
      </c>
      <c r="G60" s="36" t="str">
        <f t="shared" si="15"/>
        <v>$8,335</v>
      </c>
      <c r="H60" s="36" t="str">
        <f t="shared" si="15"/>
        <v>$8,501</v>
      </c>
      <c r="I60" s="36" t="str">
        <f t="shared" si="15"/>
        <v>$8,671</v>
      </c>
      <c r="J60" s="36" t="str">
        <f t="shared" si="15"/>
        <v>$8,845</v>
      </c>
      <c r="K60" s="36" t="str">
        <f t="shared" si="15"/>
        <v>$9,022</v>
      </c>
      <c r="L60" s="36" t="str">
        <f t="shared" si="15"/>
        <v>$9,202</v>
      </c>
    </row>
    <row r="61">
      <c r="A61" s="5" t="s">
        <v>77</v>
      </c>
      <c r="C61" s="36" t="str">
        <f t="shared" ref="C61:L61" si="16">B52*$B$20</f>
        <v>$7,000</v>
      </c>
      <c r="D61" s="36" t="str">
        <f t="shared" si="16"/>
        <v>$7,070</v>
      </c>
      <c r="E61" s="36" t="str">
        <f t="shared" si="16"/>
        <v>$7,070</v>
      </c>
      <c r="F61" s="36" t="str">
        <f t="shared" si="16"/>
        <v>$7,070</v>
      </c>
      <c r="G61" s="36" t="str">
        <f t="shared" si="16"/>
        <v>$7,070</v>
      </c>
      <c r="H61" s="36" t="str">
        <f t="shared" si="16"/>
        <v>$7,070</v>
      </c>
      <c r="I61" s="36" t="str">
        <f t="shared" si="16"/>
        <v>$7,070</v>
      </c>
      <c r="J61" s="36" t="str">
        <f t="shared" si="16"/>
        <v>$7,070</v>
      </c>
      <c r="K61" s="36" t="str">
        <f t="shared" si="16"/>
        <v>$7,070</v>
      </c>
      <c r="L61" s="36" t="str">
        <f t="shared" si="16"/>
        <v>$7,070</v>
      </c>
    </row>
    <row r="62">
      <c r="A62" s="5"/>
    </row>
    <row r="63">
      <c r="A63" s="5" t="s">
        <v>78</v>
      </c>
      <c r="C63" s="40" t="str">
        <f t="shared" ref="C63:L63" si="17">-(C57-(B53-C53))*$B$8</f>
        <v>-$4,709.93</v>
      </c>
      <c r="D63" s="40" t="str">
        <f t="shared" si="17"/>
        <v>-$6,267.00</v>
      </c>
      <c r="E63" s="40" t="str">
        <f t="shared" si="17"/>
        <v>-$6,144.12</v>
      </c>
      <c r="F63" s="40" t="str">
        <f t="shared" si="17"/>
        <v>-$6,023.64</v>
      </c>
      <c r="G63" s="40" t="str">
        <f t="shared" si="17"/>
        <v>-$5,905.53</v>
      </c>
      <c r="H63" s="40" t="str">
        <f t="shared" si="17"/>
        <v>-$5,789.74</v>
      </c>
      <c r="I63" s="40" t="str">
        <f t="shared" si="17"/>
        <v>-$5,676.21</v>
      </c>
      <c r="J63" s="40" t="str">
        <f t="shared" si="17"/>
        <v>-$5,564.92</v>
      </c>
      <c r="K63" s="40" t="str">
        <f t="shared" si="17"/>
        <v>-$5,455.80</v>
      </c>
      <c r="L63" s="40" t="str">
        <f t="shared" si="17"/>
        <v>-$5,348.82</v>
      </c>
    </row>
    <row r="64">
      <c r="A64" s="5" t="s">
        <v>79</v>
      </c>
      <c r="C64" s="40" t="str">
        <f t="shared" ref="C64:L64" si="18">sum(C57:C63)</f>
        <v>$43,321.23</v>
      </c>
      <c r="D64" s="40" t="str">
        <f t="shared" si="18"/>
        <v>$41,425.29</v>
      </c>
      <c r="E64" s="40" t="str">
        <f t="shared" si="18"/>
        <v>$41,123.73</v>
      </c>
      <c r="F64" s="40" t="str">
        <f t="shared" si="18"/>
        <v>$40,834.30</v>
      </c>
      <c r="G64" s="40" t="str">
        <f t="shared" si="18"/>
        <v>$40,556.88</v>
      </c>
      <c r="H64" s="40" t="str">
        <f t="shared" si="18"/>
        <v>$40,291.39</v>
      </c>
      <c r="I64" s="40" t="str">
        <f t="shared" si="18"/>
        <v>$40,037.70</v>
      </c>
      <c r="J64" s="40" t="str">
        <f t="shared" si="18"/>
        <v>$39,795.71</v>
      </c>
      <c r="K64" s="40" t="str">
        <f t="shared" si="18"/>
        <v>$39,565.35</v>
      </c>
      <c r="L64" s="40" t="str">
        <f t="shared" si="18"/>
        <v>$39,346.50</v>
      </c>
    </row>
    <row r="65">
      <c r="A65" s="33" t="s">
        <v>51</v>
      </c>
      <c r="B65" s="34"/>
      <c r="C65" s="41" t="str">
        <f t="shared" ref="C65:L65" si="19">-sum($C64:C64)</f>
        <v>-$43,321.23</v>
      </c>
      <c r="D65" s="41" t="str">
        <f t="shared" si="19"/>
        <v>-$84,746.52</v>
      </c>
      <c r="E65" s="41" t="str">
        <f t="shared" si="19"/>
        <v>-$125,870.25</v>
      </c>
      <c r="F65" s="41" t="str">
        <f t="shared" si="19"/>
        <v>-$166,704.54</v>
      </c>
      <c r="G65" s="41" t="str">
        <f t="shared" si="19"/>
        <v>-$207,261.43</v>
      </c>
      <c r="H65" s="41" t="str">
        <f t="shared" si="19"/>
        <v>-$247,552.82</v>
      </c>
      <c r="I65" s="41" t="str">
        <f t="shared" si="19"/>
        <v>-$287,590.51</v>
      </c>
      <c r="J65" s="41" t="str">
        <f t="shared" si="19"/>
        <v>-$327,386.22</v>
      </c>
      <c r="K65" s="41" t="str">
        <f t="shared" si="19"/>
        <v>-$366,951.57</v>
      </c>
      <c r="L65" s="41" t="str">
        <f t="shared" si="19"/>
        <v>-$406,298.07</v>
      </c>
    </row>
    <row r="66">
      <c r="A66" s="5"/>
    </row>
    <row r="67">
      <c r="A67" s="5" t="s">
        <v>69</v>
      </c>
      <c r="B67" s="36" t="str">
        <f>B54</f>
        <v>$140,000</v>
      </c>
      <c r="C67" s="36" t="str">
        <f t="shared" ref="C67:L67" si="20">(B67+B68+(B64+C64)*0.5)</f>
        <v>$169,059</v>
      </c>
      <c r="D67" s="36" t="str">
        <f t="shared" si="20"/>
        <v>$220,367</v>
      </c>
      <c r="E67" s="36" t="str">
        <f t="shared" si="20"/>
        <v>$273,287</v>
      </c>
      <c r="F67" s="36" t="str">
        <f t="shared" si="20"/>
        <v>$328,709</v>
      </c>
      <c r="G67" s="36" t="str">
        <f t="shared" si="20"/>
        <v>$386,776</v>
      </c>
      <c r="H67" s="36" t="str">
        <f t="shared" si="20"/>
        <v>$447,640</v>
      </c>
      <c r="I67" s="36" t="str">
        <f t="shared" si="20"/>
        <v>$511,462</v>
      </c>
      <c r="J67" s="36" t="str">
        <f t="shared" si="20"/>
        <v>$578,408</v>
      </c>
      <c r="K67" s="36" t="str">
        <f t="shared" si="20"/>
        <v>$648,656</v>
      </c>
      <c r="L67" s="36" t="str">
        <f t="shared" si="20"/>
        <v>$722,392</v>
      </c>
    </row>
    <row r="68">
      <c r="A68" s="5" t="s">
        <v>70</v>
      </c>
      <c r="B68" s="36" t="str">
        <f t="shared" ref="B68:L68" si="21">($B$15)*B67</f>
        <v>$7,399</v>
      </c>
      <c r="C68" s="36" t="str">
        <f t="shared" si="21"/>
        <v>$8,934</v>
      </c>
      <c r="D68" s="36" t="str">
        <f t="shared" si="21"/>
        <v>$11,646</v>
      </c>
      <c r="E68" s="36" t="str">
        <f t="shared" si="21"/>
        <v>$14,443</v>
      </c>
      <c r="F68" s="36" t="str">
        <f t="shared" si="21"/>
        <v>$17,371</v>
      </c>
      <c r="G68" s="36" t="str">
        <f t="shared" si="21"/>
        <v>$20,440</v>
      </c>
      <c r="H68" s="36" t="str">
        <f t="shared" si="21"/>
        <v>$23,657</v>
      </c>
      <c r="I68" s="36" t="str">
        <f t="shared" si="21"/>
        <v>$27,030</v>
      </c>
      <c r="J68" s="36" t="str">
        <f t="shared" si="21"/>
        <v>$30,567</v>
      </c>
      <c r="K68" s="36" t="str">
        <f t="shared" si="21"/>
        <v>$34,280</v>
      </c>
      <c r="L68" s="36" t="str">
        <f t="shared" si="21"/>
        <v>$38,177</v>
      </c>
    </row>
    <row r="69">
      <c r="A69" s="33" t="s">
        <v>71</v>
      </c>
      <c r="B69" s="34"/>
      <c r="C69" s="42" t="str">
        <f t="shared" ref="C69:L69" si="22">-sum($B68:C68)</f>
        <v>-$16,333</v>
      </c>
      <c r="D69" s="42" t="str">
        <f t="shared" si="22"/>
        <v>-$27,979</v>
      </c>
      <c r="E69" s="42" t="str">
        <f t="shared" si="22"/>
        <v>-$42,422</v>
      </c>
      <c r="F69" s="42" t="str">
        <f t="shared" si="22"/>
        <v>-$59,793</v>
      </c>
      <c r="G69" s="42" t="str">
        <f t="shared" si="22"/>
        <v>-$80,233</v>
      </c>
      <c r="H69" s="42" t="str">
        <f t="shared" si="22"/>
        <v>-$103,890</v>
      </c>
      <c r="I69" s="42" t="str">
        <f t="shared" si="22"/>
        <v>-$130,919</v>
      </c>
      <c r="J69" s="42" t="str">
        <f t="shared" si="22"/>
        <v>-$161,487</v>
      </c>
      <c r="K69" s="42" t="str">
        <f t="shared" si="22"/>
        <v>-$195,767</v>
      </c>
      <c r="L69" s="42" t="str">
        <f t="shared" si="22"/>
        <v>-$233,944</v>
      </c>
    </row>
    <row r="70">
      <c r="A70" s="5"/>
    </row>
    <row r="71">
      <c r="A71" s="5" t="s">
        <v>80</v>
      </c>
      <c r="C71" s="36" t="str">
        <f t="shared" ref="C71:L71" si="23">C52*$B$16</f>
        <v>$49,488</v>
      </c>
      <c r="D71" s="36" t="str">
        <f t="shared" si="23"/>
        <v>$49,488</v>
      </c>
      <c r="E71" s="36" t="str">
        <f t="shared" si="23"/>
        <v>$49,488</v>
      </c>
      <c r="F71" s="36" t="str">
        <f t="shared" si="23"/>
        <v>$49,488</v>
      </c>
      <c r="G71" s="36" t="str">
        <f t="shared" si="23"/>
        <v>$49,488</v>
      </c>
      <c r="H71" s="36" t="str">
        <f t="shared" si="23"/>
        <v>$49,488</v>
      </c>
      <c r="I71" s="36" t="str">
        <f t="shared" si="23"/>
        <v>$49,488</v>
      </c>
      <c r="J71" s="36" t="str">
        <f t="shared" si="23"/>
        <v>$49,488</v>
      </c>
      <c r="K71" s="36" t="str">
        <f t="shared" si="23"/>
        <v>$49,488</v>
      </c>
      <c r="L71" s="36" t="str">
        <f t="shared" si="23"/>
        <v>$49,488</v>
      </c>
    </row>
    <row r="72">
      <c r="A72" s="33" t="s">
        <v>53</v>
      </c>
      <c r="B72" s="34"/>
      <c r="C72" s="42" t="str">
        <f t="shared" ref="C72:L72" si="24">C52-C71-C53</f>
        <v>$113,456</v>
      </c>
      <c r="D72" s="42" t="str">
        <f t="shared" si="24"/>
        <v>$124,124</v>
      </c>
      <c r="E72" s="42" t="str">
        <f t="shared" si="24"/>
        <v>$134,581</v>
      </c>
      <c r="F72" s="42" t="str">
        <f t="shared" si="24"/>
        <v>$144,834</v>
      </c>
      <c r="G72" s="42" t="str">
        <f t="shared" si="24"/>
        <v>$154,886</v>
      </c>
      <c r="H72" s="42" t="str">
        <f t="shared" si="24"/>
        <v>$164,741</v>
      </c>
      <c r="I72" s="42" t="str">
        <f t="shared" si="24"/>
        <v>$174,402</v>
      </c>
      <c r="J72" s="42" t="str">
        <f t="shared" si="24"/>
        <v>$183,874</v>
      </c>
      <c r="K72" s="42" t="str">
        <f t="shared" si="24"/>
        <v>$193,161</v>
      </c>
      <c r="L72" s="42" t="str">
        <f t="shared" si="24"/>
        <v>$202,265</v>
      </c>
    </row>
    <row r="73">
      <c r="A73" s="5"/>
    </row>
    <row r="74">
      <c r="A74" s="5"/>
    </row>
    <row r="75">
      <c r="A75" s="6" t="s">
        <v>48</v>
      </c>
    </row>
    <row r="76">
      <c r="A76" s="5" t="s">
        <v>81</v>
      </c>
      <c r="B76" s="36" t="str">
        <f t="shared" ref="B76:L76" si="25">B52*$B$13</f>
        <v>$140,000</v>
      </c>
      <c r="C76" s="36" t="str">
        <f t="shared" si="25"/>
        <v>$141,393</v>
      </c>
      <c r="D76" s="36" t="str">
        <f t="shared" si="25"/>
        <v>$141,393</v>
      </c>
      <c r="E76" s="36" t="str">
        <f t="shared" si="25"/>
        <v>$141,393</v>
      </c>
      <c r="F76" s="36" t="str">
        <f t="shared" si="25"/>
        <v>$141,393</v>
      </c>
      <c r="G76" s="36" t="str">
        <f t="shared" si="25"/>
        <v>$141,393</v>
      </c>
      <c r="H76" s="36" t="str">
        <f t="shared" si="25"/>
        <v>$141,393</v>
      </c>
      <c r="I76" s="36" t="str">
        <f t="shared" si="25"/>
        <v>$141,393</v>
      </c>
      <c r="J76" s="36" t="str">
        <f t="shared" si="25"/>
        <v>$141,393</v>
      </c>
      <c r="K76" s="36" t="str">
        <f t="shared" si="25"/>
        <v>$141,393</v>
      </c>
      <c r="L76" s="36" t="str">
        <f t="shared" si="25"/>
        <v>$141,393</v>
      </c>
    </row>
    <row r="77">
      <c r="A77" s="5" t="s">
        <v>24</v>
      </c>
      <c r="B77" s="36" t="str">
        <f>B76*$B$11</f>
        <v>$112,000</v>
      </c>
      <c r="C77" s="38" t="str">
        <f t="shared" ref="C77:L77" si="26">($B77+ cumprinc($B$12/12,360,100,1,12,0)/100*$B77)/(1+$B$24)^(C$42-0.5)</f>
        <v>$108,804</v>
      </c>
      <c r="D77" s="38" t="str">
        <f t="shared" si="26"/>
        <v>$106,671</v>
      </c>
      <c r="E77" s="38" t="str">
        <f t="shared" si="26"/>
        <v>$104,579</v>
      </c>
      <c r="F77" s="38" t="str">
        <f t="shared" si="26"/>
        <v>$102,529</v>
      </c>
      <c r="G77" s="38" t="str">
        <f t="shared" si="26"/>
        <v>$100,518</v>
      </c>
      <c r="H77" s="38" t="str">
        <f t="shared" si="26"/>
        <v>$98,547</v>
      </c>
      <c r="I77" s="38" t="str">
        <f t="shared" si="26"/>
        <v>$96,615</v>
      </c>
      <c r="J77" s="38" t="str">
        <f t="shared" si="26"/>
        <v>$94,721</v>
      </c>
      <c r="K77" s="38" t="str">
        <f t="shared" si="26"/>
        <v>$92,863</v>
      </c>
      <c r="L77" s="38" t="str">
        <f t="shared" si="26"/>
        <v>$91,043</v>
      </c>
    </row>
    <row r="78">
      <c r="A78" s="5" t="s">
        <v>73</v>
      </c>
      <c r="B78" s="36" t="str">
        <f t="shared" ref="B78:L78" si="27">B76-B77</f>
        <v>$28,000</v>
      </c>
      <c r="C78" s="36" t="str">
        <f t="shared" si="27"/>
        <v>$32,589</v>
      </c>
      <c r="D78" s="36" t="str">
        <f t="shared" si="27"/>
        <v>$34,722</v>
      </c>
      <c r="E78" s="36" t="str">
        <f t="shared" si="27"/>
        <v>$36,814</v>
      </c>
      <c r="F78" s="36" t="str">
        <f t="shared" si="27"/>
        <v>$38,864</v>
      </c>
      <c r="G78" s="36" t="str">
        <f t="shared" si="27"/>
        <v>$40,875</v>
      </c>
      <c r="H78" s="36" t="str">
        <f t="shared" si="27"/>
        <v>$42,846</v>
      </c>
      <c r="I78" s="36" t="str">
        <f t="shared" si="27"/>
        <v>$44,778</v>
      </c>
      <c r="J78" s="36" t="str">
        <f t="shared" si="27"/>
        <v>$46,672</v>
      </c>
      <c r="K78" s="36" t="str">
        <f t="shared" si="27"/>
        <v>$48,530</v>
      </c>
      <c r="L78" s="36" t="str">
        <f t="shared" si="27"/>
        <v>$50,351</v>
      </c>
    </row>
    <row r="79">
      <c r="A79" s="5"/>
    </row>
    <row r="80">
      <c r="A80" s="5" t="s">
        <v>82</v>
      </c>
      <c r="C80" s="40" t="str">
        <f t="shared" ref="C80:L80" si="28">-pmt($B$12/12,360,$B$77)*12/(1+$B$24)^(C$42-0.5)</f>
        <v>$6,050.23</v>
      </c>
      <c r="D80" s="40" t="str">
        <f t="shared" si="28"/>
        <v>$5,931.60</v>
      </c>
      <c r="E80" s="40" t="str">
        <f t="shared" si="28"/>
        <v>$5,815.29</v>
      </c>
      <c r="F80" s="40" t="str">
        <f t="shared" si="28"/>
        <v>$5,701.27</v>
      </c>
      <c r="G80" s="40" t="str">
        <f t="shared" si="28"/>
        <v>$5,589.48</v>
      </c>
      <c r="H80" s="40" t="str">
        <f t="shared" si="28"/>
        <v>$5,479.88</v>
      </c>
      <c r="I80" s="40" t="str">
        <f t="shared" si="28"/>
        <v>$5,372.43</v>
      </c>
      <c r="J80" s="40" t="str">
        <f t="shared" si="28"/>
        <v>$5,267.09</v>
      </c>
      <c r="K80" s="40" t="str">
        <f t="shared" si="28"/>
        <v>$5,163.81</v>
      </c>
      <c r="L80" s="40" t="str">
        <f t="shared" si="28"/>
        <v>$5,062.56</v>
      </c>
    </row>
    <row r="81">
      <c r="A81" s="5" t="s">
        <v>83</v>
      </c>
      <c r="C81" s="36" t="str">
        <f t="shared" ref="C81:L81" si="29">C76*$B$25</f>
        <v>$2,333</v>
      </c>
      <c r="D81" s="36" t="str">
        <f t="shared" si="29"/>
        <v>$2,333</v>
      </c>
      <c r="E81" s="36" t="str">
        <f t="shared" si="29"/>
        <v>$2,333</v>
      </c>
      <c r="F81" s="36" t="str">
        <f t="shared" si="29"/>
        <v>$2,333</v>
      </c>
      <c r="G81" s="36" t="str">
        <f t="shared" si="29"/>
        <v>$2,333</v>
      </c>
      <c r="H81" s="36" t="str">
        <f t="shared" si="29"/>
        <v>$2,333</v>
      </c>
      <c r="I81" s="36" t="str">
        <f t="shared" si="29"/>
        <v>$2,333</v>
      </c>
      <c r="J81" s="36" t="str">
        <f t="shared" si="29"/>
        <v>$2,333</v>
      </c>
      <c r="K81" s="36" t="str">
        <f t="shared" si="29"/>
        <v>$2,333</v>
      </c>
      <c r="L81" s="36" t="str">
        <f t="shared" si="29"/>
        <v>$2,333</v>
      </c>
    </row>
    <row r="82">
      <c r="A82" s="5" t="s">
        <v>11</v>
      </c>
      <c r="C82" s="36" t="str">
        <f t="shared" ref="C82:L82" si="30">C60*$B$13</f>
        <v>$1,540</v>
      </c>
      <c r="D82" s="36" t="str">
        <f t="shared" si="30"/>
        <v>$1,571</v>
      </c>
      <c r="E82" s="36" t="str">
        <f t="shared" si="30"/>
        <v>$1,602</v>
      </c>
      <c r="F82" s="36" t="str">
        <f t="shared" si="30"/>
        <v>$1,634</v>
      </c>
      <c r="G82" s="36" t="str">
        <f t="shared" si="30"/>
        <v>$1,667</v>
      </c>
      <c r="H82" s="36" t="str">
        <f t="shared" si="30"/>
        <v>$1,700</v>
      </c>
      <c r="I82" s="36" t="str">
        <f t="shared" si="30"/>
        <v>$1,734</v>
      </c>
      <c r="J82" s="36" t="str">
        <f t="shared" si="30"/>
        <v>$1,769</v>
      </c>
      <c r="K82" s="36" t="str">
        <f t="shared" si="30"/>
        <v>$1,804</v>
      </c>
      <c r="L82" s="36" t="str">
        <f t="shared" si="30"/>
        <v>$1,840</v>
      </c>
    </row>
    <row r="83">
      <c r="A83" s="5" t="s">
        <v>78</v>
      </c>
      <c r="C83" s="40" t="str">
        <f t="shared" ref="C83:L83" si="31">-(C80-(B77-C77))*$B$8</f>
        <v>-$941.99</v>
      </c>
      <c r="D83" s="40" t="str">
        <f t="shared" si="31"/>
        <v>-$1,253.40</v>
      </c>
      <c r="E83" s="40" t="str">
        <f t="shared" si="31"/>
        <v>-$1,228.82</v>
      </c>
      <c r="F83" s="40" t="str">
        <f t="shared" si="31"/>
        <v>-$1,204.73</v>
      </c>
      <c r="G83" s="40" t="str">
        <f t="shared" si="31"/>
        <v>-$1,181.11</v>
      </c>
      <c r="H83" s="40" t="str">
        <f t="shared" si="31"/>
        <v>-$1,157.95</v>
      </c>
      <c r="I83" s="40" t="str">
        <f t="shared" si="31"/>
        <v>-$1,135.24</v>
      </c>
      <c r="J83" s="40" t="str">
        <f t="shared" si="31"/>
        <v>-$1,112.98</v>
      </c>
      <c r="K83" s="40" t="str">
        <f t="shared" si="31"/>
        <v>-$1,091.16</v>
      </c>
      <c r="L83" s="40" t="str">
        <f t="shared" si="31"/>
        <v>-$1,069.76</v>
      </c>
    </row>
    <row r="84">
      <c r="A84" s="5" t="s">
        <v>84</v>
      </c>
      <c r="C84" s="40" t="str">
        <f t="shared" ref="C84:L84" si="32">sum(C80:C83)</f>
        <v>$8,981.23</v>
      </c>
      <c r="D84" s="40" t="str">
        <f t="shared" si="32"/>
        <v>$8,581.98</v>
      </c>
      <c r="E84" s="40" t="str">
        <f t="shared" si="32"/>
        <v>$8,521.67</v>
      </c>
      <c r="F84" s="40" t="str">
        <f t="shared" si="32"/>
        <v>$8,463.78</v>
      </c>
      <c r="G84" s="40" t="str">
        <f t="shared" si="32"/>
        <v>$8,408.30</v>
      </c>
      <c r="H84" s="40" t="str">
        <f t="shared" si="32"/>
        <v>$8,355.20</v>
      </c>
      <c r="I84" s="40" t="str">
        <f t="shared" si="32"/>
        <v>$8,304.46</v>
      </c>
      <c r="J84" s="40" t="str">
        <f t="shared" si="32"/>
        <v>$8,256.07</v>
      </c>
      <c r="K84" s="40" t="str">
        <f t="shared" si="32"/>
        <v>$8,209.99</v>
      </c>
      <c r="L84" s="40" t="str">
        <f t="shared" si="32"/>
        <v>$8,166.23</v>
      </c>
    </row>
    <row r="86">
      <c r="A86" s="5" t="s">
        <v>85</v>
      </c>
      <c r="C86" s="32" t="str">
        <f t="shared" ref="C86:L86" si="33">C44*(1-$B$13)</f>
        <v>$33,268.96</v>
      </c>
      <c r="D86" s="32" t="str">
        <f t="shared" si="33"/>
        <v>$33,268.96</v>
      </c>
      <c r="E86" s="32" t="str">
        <f t="shared" si="33"/>
        <v>$33,268.96</v>
      </c>
      <c r="F86" s="32" t="str">
        <f t="shared" si="33"/>
        <v>$33,268.96</v>
      </c>
      <c r="G86" s="32" t="str">
        <f t="shared" si="33"/>
        <v>$33,268.96</v>
      </c>
      <c r="H86" s="32" t="str">
        <f t="shared" si="33"/>
        <v>$33,268.96</v>
      </c>
      <c r="I86" s="32" t="str">
        <f t="shared" si="33"/>
        <v>$33,268.96</v>
      </c>
      <c r="J86" s="32" t="str">
        <f t="shared" si="33"/>
        <v>$33,268.96</v>
      </c>
      <c r="K86" s="32" t="str">
        <f t="shared" si="33"/>
        <v>$33,268.96</v>
      </c>
      <c r="L86" s="32" t="str">
        <f t="shared" si="33"/>
        <v>$33,268.96</v>
      </c>
    </row>
    <row r="87">
      <c r="A87" s="5" t="s">
        <v>79</v>
      </c>
      <c r="C87" s="32" t="str">
        <f t="shared" ref="C87:L87" si="34">C86+C84</f>
        <v>$42,250.19</v>
      </c>
      <c r="D87" s="32" t="str">
        <f t="shared" si="34"/>
        <v>$41,850.94</v>
      </c>
      <c r="E87" s="32" t="str">
        <f t="shared" si="34"/>
        <v>$41,790.63</v>
      </c>
      <c r="F87" s="32" t="str">
        <f t="shared" si="34"/>
        <v>$41,732.74</v>
      </c>
      <c r="G87" s="32" t="str">
        <f t="shared" si="34"/>
        <v>$41,677.26</v>
      </c>
      <c r="H87" s="32" t="str">
        <f t="shared" si="34"/>
        <v>$41,624.16</v>
      </c>
      <c r="I87" s="32" t="str">
        <f t="shared" si="34"/>
        <v>$41,573.42</v>
      </c>
      <c r="J87" s="32" t="str">
        <f t="shared" si="34"/>
        <v>$41,525.03</v>
      </c>
      <c r="K87" s="32" t="str">
        <f t="shared" si="34"/>
        <v>$41,478.95</v>
      </c>
      <c r="L87" s="32" t="str">
        <f t="shared" si="34"/>
        <v>$41,435.18</v>
      </c>
    </row>
    <row r="88">
      <c r="A88" s="33" t="s">
        <v>51</v>
      </c>
      <c r="B88" s="34"/>
      <c r="C88" s="35" t="str">
        <f t="shared" ref="C88:L88" si="35">-sum($C87:C87)</f>
        <v>-$42,250.19</v>
      </c>
      <c r="D88" s="35" t="str">
        <f t="shared" si="35"/>
        <v>-$84,101.13</v>
      </c>
      <c r="E88" s="35" t="str">
        <f t="shared" si="35"/>
        <v>-$125,891.76</v>
      </c>
      <c r="F88" s="35" t="str">
        <f t="shared" si="35"/>
        <v>-$167,624.50</v>
      </c>
      <c r="G88" s="35" t="str">
        <f t="shared" si="35"/>
        <v>-$209,301.76</v>
      </c>
      <c r="H88" s="35" t="str">
        <f t="shared" si="35"/>
        <v>-$250,925.92</v>
      </c>
      <c r="I88" s="35" t="str">
        <f t="shared" si="35"/>
        <v>-$292,499.34</v>
      </c>
      <c r="J88" s="35" t="str">
        <f t="shared" si="35"/>
        <v>-$334,024.37</v>
      </c>
      <c r="K88" s="35" t="str">
        <f t="shared" si="35"/>
        <v>-$375,503.32</v>
      </c>
      <c r="L88" s="35" t="str">
        <f t="shared" si="35"/>
        <v>-$416,938.50</v>
      </c>
    </row>
    <row r="89">
      <c r="A89" s="5"/>
    </row>
    <row r="90">
      <c r="A90" s="5" t="s">
        <v>69</v>
      </c>
      <c r="B90" s="36" t="str">
        <f>-C28</f>
        <v>$28,000</v>
      </c>
      <c r="C90" s="36" t="str">
        <f>B90+B91+C87*0.5</f>
        <v>$50,605</v>
      </c>
      <c r="D90" s="36" t="str">
        <f t="shared" ref="D90:L90" si="36">C90+C91+(D87+C87)*0.5</f>
        <v>$95,330</v>
      </c>
      <c r="E90" s="36" t="str">
        <f t="shared" si="36"/>
        <v>$142,188</v>
      </c>
      <c r="F90" s="36" t="str">
        <f t="shared" si="36"/>
        <v>$191,464</v>
      </c>
      <c r="G90" s="36" t="str">
        <f t="shared" si="36"/>
        <v>$243,288</v>
      </c>
      <c r="H90" s="36" t="str">
        <f t="shared" si="36"/>
        <v>$297,796</v>
      </c>
      <c r="I90" s="36" t="str">
        <f t="shared" si="36"/>
        <v>$355,132</v>
      </c>
      <c r="J90" s="36" t="str">
        <f t="shared" si="36"/>
        <v>$415,450</v>
      </c>
      <c r="K90" s="36" t="str">
        <f t="shared" si="36"/>
        <v>$478,907</v>
      </c>
      <c r="L90" s="36" t="str">
        <f t="shared" si="36"/>
        <v>$545,673</v>
      </c>
    </row>
    <row r="91">
      <c r="A91" s="5" t="s">
        <v>70</v>
      </c>
      <c r="B91" s="36" t="str">
        <f t="shared" ref="B91:L91" si="37">($B$15)*B90</f>
        <v>$1,480</v>
      </c>
      <c r="C91" s="36" t="str">
        <f t="shared" si="37"/>
        <v>$2,674</v>
      </c>
      <c r="D91" s="36" t="str">
        <f t="shared" si="37"/>
        <v>$5,038</v>
      </c>
      <c r="E91" s="36" t="str">
        <f t="shared" si="37"/>
        <v>$7,514</v>
      </c>
      <c r="F91" s="36" t="str">
        <f t="shared" si="37"/>
        <v>$10,118</v>
      </c>
      <c r="G91" s="36" t="str">
        <f t="shared" si="37"/>
        <v>$12,857</v>
      </c>
      <c r="H91" s="36" t="str">
        <f t="shared" si="37"/>
        <v>$15,738</v>
      </c>
      <c r="I91" s="36" t="str">
        <f t="shared" si="37"/>
        <v>$18,768</v>
      </c>
      <c r="J91" s="36" t="str">
        <f t="shared" si="37"/>
        <v>$21,956</v>
      </c>
      <c r="K91" s="36" t="str">
        <f t="shared" si="37"/>
        <v>$25,309</v>
      </c>
      <c r="L91" s="36" t="str">
        <f t="shared" si="37"/>
        <v>$28,838</v>
      </c>
    </row>
    <row r="92">
      <c r="A92" s="33" t="s">
        <v>71</v>
      </c>
      <c r="B92" s="34"/>
      <c r="C92" s="42" t="str">
        <f t="shared" ref="C92:L92" si="38">-sum($B91:C91)</f>
        <v>-$4,154</v>
      </c>
      <c r="D92" s="42" t="str">
        <f t="shared" si="38"/>
        <v>-$9,192</v>
      </c>
      <c r="E92" s="42" t="str">
        <f t="shared" si="38"/>
        <v>-$16,706</v>
      </c>
      <c r="F92" s="42" t="str">
        <f t="shared" si="38"/>
        <v>-$26,825</v>
      </c>
      <c r="G92" s="42" t="str">
        <f t="shared" si="38"/>
        <v>-$39,682</v>
      </c>
      <c r="H92" s="42" t="str">
        <f t="shared" si="38"/>
        <v>-$55,420</v>
      </c>
      <c r="I92" s="42" t="str">
        <f t="shared" si="38"/>
        <v>-$74,188</v>
      </c>
      <c r="J92" s="42" t="str">
        <f t="shared" si="38"/>
        <v>-$96,143</v>
      </c>
      <c r="K92" s="42" t="str">
        <f t="shared" si="38"/>
        <v>-$121,452</v>
      </c>
      <c r="L92" s="42" t="str">
        <f t="shared" si="38"/>
        <v>-$150,290</v>
      </c>
    </row>
    <row r="93">
      <c r="A93" s="5"/>
    </row>
    <row r="94">
      <c r="A94" s="5" t="s">
        <v>80</v>
      </c>
      <c r="C94" s="36" t="str">
        <f t="shared" ref="C94:L94" si="39">C76*$B$17</f>
        <v>$2,828</v>
      </c>
      <c r="D94" s="36" t="str">
        <f t="shared" si="39"/>
        <v>$2,828</v>
      </c>
      <c r="E94" s="36" t="str">
        <f t="shared" si="39"/>
        <v>$2,828</v>
      </c>
      <c r="F94" s="36" t="str">
        <f t="shared" si="39"/>
        <v>$2,828</v>
      </c>
      <c r="G94" s="36" t="str">
        <f t="shared" si="39"/>
        <v>$2,828</v>
      </c>
      <c r="H94" s="36" t="str">
        <f t="shared" si="39"/>
        <v>$2,828</v>
      </c>
      <c r="I94" s="36" t="str">
        <f t="shared" si="39"/>
        <v>$2,828</v>
      </c>
      <c r="J94" s="36" t="str">
        <f t="shared" si="39"/>
        <v>$2,828</v>
      </c>
      <c r="K94" s="36" t="str">
        <f t="shared" si="39"/>
        <v>$2,828</v>
      </c>
      <c r="L94" s="36" t="str">
        <f t="shared" si="39"/>
        <v>$2,828</v>
      </c>
    </row>
    <row r="95">
      <c r="A95" s="33" t="s">
        <v>53</v>
      </c>
      <c r="B95" s="34"/>
      <c r="C95" s="42" t="str">
        <f t="shared" ref="C95:L95" si="40">C76-C94-C77</f>
        <v>$29,761</v>
      </c>
      <c r="D95" s="42" t="str">
        <f t="shared" si="40"/>
        <v>$31,894</v>
      </c>
      <c r="E95" s="42" t="str">
        <f t="shared" si="40"/>
        <v>$33,986</v>
      </c>
      <c r="F95" s="42" t="str">
        <f t="shared" si="40"/>
        <v>$36,037</v>
      </c>
      <c r="G95" s="42" t="str">
        <f t="shared" si="40"/>
        <v>$38,047</v>
      </c>
      <c r="H95" s="42" t="str">
        <f t="shared" si="40"/>
        <v>$40,018</v>
      </c>
      <c r="I95" s="42" t="str">
        <f t="shared" si="40"/>
        <v>$41,950</v>
      </c>
      <c r="J95" s="42" t="str">
        <f t="shared" si="40"/>
        <v>$43,845</v>
      </c>
      <c r="K95" s="42" t="str">
        <f t="shared" si="40"/>
        <v>$45,702</v>
      </c>
      <c r="L95" s="42" t="str">
        <f t="shared" si="40"/>
        <v>$47,523</v>
      </c>
    </row>
    <row r="96">
      <c r="A96" s="5"/>
    </row>
    <row r="97">
      <c r="A97" s="5" t="s">
        <v>86</v>
      </c>
    </row>
    <row r="98">
      <c r="A98" s="5" t="s">
        <v>87</v>
      </c>
      <c r="M98" s="5" t="s">
        <v>88</v>
      </c>
    </row>
    <row r="99">
      <c r="A99" s="5"/>
      <c r="B99" s="36" t="str">
        <f t="shared" ref="B99:B108" si="41">-B$90</f>
        <v>-$28,000</v>
      </c>
      <c r="C99" s="32" t="str">
        <f>C$44*$B$13-sum(C$80:C$83)+C95</f>
        <v>$29,096.95</v>
      </c>
      <c r="M99" s="39" t="str">
        <f t="shared" ref="M99:M108" si="42">irr(B99:L99)</f>
        <v>3.92%</v>
      </c>
    </row>
    <row r="100">
      <c r="A100" s="5"/>
      <c r="B100" s="36" t="str">
        <f t="shared" si="41"/>
        <v>-$28,000</v>
      </c>
      <c r="C100" s="32" t="str">
        <f t="shared" ref="C100:C108" si="43">C$44*$B$13-sum(C$80:C$83)</f>
        <v>-$663.99</v>
      </c>
      <c r="D100" s="32" t="str">
        <f>D$44*$B$13-sum(D$80:D$83)+D95</f>
        <v>$31,629.61</v>
      </c>
      <c r="M100" s="39" t="str">
        <f t="shared" si="42"/>
        <v>5.10%</v>
      </c>
    </row>
    <row r="101">
      <c r="B101" s="36" t="str">
        <f t="shared" si="41"/>
        <v>-$28,000</v>
      </c>
      <c r="C101" s="32" t="str">
        <f t="shared" si="43"/>
        <v>-$663.99</v>
      </c>
      <c r="D101" s="32" t="str">
        <f t="shared" ref="D101:D108" si="44">D$44*$B$13-sum(D$80:D$83)</f>
        <v>-$264.75</v>
      </c>
      <c r="E101" s="32" t="str">
        <f>E$44*$B$13-sum(E$80:E$83)+E95</f>
        <v>$33,781.51</v>
      </c>
      <c r="M101" s="39" t="str">
        <f t="shared" si="42"/>
        <v>5.38%</v>
      </c>
    </row>
    <row r="102">
      <c r="B102" s="36" t="str">
        <f t="shared" si="41"/>
        <v>-$28,000</v>
      </c>
      <c r="C102" s="32" t="str">
        <f t="shared" si="43"/>
        <v>-$663.99</v>
      </c>
      <c r="D102" s="32" t="str">
        <f t="shared" si="44"/>
        <v>-$264.75</v>
      </c>
      <c r="E102" s="32" t="str">
        <f t="shared" ref="E102:E108" si="45">E$44*$B$13-sum(E$80:E$83)</f>
        <v>-$204.43</v>
      </c>
      <c r="F102" s="32" t="str">
        <f>F$44*$B$13-sum(F$80:F$83)+F95</f>
        <v>$35,889.97</v>
      </c>
      <c r="M102" s="39" t="str">
        <f t="shared" si="42"/>
        <v>5.44%</v>
      </c>
    </row>
    <row r="103">
      <c r="B103" s="36" t="str">
        <f t="shared" si="41"/>
        <v>-$28,000</v>
      </c>
      <c r="C103" s="32" t="str">
        <f t="shared" si="43"/>
        <v>-$663.99</v>
      </c>
      <c r="D103" s="32" t="str">
        <f t="shared" si="44"/>
        <v>-$264.75</v>
      </c>
      <c r="E103" s="32" t="str">
        <f t="shared" si="45"/>
        <v>-$204.43</v>
      </c>
      <c r="F103" s="32" t="str">
        <f t="shared" ref="F103:F108" si="46">F$44*$B$13-sum(F$80:F$83)</f>
        <v>-$146.55</v>
      </c>
      <c r="G103" s="32" t="str">
        <f>G$44*$B$13-sum(G$80:G$83)+G95</f>
        <v>$37,955.82</v>
      </c>
      <c r="M103" s="39" t="str">
        <f t="shared" si="42"/>
        <v>5.41%</v>
      </c>
    </row>
    <row r="104">
      <c r="B104" s="36" t="str">
        <f t="shared" si="41"/>
        <v>-$28,000</v>
      </c>
      <c r="C104" s="32" t="str">
        <f t="shared" si="43"/>
        <v>-$663.99</v>
      </c>
      <c r="D104" s="32" t="str">
        <f t="shared" si="44"/>
        <v>-$264.75</v>
      </c>
      <c r="E104" s="32" t="str">
        <f t="shared" si="45"/>
        <v>-$204.43</v>
      </c>
      <c r="F104" s="32" t="str">
        <f t="shared" si="46"/>
        <v>-$146.55</v>
      </c>
      <c r="G104" s="32" t="str">
        <f t="shared" ref="G104:G108" si="47">G$44*$B$13-sum(G$80:G$83)</f>
        <v>-$91.06</v>
      </c>
      <c r="H104" s="32" t="str">
        <f>H$44*$B$13-sum(H$80:H$83)+H95</f>
        <v>$39,979.86</v>
      </c>
      <c r="M104" s="39" t="str">
        <f t="shared" si="42"/>
        <v>5.36%</v>
      </c>
    </row>
    <row r="105">
      <c r="B105" s="36" t="str">
        <f t="shared" si="41"/>
        <v>-$28,000</v>
      </c>
      <c r="C105" s="32" t="str">
        <f t="shared" si="43"/>
        <v>-$663.99</v>
      </c>
      <c r="D105" s="32" t="str">
        <f t="shared" si="44"/>
        <v>-$264.75</v>
      </c>
      <c r="E105" s="32" t="str">
        <f t="shared" si="45"/>
        <v>-$204.43</v>
      </c>
      <c r="F105" s="32" t="str">
        <f t="shared" si="46"/>
        <v>-$146.55</v>
      </c>
      <c r="G105" s="32" t="str">
        <f t="shared" si="47"/>
        <v>-$91.06</v>
      </c>
      <c r="H105" s="32" t="str">
        <f t="shared" ref="H105:H108" si="48">H$44*$B$13-sum(H$80:H$83)</f>
        <v>-$37.96</v>
      </c>
      <c r="I105" s="32" t="str">
        <f>I$44*$B$13-sum(I$80:I$83)+I95</f>
        <v>$41,962.90</v>
      </c>
      <c r="M105" s="39" t="str">
        <f t="shared" si="42"/>
        <v>5.28%</v>
      </c>
    </row>
    <row r="106">
      <c r="B106" s="36" t="str">
        <f t="shared" si="41"/>
        <v>-$28,000</v>
      </c>
      <c r="C106" s="32" t="str">
        <f t="shared" si="43"/>
        <v>-$663.99</v>
      </c>
      <c r="D106" s="32" t="str">
        <f t="shared" si="44"/>
        <v>-$264.75</v>
      </c>
      <c r="E106" s="32" t="str">
        <f t="shared" si="45"/>
        <v>-$204.43</v>
      </c>
      <c r="F106" s="32" t="str">
        <f t="shared" si="46"/>
        <v>-$146.55</v>
      </c>
      <c r="G106" s="32" t="str">
        <f t="shared" si="47"/>
        <v>-$91.06</v>
      </c>
      <c r="H106" s="32" t="str">
        <f t="shared" si="48"/>
        <v>-$37.96</v>
      </c>
      <c r="I106" s="32" t="str">
        <f t="shared" ref="I106:I108" si="49">I$44*$B$13-sum(I$80:I$83)</f>
        <v>$12.77</v>
      </c>
      <c r="J106" s="32" t="str">
        <f>J$44*$B$13-sum(J$80:J$83)+J95</f>
        <v>$43,905.71</v>
      </c>
      <c r="M106" s="39" t="str">
        <f t="shared" si="42"/>
        <v>5.21%</v>
      </c>
    </row>
    <row r="107">
      <c r="B107" s="36" t="str">
        <f t="shared" si="41"/>
        <v>-$28,000</v>
      </c>
      <c r="C107" s="32" t="str">
        <f t="shared" si="43"/>
        <v>-$663.99</v>
      </c>
      <c r="D107" s="32" t="str">
        <f t="shared" si="44"/>
        <v>-$264.75</v>
      </c>
      <c r="E107" s="32" t="str">
        <f t="shared" si="45"/>
        <v>-$204.43</v>
      </c>
      <c r="F107" s="32" t="str">
        <f t="shared" si="46"/>
        <v>-$146.55</v>
      </c>
      <c r="G107" s="32" t="str">
        <f t="shared" si="47"/>
        <v>-$91.06</v>
      </c>
      <c r="H107" s="32" t="str">
        <f t="shared" si="48"/>
        <v>-$37.96</v>
      </c>
      <c r="I107" s="32" t="str">
        <f t="shared" si="49"/>
        <v>$12.77</v>
      </c>
      <c r="J107" s="32" t="str">
        <f t="shared" ref="J107:J108" si="50">J$44*$B$13-sum(J$80:J$83)</f>
        <v>$61.17</v>
      </c>
      <c r="K107" s="32" t="str">
        <f>K$44*$B$13-sum(K$80:K$83)+K95</f>
        <v>$45,809.05</v>
      </c>
      <c r="M107" s="39" t="str">
        <f t="shared" si="42"/>
        <v>5.12%</v>
      </c>
    </row>
    <row r="108">
      <c r="B108" s="36" t="str">
        <f t="shared" si="41"/>
        <v>-$28,000</v>
      </c>
      <c r="C108" s="32" t="str">
        <f t="shared" si="43"/>
        <v>-$663.99</v>
      </c>
      <c r="D108" s="32" t="str">
        <f t="shared" si="44"/>
        <v>-$264.75</v>
      </c>
      <c r="E108" s="32" t="str">
        <f t="shared" si="45"/>
        <v>-$204.43</v>
      </c>
      <c r="F108" s="32" t="str">
        <f t="shared" si="46"/>
        <v>-$146.55</v>
      </c>
      <c r="G108" s="32" t="str">
        <f t="shared" si="47"/>
        <v>-$91.06</v>
      </c>
      <c r="H108" s="32" t="str">
        <f t="shared" si="48"/>
        <v>-$37.96</v>
      </c>
      <c r="I108" s="32" t="str">
        <f t="shared" si="49"/>
        <v>$12.77</v>
      </c>
      <c r="J108" s="32" t="str">
        <f t="shared" si="50"/>
        <v>$61.17</v>
      </c>
      <c r="K108" s="32" t="str">
        <f>K$44*$B$13-sum(K$80:K$83)</f>
        <v>$107.24</v>
      </c>
      <c r="L108" s="32" t="str">
        <f>L$44*$B$13-sum(L$80:L$83)+L95</f>
        <v>$47,673.67</v>
      </c>
      <c r="M108" s="39" t="str">
        <f t="shared" si="42"/>
        <v>5.04%</v>
      </c>
    </row>
  </sheetData>
  <mergeCells count="1">
    <mergeCell ref="H9:J9"/>
  </mergeCells>
  <drawing r:id="rId1"/>
</worksheet>
</file>