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ndipto.sanyal\OneDrive - Accenture\Documents\Study materials\AMPBA\Term1\statistical analysis\notes\"/>
    </mc:Choice>
  </mc:AlternateContent>
  <xr:revisionPtr revIDLastSave="867" documentId="11_F25DC773A252ABDACC104838D99C643C5BDE58F3" xr6:coauthVersionLast="45" xr6:coauthVersionMax="45" xr10:uidLastSave="{5704B5C8-5F2B-49E7-80B2-613011023837}"/>
  <bookViews>
    <workbookView xWindow="-108" yWindow="-108" windowWidth="23256" windowHeight="12576" activeTab="1" xr2:uid="{00000000-000D-0000-FFFF-FFFF00000000}"/>
  </bookViews>
  <sheets>
    <sheet name="CI" sheetId="1" r:id="rId1"/>
    <sheet name="Hypothesis" sheetId="2" r:id="rId2"/>
    <sheet name="Rough work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1" i="3" l="1"/>
  <c r="D10" i="3"/>
  <c r="D9" i="3"/>
  <c r="D8" i="3"/>
  <c r="D7" i="3"/>
  <c r="D6" i="3"/>
  <c r="B15" i="2"/>
  <c r="B2" i="1"/>
  <c r="D5" i="3"/>
  <c r="D4" i="3"/>
  <c r="D3" i="3"/>
  <c r="D2" i="3"/>
  <c r="B14" i="2"/>
  <c r="B7" i="3"/>
  <c r="B8" i="3" s="1"/>
  <c r="B13" i="3"/>
  <c r="B10" i="3"/>
  <c r="B12" i="3" s="1"/>
  <c r="B9" i="3" l="1"/>
  <c r="B11" i="3"/>
  <c r="H59" i="2"/>
  <c r="H60" i="2"/>
  <c r="H61" i="2"/>
  <c r="F61" i="2" s="1"/>
  <c r="G61" i="2" s="1"/>
  <c r="H62" i="2"/>
  <c r="F62" i="2" s="1"/>
  <c r="G62" i="2" s="1"/>
  <c r="H63" i="2"/>
  <c r="F63" i="2" s="1"/>
  <c r="G63" i="2" s="1"/>
  <c r="H64" i="2"/>
  <c r="H65" i="2"/>
  <c r="H66" i="2"/>
  <c r="F66" i="2" s="1"/>
  <c r="G66" i="2" s="1"/>
  <c r="H67" i="2"/>
  <c r="H68" i="2"/>
  <c r="F68" i="2" s="1"/>
  <c r="G68" i="2" s="1"/>
  <c r="H69" i="2"/>
  <c r="F69" i="2" s="1"/>
  <c r="G69" i="2" s="1"/>
  <c r="H70" i="2"/>
  <c r="F70" i="2" s="1"/>
  <c r="G70" i="2" s="1"/>
  <c r="H71" i="2"/>
  <c r="H72" i="2"/>
  <c r="F72" i="2" s="1"/>
  <c r="G72" i="2" s="1"/>
  <c r="H58" i="2"/>
  <c r="F58" i="2" s="1"/>
  <c r="G58" i="2" s="1"/>
  <c r="F59" i="2"/>
  <c r="G59" i="2" s="1"/>
  <c r="F60" i="2"/>
  <c r="G60" i="2" s="1"/>
  <c r="F64" i="2"/>
  <c r="G64" i="2" s="1"/>
  <c r="F65" i="2"/>
  <c r="G65" i="2" s="1"/>
  <c r="F67" i="2"/>
  <c r="G67" i="2" s="1"/>
  <c r="F71" i="2"/>
  <c r="G71" i="2" s="1"/>
  <c r="E23" i="2" l="1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22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3" i="2"/>
  <c r="E11" i="1"/>
  <c r="E15" i="1" s="1"/>
  <c r="E8" i="1"/>
  <c r="E7" i="1"/>
  <c r="E5" i="1"/>
  <c r="B7" i="1"/>
  <c r="B11" i="1" s="1"/>
  <c r="B5" i="1"/>
  <c r="B13" i="1" l="1"/>
  <c r="B8" i="1"/>
  <c r="B10" i="1" s="1"/>
  <c r="E13" i="1"/>
  <c r="E12" i="1"/>
  <c r="B12" i="1"/>
  <c r="E42" i="2"/>
  <c r="E43" i="2"/>
  <c r="E44" i="2"/>
  <c r="E45" i="2"/>
  <c r="E46" i="2"/>
  <c r="E47" i="2"/>
  <c r="E48" i="2"/>
  <c r="E49" i="2"/>
  <c r="E50" i="2"/>
  <c r="E51" i="2"/>
  <c r="E52" i="2"/>
  <c r="E53" i="2"/>
  <c r="E41" i="2"/>
  <c r="B10" i="2"/>
  <c r="B11" i="2" s="1"/>
  <c r="B16" i="1" l="1"/>
  <c r="B9" i="1"/>
  <c r="E16" i="1"/>
  <c r="E10" i="1"/>
  <c r="E9" i="1"/>
  <c r="F47" i="2"/>
  <c r="F48" i="2"/>
  <c r="F42" i="2"/>
  <c r="F45" i="2"/>
  <c r="F49" i="2"/>
  <c r="F50" i="2"/>
  <c r="F51" i="2"/>
  <c r="F53" i="2"/>
  <c r="F52" i="2"/>
  <c r="F41" i="2"/>
  <c r="F43" i="2"/>
  <c r="F44" i="2"/>
  <c r="F46" i="2"/>
  <c r="B12" i="2"/>
  <c r="G53" i="2" s="1"/>
  <c r="B7" i="2"/>
  <c r="B9" i="2" s="1"/>
  <c r="B15" i="1" l="1"/>
  <c r="G43" i="2"/>
  <c r="H43" i="2" s="1"/>
  <c r="I43" i="2" s="1"/>
  <c r="G51" i="2"/>
  <c r="H51" i="2" s="1"/>
  <c r="I51" i="2" s="1"/>
  <c r="H53" i="2"/>
  <c r="I53" i="2" s="1"/>
  <c r="G52" i="2"/>
  <c r="H52" i="2" s="1"/>
  <c r="I52" i="2" s="1"/>
  <c r="G45" i="2"/>
  <c r="H45" i="2" s="1"/>
  <c r="I45" i="2" s="1"/>
  <c r="G48" i="2"/>
  <c r="H48" i="2" s="1"/>
  <c r="I48" i="2" s="1"/>
  <c r="G46" i="2"/>
  <c r="H46" i="2" s="1"/>
  <c r="I46" i="2" s="1"/>
  <c r="G47" i="2"/>
  <c r="H47" i="2" s="1"/>
  <c r="I47" i="2" s="1"/>
  <c r="G41" i="2"/>
  <c r="H41" i="2" s="1"/>
  <c r="I41" i="2" s="1"/>
  <c r="G49" i="2"/>
  <c r="H49" i="2" s="1"/>
  <c r="I49" i="2" s="1"/>
  <c r="G50" i="2"/>
  <c r="H50" i="2" s="1"/>
  <c r="I50" i="2" s="1"/>
  <c r="G42" i="2"/>
  <c r="H42" i="2" s="1"/>
  <c r="I42" i="2" s="1"/>
  <c r="G44" i="2"/>
  <c r="H44" i="2" s="1"/>
  <c r="I44" i="2" s="1"/>
  <c r="H1" i="2"/>
  <c r="B8" i="2"/>
  <c r="H20" i="2"/>
  <c r="F27" i="2" l="1"/>
  <c r="G27" i="2" s="1"/>
  <c r="F28" i="2"/>
  <c r="G28" i="2" s="1"/>
  <c r="F31" i="2"/>
  <c r="G31" i="2" s="1"/>
  <c r="F32" i="2"/>
  <c r="G32" i="2" s="1"/>
  <c r="F33" i="2"/>
  <c r="G33" i="2" s="1"/>
  <c r="F23" i="2"/>
  <c r="G23" i="2" s="1"/>
  <c r="F24" i="2"/>
  <c r="G24" i="2" s="1"/>
  <c r="F37" i="2"/>
  <c r="G37" i="2" s="1"/>
  <c r="F26" i="2"/>
  <c r="G26" i="2" s="1"/>
  <c r="F29" i="2"/>
  <c r="G29" i="2" s="1"/>
  <c r="F30" i="2"/>
  <c r="G30" i="2" s="1"/>
  <c r="F34" i="2"/>
  <c r="G34" i="2" s="1"/>
  <c r="F36" i="2"/>
  <c r="G36" i="2" s="1"/>
  <c r="F25" i="2"/>
  <c r="G25" i="2" s="1"/>
  <c r="F22" i="2"/>
  <c r="G22" i="2" s="1"/>
  <c r="F35" i="2"/>
  <c r="G35" i="2" s="1"/>
  <c r="F4" i="2"/>
  <c r="G4" i="2" s="1"/>
  <c r="F16" i="2"/>
  <c r="G16" i="2" s="1"/>
  <c r="F5" i="2"/>
  <c r="G5" i="2" s="1"/>
  <c r="F17" i="2"/>
  <c r="G17" i="2" s="1"/>
  <c r="F8" i="2"/>
  <c r="G8" i="2" s="1"/>
  <c r="F9" i="2"/>
  <c r="G9" i="2" s="1"/>
  <c r="F11" i="2"/>
  <c r="G11" i="2" s="1"/>
  <c r="F6" i="2"/>
  <c r="G6" i="2" s="1"/>
  <c r="F18" i="2"/>
  <c r="G18" i="2" s="1"/>
  <c r="F7" i="2"/>
  <c r="G7" i="2" s="1"/>
  <c r="F3" i="2"/>
  <c r="G3" i="2" s="1"/>
  <c r="F10" i="2"/>
  <c r="G10" i="2" s="1"/>
  <c r="F12" i="2"/>
  <c r="G12" i="2" s="1"/>
  <c r="F13" i="2"/>
  <c r="G13" i="2" s="1"/>
  <c r="F14" i="2"/>
  <c r="G14" i="2" s="1"/>
  <c r="F15" i="2"/>
  <c r="G15" i="2" s="1"/>
</calcChain>
</file>

<file path=xl/sharedStrings.xml><?xml version="1.0" encoding="utf-8"?>
<sst xmlns="http://schemas.openxmlformats.org/spreadsheetml/2006/main" count="84" uniqueCount="48">
  <si>
    <t>μ</t>
  </si>
  <si>
    <t>Sample mean</t>
  </si>
  <si>
    <t>α</t>
  </si>
  <si>
    <t>Z_α</t>
  </si>
  <si>
    <t>n</t>
  </si>
  <si>
    <t>β</t>
  </si>
  <si>
    <t>sl.no.</t>
  </si>
  <si>
    <t>Z value</t>
  </si>
  <si>
    <t>CI</t>
  </si>
  <si>
    <r>
      <t xml:space="preserve">Rated </t>
    </r>
    <r>
      <rPr>
        <b/>
        <sz val="11"/>
        <color theme="1"/>
        <rFont val="Calibri"/>
        <family val="2"/>
      </rPr>
      <t>μ</t>
    </r>
  </si>
  <si>
    <r>
      <t xml:space="preserve">Rated </t>
    </r>
    <r>
      <rPr>
        <b/>
        <sz val="11"/>
        <color theme="1"/>
        <rFont val="Calibri"/>
        <family val="2"/>
      </rPr>
      <t>σ</t>
    </r>
  </si>
  <si>
    <t>Critical sample mean for right tail rejection</t>
  </si>
  <si>
    <t>Critical sample mean for left tail rejection</t>
  </si>
  <si>
    <t>Lower limit of sample mean for two tailed</t>
  </si>
  <si>
    <t>Z_α/2 for two tailed</t>
  </si>
  <si>
    <t>Upper limit of sample mean for two tailed</t>
  </si>
  <si>
    <t>Z_high</t>
  </si>
  <si>
    <t>Z_low</t>
  </si>
  <si>
    <t>Z test</t>
  </si>
  <si>
    <t>Population std. dev</t>
  </si>
  <si>
    <t>Number of samples</t>
  </si>
  <si>
    <t>Std. dev. Of sample means</t>
  </si>
  <si>
    <t>Error</t>
  </si>
  <si>
    <t>Z_single_tailed</t>
  </si>
  <si>
    <t>Upper limit right tailed</t>
  </si>
  <si>
    <t>Lower limit left tailed</t>
  </si>
  <si>
    <t>Z_two_tailed</t>
  </si>
  <si>
    <t>Upper limit two tailed</t>
  </si>
  <si>
    <t>Lower limit two tailed</t>
  </si>
  <si>
    <t>DMOE</t>
  </si>
  <si>
    <t>Number of samples required</t>
  </si>
  <si>
    <t>t test</t>
  </si>
  <si>
    <t>Sample std. dev</t>
  </si>
  <si>
    <t>t_single_tailed</t>
  </si>
  <si>
    <t>t_two_tailed</t>
  </si>
  <si>
    <t>Number of samples required if Z test is considered</t>
  </si>
  <si>
    <t>Current MOE</t>
  </si>
  <si>
    <t>Number of samples (pilot)</t>
  </si>
  <si>
    <t>Z_critical_low</t>
  </si>
  <si>
    <t>σ</t>
  </si>
  <si>
    <r>
      <t xml:space="preserve">Variation of </t>
    </r>
    <r>
      <rPr>
        <sz val="11"/>
        <color theme="1"/>
        <rFont val="Calibri"/>
        <family val="2"/>
      </rPr>
      <t>β vs. α for given µ</t>
    </r>
    <r>
      <rPr>
        <sz val="11"/>
        <color theme="1"/>
        <rFont val="Calibri"/>
        <family val="2"/>
        <scheme val="minor"/>
      </rPr>
      <t xml:space="preserve"> and n for left tailed test</t>
    </r>
  </si>
  <si>
    <t>H0 &gt;= µ</t>
  </si>
  <si>
    <t>μ_i &lt; μ</t>
  </si>
  <si>
    <t>P value for sample mean</t>
  </si>
  <si>
    <t>T valued Hypo</t>
  </si>
  <si>
    <t>X_bar</t>
  </si>
  <si>
    <t>Reqd. P value for sample mean</t>
  </si>
  <si>
    <t>P value of sample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</si>
</sst>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0" fillId="0" borderId="0" xfId="0" applyFont="1"/>
    <xf numFmtId="0" fontId="0" fillId="0" borderId="1" xfId="0" applyFont="1" applyBorder="1"/>
    <xf numFmtId="0" fontId="3" fillId="0" borderId="1" xfId="0" applyFont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0" fillId="2" borderId="1" xfId="0" applyFont="1" applyFill="1" applyBorder="1"/>
    <xf numFmtId="0" fontId="0" fillId="0" borderId="0" xfId="0" applyBorder="1"/>
    <xf numFmtId="0" fontId="2" fillId="0" borderId="0" xfId="0" applyFont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2" fillId="0" borderId="0" xfId="0" applyFont="1" applyFill="1" applyBorder="1"/>
    <xf numFmtId="0" fontId="0" fillId="0" borderId="0" xfId="0" applyBorder="1" applyAlignment="1">
      <alignment wrapText="1"/>
    </xf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Font="1" applyFill="1" applyBorder="1"/>
    <xf numFmtId="0" fontId="0" fillId="0" borderId="0" xfId="0" applyFont="1" applyBorder="1"/>
    <xf numFmtId="0" fontId="0" fillId="0" borderId="1" xfId="0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2" fillId="0" borderId="6" xfId="0" applyFont="1" applyBorder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β</a:t>
            </a:r>
            <a:r>
              <a:rPr lang="en-US"/>
              <a:t> vs. </a:t>
            </a:r>
            <a:r>
              <a:rPr lang="el-GR"/>
              <a:t>μ</a:t>
            </a:r>
            <a:r>
              <a:rPr lang="en-US"/>
              <a:t> 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Hypothesis!$G$2</c:f>
              <c:strCache>
                <c:ptCount val="1"/>
                <c:pt idx="0">
                  <c:v>β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Hypothesis!$E$3:$E$18</c:f>
              <c:numCache>
                <c:formatCode>General</c:formatCode>
                <c:ptCount val="16"/>
                <c:pt idx="0">
                  <c:v>60</c:v>
                </c:pt>
                <c:pt idx="1">
                  <c:v>60.25</c:v>
                </c:pt>
                <c:pt idx="2">
                  <c:v>60.5</c:v>
                </c:pt>
                <c:pt idx="3">
                  <c:v>60.75</c:v>
                </c:pt>
                <c:pt idx="4">
                  <c:v>61</c:v>
                </c:pt>
                <c:pt idx="5">
                  <c:v>61.25</c:v>
                </c:pt>
                <c:pt idx="6">
                  <c:v>61.5</c:v>
                </c:pt>
                <c:pt idx="7">
                  <c:v>61.75</c:v>
                </c:pt>
                <c:pt idx="8">
                  <c:v>62</c:v>
                </c:pt>
                <c:pt idx="9">
                  <c:v>62.25</c:v>
                </c:pt>
                <c:pt idx="10">
                  <c:v>62.5</c:v>
                </c:pt>
                <c:pt idx="11">
                  <c:v>62.75</c:v>
                </c:pt>
                <c:pt idx="12">
                  <c:v>63</c:v>
                </c:pt>
                <c:pt idx="13">
                  <c:v>63.25</c:v>
                </c:pt>
                <c:pt idx="14">
                  <c:v>63.5</c:v>
                </c:pt>
                <c:pt idx="15">
                  <c:v>63.75</c:v>
                </c:pt>
              </c:numCache>
            </c:numRef>
          </c:cat>
          <c:val>
            <c:numRef>
              <c:f>Hypothesis!$G$3:$G$18</c:f>
              <c:numCache>
                <c:formatCode>General</c:formatCode>
                <c:ptCount val="16"/>
                <c:pt idx="0">
                  <c:v>0.95000000000000007</c:v>
                </c:pt>
                <c:pt idx="1">
                  <c:v>0.94321556761676828</c:v>
                </c:pt>
                <c:pt idx="2">
                  <c:v>0.93572611621879542</c:v>
                </c:pt>
                <c:pt idx="3">
                  <c:v>0.92749060459958066</c:v>
                </c:pt>
                <c:pt idx="4">
                  <c:v>0.9184700082248819</c:v>
                </c:pt>
                <c:pt idx="5">
                  <c:v>0.90862799359003177</c:v>
                </c:pt>
                <c:pt idx="6">
                  <c:v>0.89793161290015611</c:v>
                </c:pt>
                <c:pt idx="7">
                  <c:v>0.88635200682951087</c:v>
                </c:pt>
                <c:pt idx="8">
                  <c:v>0.87386510180656984</c:v>
                </c:pt>
                <c:pt idx="9">
                  <c:v>0.86045228723052181</c:v>
                </c:pt>
                <c:pt idx="10">
                  <c:v>0.84610105730945007</c:v>
                </c:pt>
                <c:pt idx="11">
                  <c:v>0.83080560187061225</c:v>
                </c:pt>
                <c:pt idx="12">
                  <c:v>0.81456733056922292</c:v>
                </c:pt>
                <c:pt idx="13">
                  <c:v>0.79739531544226983</c:v>
                </c:pt>
                <c:pt idx="14">
                  <c:v>0.77930663773244135</c:v>
                </c:pt>
                <c:pt idx="15">
                  <c:v>0.76032662634290116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6D-468A-9B5E-009B0543C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548000"/>
        <c:axId val="149338992"/>
      </c:lineChart>
      <c:catAx>
        <c:axId val="15054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38992"/>
        <c:crosses val="autoZero"/>
        <c:auto val="1"/>
        <c:lblAlgn val="ctr"/>
        <c:lblOffset val="100"/>
        <c:noMultiLvlLbl val="0"/>
      </c:catAx>
      <c:valAx>
        <c:axId val="14933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48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Hypothesis!$G$21</c:f>
              <c:strCache>
                <c:ptCount val="1"/>
                <c:pt idx="0">
                  <c:v>β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Hypothesis!$E$22:$E$37</c:f>
              <c:numCache>
                <c:formatCode>General</c:formatCode>
                <c:ptCount val="16"/>
                <c:pt idx="0">
                  <c:v>60</c:v>
                </c:pt>
                <c:pt idx="1">
                  <c:v>59.75</c:v>
                </c:pt>
                <c:pt idx="2">
                  <c:v>59.5</c:v>
                </c:pt>
                <c:pt idx="3">
                  <c:v>59.25</c:v>
                </c:pt>
                <c:pt idx="4">
                  <c:v>59</c:v>
                </c:pt>
                <c:pt idx="5">
                  <c:v>58.75</c:v>
                </c:pt>
                <c:pt idx="6">
                  <c:v>58.5</c:v>
                </c:pt>
                <c:pt idx="7">
                  <c:v>58.25</c:v>
                </c:pt>
                <c:pt idx="8">
                  <c:v>58</c:v>
                </c:pt>
                <c:pt idx="9">
                  <c:v>57.75</c:v>
                </c:pt>
                <c:pt idx="10">
                  <c:v>57.5</c:v>
                </c:pt>
                <c:pt idx="11">
                  <c:v>57.25</c:v>
                </c:pt>
                <c:pt idx="12">
                  <c:v>57</c:v>
                </c:pt>
                <c:pt idx="13">
                  <c:v>56.75</c:v>
                </c:pt>
                <c:pt idx="14">
                  <c:v>56.5</c:v>
                </c:pt>
                <c:pt idx="15">
                  <c:v>56.25</c:v>
                </c:pt>
              </c:numCache>
            </c:numRef>
          </c:cat>
          <c:val>
            <c:numRef>
              <c:f>Hypothesis!$G$22:$G$37</c:f>
              <c:numCache>
                <c:formatCode>General</c:formatCode>
                <c:ptCount val="16"/>
                <c:pt idx="0">
                  <c:v>0.95000000000000007</c:v>
                </c:pt>
                <c:pt idx="1">
                  <c:v>0.94321556761676828</c:v>
                </c:pt>
                <c:pt idx="2">
                  <c:v>0.93572611621879542</c:v>
                </c:pt>
                <c:pt idx="3">
                  <c:v>0.92749060459958066</c:v>
                </c:pt>
                <c:pt idx="4">
                  <c:v>0.9184700082248819</c:v>
                </c:pt>
                <c:pt idx="5">
                  <c:v>0.90862799359003177</c:v>
                </c:pt>
                <c:pt idx="6">
                  <c:v>0.89793161290015611</c:v>
                </c:pt>
                <c:pt idx="7">
                  <c:v>0.88635200682951087</c:v>
                </c:pt>
                <c:pt idx="8">
                  <c:v>0.87386510180656984</c:v>
                </c:pt>
                <c:pt idx="9">
                  <c:v>0.86045228723052181</c:v>
                </c:pt>
                <c:pt idx="10">
                  <c:v>0.84610105730945007</c:v>
                </c:pt>
                <c:pt idx="11">
                  <c:v>0.83080560187061225</c:v>
                </c:pt>
                <c:pt idx="12">
                  <c:v>0.81456733056922292</c:v>
                </c:pt>
                <c:pt idx="13">
                  <c:v>0.79739531544226983</c:v>
                </c:pt>
                <c:pt idx="14">
                  <c:v>0.77930663773244135</c:v>
                </c:pt>
                <c:pt idx="15">
                  <c:v>0.76032662634290116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D3-4234-A61A-E34BFC1E1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2241792"/>
        <c:axId val="1644137200"/>
      </c:lineChart>
      <c:catAx>
        <c:axId val="33224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137200"/>
        <c:crosses val="autoZero"/>
        <c:auto val="1"/>
        <c:lblAlgn val="ctr"/>
        <c:lblOffset val="100"/>
        <c:noMultiLvlLbl val="0"/>
      </c:catAx>
      <c:valAx>
        <c:axId val="164413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24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β</a:t>
            </a:r>
            <a:r>
              <a:rPr lang="en-US"/>
              <a:t> vs. </a:t>
            </a:r>
            <a:r>
              <a:rPr lang="el-GR"/>
              <a:t>μ</a:t>
            </a:r>
            <a:r>
              <a:rPr lang="en-US"/>
              <a:t> 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Hypothesis!$I$40</c:f>
              <c:strCache>
                <c:ptCount val="1"/>
                <c:pt idx="0">
                  <c:v>β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Hypothesis!$E$41:$E$53</c:f>
              <c:numCache>
                <c:formatCode>General</c:formatCode>
                <c:ptCount val="13"/>
                <c:pt idx="0">
                  <c:v>57</c:v>
                </c:pt>
                <c:pt idx="1">
                  <c:v>57.5</c:v>
                </c:pt>
                <c:pt idx="2">
                  <c:v>58</c:v>
                </c:pt>
                <c:pt idx="3">
                  <c:v>58.5</c:v>
                </c:pt>
                <c:pt idx="4">
                  <c:v>59</c:v>
                </c:pt>
                <c:pt idx="5">
                  <c:v>59.5</c:v>
                </c:pt>
                <c:pt idx="6">
                  <c:v>60</c:v>
                </c:pt>
                <c:pt idx="7">
                  <c:v>60.5</c:v>
                </c:pt>
                <c:pt idx="8">
                  <c:v>61</c:v>
                </c:pt>
                <c:pt idx="9">
                  <c:v>61.5</c:v>
                </c:pt>
                <c:pt idx="10">
                  <c:v>62</c:v>
                </c:pt>
                <c:pt idx="11">
                  <c:v>62.5</c:v>
                </c:pt>
                <c:pt idx="12">
                  <c:v>63</c:v>
                </c:pt>
              </c:numCache>
            </c:numRef>
          </c:xVal>
          <c:yVal>
            <c:numRef>
              <c:f>Hypothesis!$I$41:$I$53</c:f>
              <c:numCache>
                <c:formatCode>General</c:formatCode>
                <c:ptCount val="13"/>
                <c:pt idx="0">
                  <c:v>0.11651088224933071</c:v>
                </c:pt>
                <c:pt idx="1">
                  <c:v>9.5813525634441565E-2</c:v>
                </c:pt>
                <c:pt idx="2">
                  <c:v>7.9097534160596616E-2</c:v>
                </c:pt>
                <c:pt idx="3">
                  <c:v>6.625990982686536E-2</c:v>
                </c:pt>
                <c:pt idx="4">
                  <c:v>5.7190097551224284E-2</c:v>
                </c:pt>
                <c:pt idx="5">
                  <c:v>5.1791797925010874E-2</c:v>
                </c:pt>
                <c:pt idx="6">
                  <c:v>5.0000000000000044E-2</c:v>
                </c:pt>
                <c:pt idx="7">
                  <c:v>5.1791797925010874E-2</c:v>
                </c:pt>
                <c:pt idx="8">
                  <c:v>5.7190097551224284E-2</c:v>
                </c:pt>
                <c:pt idx="9">
                  <c:v>6.625990982686536E-2</c:v>
                </c:pt>
                <c:pt idx="10">
                  <c:v>7.9097534160596616E-2</c:v>
                </c:pt>
                <c:pt idx="11">
                  <c:v>9.5813525634441565E-2</c:v>
                </c:pt>
                <c:pt idx="12">
                  <c:v>0.11651088224933071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6B5-4DDD-BAC2-52FA2922F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0548767"/>
        <c:axId val="1420256495"/>
      </c:scatterChart>
      <c:valAx>
        <c:axId val="1420548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256495"/>
        <c:crosses val="autoZero"/>
        <c:crossBetween val="midCat"/>
      </c:valAx>
      <c:valAx>
        <c:axId val="142025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548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Hypothesis!$E$58:$E$87</c:f>
              <c:numCache>
                <c:formatCode>General</c:formatCode>
                <c:ptCount val="30"/>
                <c:pt idx="0">
                  <c:v>1E-3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7.0000000000000007E-2</c:v>
                </c:pt>
              </c:numCache>
            </c:numRef>
          </c:xVal>
          <c:yVal>
            <c:numRef>
              <c:f>Hypothesis!$G$58:$G$87</c:f>
              <c:numCache>
                <c:formatCode>General</c:formatCode>
                <c:ptCount val="30"/>
                <c:pt idx="0">
                  <c:v>0.5525839496365117</c:v>
                </c:pt>
                <c:pt idx="1">
                  <c:v>0.35115258444127462</c:v>
                </c:pt>
                <c:pt idx="2">
                  <c:v>0.26379407256523202</c:v>
                </c:pt>
                <c:pt idx="3">
                  <c:v>0.21536311863003421</c:v>
                </c:pt>
                <c:pt idx="4">
                  <c:v>0.18292056395986878</c:v>
                </c:pt>
                <c:pt idx="5">
                  <c:v>0.15912127601007153</c:v>
                </c:pt>
                <c:pt idx="6">
                  <c:v>0.14068512657314258</c:v>
                </c:pt>
                <c:pt idx="7">
                  <c:v>0.12587084473571852</c:v>
                </c:pt>
                <c:pt idx="8">
                  <c:v>0.11364795595622645</c:v>
                </c:pt>
                <c:pt idx="9">
                  <c:v>0.10335890077594878</c:v>
                </c:pt>
                <c:pt idx="10">
                  <c:v>9.4560095587593596E-2</c:v>
                </c:pt>
                <c:pt idx="11">
                  <c:v>8.6939212165683455E-2</c:v>
                </c:pt>
                <c:pt idx="12">
                  <c:v>8.0268722210894539E-2</c:v>
                </c:pt>
                <c:pt idx="13">
                  <c:v>7.4378207582862621E-2</c:v>
                </c:pt>
                <c:pt idx="14">
                  <c:v>6.913704464174919E-2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48-4B3F-9DE1-3C2BF99BD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20272"/>
        <c:axId val="225618704"/>
      </c:scatterChart>
      <c:valAx>
        <c:axId val="8052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618704"/>
        <c:crosses val="autoZero"/>
        <c:crossBetween val="midCat"/>
      </c:valAx>
      <c:valAx>
        <c:axId val="22561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20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4481</xdr:colOff>
      <xdr:row>0</xdr:row>
      <xdr:rowOff>0</xdr:rowOff>
    </xdr:from>
    <xdr:to>
      <xdr:col>16</xdr:col>
      <xdr:colOff>309281</xdr:colOff>
      <xdr:row>14</xdr:row>
      <xdr:rowOff>26894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2BB3408-64CE-454C-AD06-856AB5684C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3276</xdr:colOff>
      <xdr:row>18</xdr:row>
      <xdr:rowOff>147233</xdr:rowOff>
    </xdr:from>
    <xdr:to>
      <xdr:col>16</xdr:col>
      <xdr:colOff>308076</xdr:colOff>
      <xdr:row>32</xdr:row>
      <xdr:rowOff>128959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7D61293-527D-4CD0-8839-700BCEEDE6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342900</xdr:colOff>
      <xdr:row>38</xdr:row>
      <xdr:rowOff>76205</xdr:rowOff>
    </xdr:from>
    <xdr:to>
      <xdr:col>17</xdr:col>
      <xdr:colOff>38100</xdr:colOff>
      <xdr:row>53</xdr:row>
      <xdr:rowOff>93789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18227F5-C467-4746-AC86-FBE54D1F08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551329</xdr:colOff>
      <xdr:row>56</xdr:row>
      <xdr:rowOff>76200</xdr:rowOff>
    </xdr:from>
    <xdr:to>
      <xdr:col>17</xdr:col>
      <xdr:colOff>246529</xdr:colOff>
      <xdr:row>71</xdr:row>
      <xdr:rowOff>129988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D96BFD3-0F70-4FDB-B3C8-FD36555C54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zoomScaleNormal="100" workbookViewId="0">
      <pane ySplit="1" topLeftCell="A2" activePane="bottomLeft" state="frozen"/>
      <selection pane="bottomLeft" activeCell="B16" sqref="B16"/>
    </sheetView>
  </sheetViews>
  <sheetFormatPr defaultRowHeight="14.4" x14ac:dyDescent="0.3"/>
  <cols>
    <col min="1" max="1" width="19.5546875" customWidth="1"/>
    <col min="4" max="4" width="25.44140625" customWidth="1"/>
    <col min="5" max="5" width="11.88671875" customWidth="1"/>
  </cols>
  <sheetData>
    <row r="1" spans="1:7" x14ac:dyDescent="0.3">
      <c r="A1" s="2" t="s">
        <v>18</v>
      </c>
      <c r="D1" s="2" t="s">
        <v>31</v>
      </c>
      <c r="E1" s="10"/>
      <c r="F1" s="10"/>
      <c r="G1" s="10"/>
    </row>
    <row r="2" spans="1:7" x14ac:dyDescent="0.3">
      <c r="A2" s="1" t="s">
        <v>1</v>
      </c>
      <c r="B2" s="12">
        <f>(367.6+250)/2</f>
        <v>308.8</v>
      </c>
      <c r="D2" s="1" t="s">
        <v>1</v>
      </c>
      <c r="E2" s="12">
        <v>40</v>
      </c>
      <c r="F2" s="11"/>
      <c r="G2" s="11"/>
    </row>
    <row r="3" spans="1:7" x14ac:dyDescent="0.3">
      <c r="A3" s="1" t="s">
        <v>19</v>
      </c>
      <c r="B3" s="12">
        <v>300</v>
      </c>
      <c r="D3" s="1" t="s">
        <v>32</v>
      </c>
      <c r="E3" s="12">
        <v>2</v>
      </c>
      <c r="F3" s="10"/>
      <c r="G3" s="10"/>
    </row>
    <row r="4" spans="1:7" x14ac:dyDescent="0.3">
      <c r="A4" s="1" t="s">
        <v>20</v>
      </c>
      <c r="B4" s="12">
        <v>400</v>
      </c>
      <c r="D4" s="1" t="s">
        <v>37</v>
      </c>
      <c r="E4" s="12">
        <v>1085</v>
      </c>
      <c r="F4" s="10"/>
      <c r="G4" s="10"/>
    </row>
    <row r="5" spans="1:7" x14ac:dyDescent="0.3">
      <c r="A5" s="1" t="s">
        <v>21</v>
      </c>
      <c r="B5" s="1">
        <f>B3/SQRT(B4)</f>
        <v>15</v>
      </c>
      <c r="D5" s="1" t="s">
        <v>21</v>
      </c>
      <c r="E5" s="1">
        <f>E3/SQRT(E4)</f>
        <v>6.0717674071891624E-2</v>
      </c>
    </row>
    <row r="6" spans="1:7" x14ac:dyDescent="0.3">
      <c r="A6" s="1" t="s">
        <v>8</v>
      </c>
      <c r="B6" s="12">
        <v>0.95</v>
      </c>
      <c r="D6" s="1" t="s">
        <v>8</v>
      </c>
      <c r="E6" s="12">
        <v>0.9</v>
      </c>
    </row>
    <row r="7" spans="1:7" x14ac:dyDescent="0.3">
      <c r="A7" s="1" t="s">
        <v>22</v>
      </c>
      <c r="B7" s="1">
        <f>1-B6</f>
        <v>5.0000000000000044E-2</v>
      </c>
      <c r="D7" s="1" t="s">
        <v>22</v>
      </c>
      <c r="E7" s="1">
        <f>1-E6</f>
        <v>9.9999999999999978E-2</v>
      </c>
    </row>
    <row r="8" spans="1:7" hidden="1" x14ac:dyDescent="0.3">
      <c r="A8" s="1" t="s">
        <v>23</v>
      </c>
      <c r="B8" s="1">
        <f>ABS(_xlfn.NORM.INV(B7,0,1))</f>
        <v>1.6448536269514715</v>
      </c>
      <c r="D8" s="1" t="s">
        <v>33</v>
      </c>
      <c r="E8" s="1">
        <f>ABS(_xlfn.T.INV(E7,E4-1))</f>
        <v>1.2823330338463492</v>
      </c>
    </row>
    <row r="9" spans="1:7" hidden="1" x14ac:dyDescent="0.3">
      <c r="A9" s="1" t="s">
        <v>24</v>
      </c>
      <c r="B9" s="1">
        <f>B2+B8*B5</f>
        <v>333.4728044042721</v>
      </c>
      <c r="D9" s="1" t="s">
        <v>24</v>
      </c>
      <c r="E9" s="1">
        <f>E2+E8*E5</f>
        <v>40.077860279200699</v>
      </c>
    </row>
    <row r="10" spans="1:7" hidden="1" x14ac:dyDescent="0.3">
      <c r="A10" s="1" t="s">
        <v>25</v>
      </c>
      <c r="B10" s="1">
        <f>B2-B8*B5</f>
        <v>284.12719559572793</v>
      </c>
      <c r="D10" s="1" t="s">
        <v>25</v>
      </c>
      <c r="E10" s="1">
        <f>E2-E8*E5</f>
        <v>39.922139720799301</v>
      </c>
    </row>
    <row r="11" spans="1:7" x14ac:dyDescent="0.3">
      <c r="A11" s="1" t="s">
        <v>26</v>
      </c>
      <c r="B11" s="1">
        <f>ABS(_xlfn.NORM.INV(B7/2,0,1))</f>
        <v>1.9599639845400536</v>
      </c>
      <c r="D11" s="1" t="s">
        <v>34</v>
      </c>
      <c r="E11" s="1">
        <f>ABS(_xlfn.T.INV(E7/2,E4-1))</f>
        <v>1.6462605274447808</v>
      </c>
    </row>
    <row r="12" spans="1:7" x14ac:dyDescent="0.3">
      <c r="A12" s="1" t="s">
        <v>27</v>
      </c>
      <c r="B12" s="1">
        <f>B2+B11*B5</f>
        <v>338.19945976810084</v>
      </c>
      <c r="D12" s="1" t="s">
        <v>27</v>
      </c>
      <c r="E12" s="1">
        <f>E2+E11*E5</f>
        <v>40.09995711014281</v>
      </c>
    </row>
    <row r="13" spans="1:7" x14ac:dyDescent="0.3">
      <c r="A13" s="1" t="s">
        <v>28</v>
      </c>
      <c r="B13" s="1">
        <f>B2-B11*B5</f>
        <v>279.40054023189919</v>
      </c>
      <c r="D13" s="1" t="s">
        <v>28</v>
      </c>
      <c r="E13" s="1">
        <f>E2-E11*E5</f>
        <v>39.90004288985719</v>
      </c>
    </row>
    <row r="14" spans="1:7" x14ac:dyDescent="0.3">
      <c r="A14" s="1" t="s">
        <v>29</v>
      </c>
      <c r="B14" s="12">
        <v>58.798919536201595</v>
      </c>
      <c r="D14" s="1" t="s">
        <v>29</v>
      </c>
      <c r="E14" s="12">
        <v>0.1</v>
      </c>
    </row>
    <row r="15" spans="1:7" ht="43.2" x14ac:dyDescent="0.3">
      <c r="A15" s="13" t="s">
        <v>30</v>
      </c>
      <c r="B15" s="1">
        <f>ROUNDUP((B3*B11/B14)^2,0)</f>
        <v>100</v>
      </c>
      <c r="D15" s="13" t="s">
        <v>35</v>
      </c>
      <c r="E15" s="1">
        <f>ROUNDUP((E3*E11/E14)^2,0)</f>
        <v>1085</v>
      </c>
    </row>
    <row r="16" spans="1:7" x14ac:dyDescent="0.3">
      <c r="A16" s="14" t="s">
        <v>36</v>
      </c>
      <c r="B16">
        <f>(B12-B13)/2</f>
        <v>29.399459768100826</v>
      </c>
      <c r="D16" s="14" t="s">
        <v>36</v>
      </c>
      <c r="E16">
        <f>(E12-E13)/2</f>
        <v>9.9957110142810279E-2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D9537-D3E3-47D2-A4BC-FB1C8614A7C5}">
  <dimension ref="A1:I72"/>
  <sheetViews>
    <sheetView tabSelected="1" zoomScale="85" zoomScaleNormal="85" workbookViewId="0">
      <selection activeCell="B9" sqref="B9"/>
    </sheetView>
  </sheetViews>
  <sheetFormatPr defaultRowHeight="14.4" x14ac:dyDescent="0.3"/>
  <cols>
    <col min="1" max="1" width="22.77734375" style="10" customWidth="1"/>
    <col min="2" max="2" width="16.33203125" style="22" customWidth="1"/>
    <col min="3" max="6" width="8.88671875" style="10"/>
    <col min="7" max="7" width="12.44140625" style="10" customWidth="1"/>
    <col min="8" max="16384" width="8.88671875" style="10"/>
  </cols>
  <sheetData>
    <row r="1" spans="1:8" customFormat="1" ht="30" customHeight="1" x14ac:dyDescent="0.3">
      <c r="B1" s="4"/>
      <c r="D1" s="23" t="s">
        <v>11</v>
      </c>
      <c r="E1" s="23"/>
      <c r="F1" s="23"/>
      <c r="G1" s="23"/>
      <c r="H1" s="5">
        <f>B2+B3/SQRT(B4)*B7</f>
        <v>66.579414507805893</v>
      </c>
    </row>
    <row r="2" spans="1:8" customFormat="1" x14ac:dyDescent="0.3">
      <c r="A2" s="2" t="s">
        <v>9</v>
      </c>
      <c r="B2" s="9">
        <v>60</v>
      </c>
      <c r="D2" s="2" t="s">
        <v>6</v>
      </c>
      <c r="E2" s="3" t="s">
        <v>0</v>
      </c>
      <c r="F2" s="3" t="s">
        <v>7</v>
      </c>
      <c r="G2" s="3" t="s">
        <v>5</v>
      </c>
    </row>
    <row r="3" spans="1:8" customFormat="1" x14ac:dyDescent="0.3">
      <c r="A3" s="2" t="s">
        <v>10</v>
      </c>
      <c r="B3" s="9">
        <v>20</v>
      </c>
      <c r="D3" s="1">
        <v>0</v>
      </c>
      <c r="E3" s="1">
        <f>$B$2+D3*0.25</f>
        <v>60</v>
      </c>
      <c r="F3" s="1">
        <f>($H$1-E3)/($B$3/SQRT($B$4))</f>
        <v>1.6448536269514733</v>
      </c>
      <c r="G3" s="1">
        <f>_xlfn.NORM.DIST(F3,0,1,1)</f>
        <v>0.95000000000000007</v>
      </c>
    </row>
    <row r="4" spans="1:8" customFormat="1" x14ac:dyDescent="0.3">
      <c r="A4" s="2" t="s">
        <v>4</v>
      </c>
      <c r="B4" s="9">
        <v>25</v>
      </c>
      <c r="D4" s="1">
        <v>1</v>
      </c>
      <c r="E4" s="1">
        <f t="shared" ref="E4:E18" si="0">$B$2+D4*0.25</f>
        <v>60.25</v>
      </c>
      <c r="F4" s="1">
        <f t="shared" ref="F4:F18" si="1">($H$1-E4)/($B$3/SQRT($B$4))</f>
        <v>1.5823536269514733</v>
      </c>
      <c r="G4" s="1">
        <f t="shared" ref="G4:G18" si="2">_xlfn.NORM.DIST(F4,0,1,1)</f>
        <v>0.94321556761676828</v>
      </c>
    </row>
    <row r="5" spans="1:8" customFormat="1" x14ac:dyDescent="0.3">
      <c r="A5" s="2" t="s">
        <v>1</v>
      </c>
      <c r="B5" s="5">
        <v>7.2</v>
      </c>
      <c r="D5" s="1">
        <v>2</v>
      </c>
      <c r="E5" s="1">
        <f t="shared" si="0"/>
        <v>60.5</v>
      </c>
      <c r="F5" s="1">
        <f t="shared" si="1"/>
        <v>1.5198536269514733</v>
      </c>
      <c r="G5" s="1">
        <f t="shared" si="2"/>
        <v>0.93572611621879542</v>
      </c>
    </row>
    <row r="6" spans="1:8" customFormat="1" x14ac:dyDescent="0.3">
      <c r="A6" s="3" t="s">
        <v>2</v>
      </c>
      <c r="B6" s="9">
        <v>0.05</v>
      </c>
      <c r="D6" s="1">
        <v>3</v>
      </c>
      <c r="E6" s="1">
        <f t="shared" si="0"/>
        <v>60.75</v>
      </c>
      <c r="F6" s="1">
        <f t="shared" si="1"/>
        <v>1.4573536269514733</v>
      </c>
      <c r="G6" s="1">
        <f t="shared" si="2"/>
        <v>0.92749060459958066</v>
      </c>
    </row>
    <row r="7" spans="1:8" customFormat="1" x14ac:dyDescent="0.3">
      <c r="A7" s="3" t="s">
        <v>3</v>
      </c>
      <c r="B7" s="5">
        <f>ABS(_xlfn.NORM.INV(B6,0,1))</f>
        <v>1.6448536269514726</v>
      </c>
      <c r="D7" s="1">
        <v>4</v>
      </c>
      <c r="E7" s="1">
        <f t="shared" si="0"/>
        <v>61</v>
      </c>
      <c r="F7" s="1">
        <f t="shared" si="1"/>
        <v>1.3948536269514733</v>
      </c>
      <c r="G7" s="1">
        <f t="shared" si="2"/>
        <v>0.9184700082248819</v>
      </c>
    </row>
    <row r="8" spans="1:8" customFormat="1" ht="28.8" x14ac:dyDescent="0.3">
      <c r="A8" s="6" t="s">
        <v>11</v>
      </c>
      <c r="B8" s="5">
        <f>B2+B3/SQRT(B4)*B7</f>
        <v>66.579414507805893</v>
      </c>
      <c r="D8" s="1">
        <v>5</v>
      </c>
      <c r="E8" s="1">
        <f t="shared" si="0"/>
        <v>61.25</v>
      </c>
      <c r="F8" s="1">
        <f t="shared" si="1"/>
        <v>1.3323536269514733</v>
      </c>
      <c r="G8" s="1">
        <f t="shared" si="2"/>
        <v>0.90862799359003177</v>
      </c>
    </row>
    <row r="9" spans="1:8" customFormat="1" ht="28.8" x14ac:dyDescent="0.3">
      <c r="A9" s="6" t="s">
        <v>12</v>
      </c>
      <c r="B9" s="5">
        <f>B2-B3/SQRT(B4)*B7</f>
        <v>53.420585492194107</v>
      </c>
      <c r="D9" s="1">
        <v>6</v>
      </c>
      <c r="E9" s="1">
        <f t="shared" si="0"/>
        <v>61.5</v>
      </c>
      <c r="F9" s="1">
        <f t="shared" si="1"/>
        <v>1.2698536269514733</v>
      </c>
      <c r="G9" s="1">
        <f t="shared" si="2"/>
        <v>0.89793161290015611</v>
      </c>
    </row>
    <row r="10" spans="1:8" customFormat="1" x14ac:dyDescent="0.3">
      <c r="A10" s="7" t="s">
        <v>14</v>
      </c>
      <c r="B10" s="5">
        <f>ABS(_xlfn.NORM.INV(B6/2,0,1))</f>
        <v>1.9599639845400538</v>
      </c>
      <c r="D10" s="1">
        <v>7</v>
      </c>
      <c r="E10" s="1">
        <f t="shared" si="0"/>
        <v>61.75</v>
      </c>
      <c r="F10" s="1">
        <f t="shared" si="1"/>
        <v>1.2073536269514733</v>
      </c>
      <c r="G10" s="1">
        <f t="shared" si="2"/>
        <v>0.88635200682951087</v>
      </c>
    </row>
    <row r="11" spans="1:8" customFormat="1" ht="28.8" x14ac:dyDescent="0.3">
      <c r="A11" s="8" t="s">
        <v>13</v>
      </c>
      <c r="B11" s="9">
        <f>B2-B10*B3/SQRT(B4)</f>
        <v>52.160144061839787</v>
      </c>
      <c r="D11" s="1">
        <v>8</v>
      </c>
      <c r="E11" s="1">
        <f t="shared" si="0"/>
        <v>62</v>
      </c>
      <c r="F11" s="1">
        <f t="shared" si="1"/>
        <v>1.1448536269514733</v>
      </c>
      <c r="G11" s="1">
        <f t="shared" si="2"/>
        <v>0.87386510180656984</v>
      </c>
    </row>
    <row r="12" spans="1:8" customFormat="1" ht="28.8" x14ac:dyDescent="0.3">
      <c r="A12" s="8" t="s">
        <v>15</v>
      </c>
      <c r="B12" s="9">
        <f>B2+B10*B3/SQRT(B4)</f>
        <v>67.839855938160213</v>
      </c>
      <c r="D12" s="1">
        <v>9</v>
      </c>
      <c r="E12" s="1">
        <f t="shared" si="0"/>
        <v>62.25</v>
      </c>
      <c r="F12" s="1">
        <f t="shared" si="1"/>
        <v>1.0823536269514733</v>
      </c>
      <c r="G12" s="1">
        <f t="shared" si="2"/>
        <v>0.86045228723052181</v>
      </c>
    </row>
    <row r="13" spans="1:8" customFormat="1" ht="28.8" x14ac:dyDescent="0.3">
      <c r="A13" s="7" t="s">
        <v>46</v>
      </c>
      <c r="B13" s="27">
        <v>4.99E-2</v>
      </c>
      <c r="D13" s="1">
        <v>10</v>
      </c>
      <c r="E13" s="1">
        <f t="shared" si="0"/>
        <v>62.5</v>
      </c>
      <c r="F13" s="1">
        <f t="shared" si="1"/>
        <v>1.0198536269514733</v>
      </c>
      <c r="G13" s="1">
        <f t="shared" si="2"/>
        <v>0.84610105730945007</v>
      </c>
    </row>
    <row r="14" spans="1:8" customFormat="1" x14ac:dyDescent="0.3">
      <c r="A14" s="7" t="s">
        <v>45</v>
      </c>
      <c r="B14" s="10">
        <f>_xlfn.NORM.INV(B13,B2,B3/SQRT(B4))</f>
        <v>53.416704007869768</v>
      </c>
      <c r="C14" s="25"/>
      <c r="D14" s="24">
        <v>11</v>
      </c>
      <c r="E14" s="1">
        <f t="shared" si="0"/>
        <v>62.75</v>
      </c>
      <c r="F14" s="1">
        <f t="shared" si="1"/>
        <v>0.9573536269514733</v>
      </c>
      <c r="G14" s="1">
        <f t="shared" si="2"/>
        <v>0.83080560187061225</v>
      </c>
    </row>
    <row r="15" spans="1:8" customFormat="1" x14ac:dyDescent="0.3">
      <c r="A15" s="7" t="s">
        <v>47</v>
      </c>
      <c r="B15" s="11">
        <f>_xlfn.NORM.DIST(B5,B2,B3/SQRT(B4),1)</f>
        <v>4.386752713074252E-40</v>
      </c>
      <c r="C15" s="26"/>
      <c r="D15" s="24">
        <v>12</v>
      </c>
      <c r="E15" s="1">
        <f t="shared" si="0"/>
        <v>63</v>
      </c>
      <c r="F15" s="1">
        <f t="shared" si="1"/>
        <v>0.8948536269514733</v>
      </c>
      <c r="G15" s="1">
        <f t="shared" si="2"/>
        <v>0.81456733056922292</v>
      </c>
    </row>
    <row r="16" spans="1:8" customFormat="1" x14ac:dyDescent="0.3">
      <c r="A16" s="10"/>
      <c r="B16" s="10"/>
      <c r="C16" s="25"/>
      <c r="D16" s="24">
        <v>13</v>
      </c>
      <c r="E16" s="1">
        <f t="shared" si="0"/>
        <v>63.25</v>
      </c>
      <c r="F16" s="1">
        <f t="shared" si="1"/>
        <v>0.8323536269514733</v>
      </c>
      <c r="G16" s="1">
        <f t="shared" si="2"/>
        <v>0.79739531544226983</v>
      </c>
    </row>
    <row r="17" spans="1:8" customFormat="1" x14ac:dyDescent="0.3">
      <c r="A17" s="10"/>
      <c r="B17" s="10"/>
      <c r="C17" s="25"/>
      <c r="D17" s="24">
        <v>14</v>
      </c>
      <c r="E17" s="1">
        <f t="shared" si="0"/>
        <v>63.5</v>
      </c>
      <c r="F17" s="1">
        <f t="shared" si="1"/>
        <v>0.7698536269514733</v>
      </c>
      <c r="G17" s="1">
        <f t="shared" si="2"/>
        <v>0.77930663773244135</v>
      </c>
    </row>
    <row r="18" spans="1:8" customFormat="1" x14ac:dyDescent="0.3">
      <c r="B18" s="4"/>
      <c r="D18" s="1">
        <v>15</v>
      </c>
      <c r="E18" s="1">
        <f t="shared" si="0"/>
        <v>63.75</v>
      </c>
      <c r="F18" s="1">
        <f t="shared" si="1"/>
        <v>0.7073536269514733</v>
      </c>
      <c r="G18" s="1">
        <f t="shared" si="2"/>
        <v>0.76032662634290116</v>
      </c>
    </row>
    <row r="19" spans="1:8" customFormat="1" x14ac:dyDescent="0.3">
      <c r="B19" s="4"/>
    </row>
    <row r="20" spans="1:8" customFormat="1" ht="31.2" customHeight="1" x14ac:dyDescent="0.3">
      <c r="B20" s="4"/>
      <c r="D20" s="23" t="s">
        <v>12</v>
      </c>
      <c r="E20" s="23"/>
      <c r="F20" s="23"/>
      <c r="G20" s="23"/>
      <c r="H20" s="5">
        <f>B2-B3/SQRT(B4)*B7</f>
        <v>53.420585492194107</v>
      </c>
    </row>
    <row r="21" spans="1:8" customFormat="1" x14ac:dyDescent="0.3">
      <c r="B21" s="4"/>
      <c r="D21" s="2" t="s">
        <v>6</v>
      </c>
      <c r="E21" s="3" t="s">
        <v>0</v>
      </c>
      <c r="F21" s="3" t="s">
        <v>7</v>
      </c>
      <c r="G21" s="3" t="s">
        <v>5</v>
      </c>
    </row>
    <row r="22" spans="1:8" customFormat="1" x14ac:dyDescent="0.3">
      <c r="B22" s="4"/>
      <c r="D22" s="1">
        <v>0</v>
      </c>
      <c r="E22" s="1">
        <f>$B$2-D22*0.25</f>
        <v>60</v>
      </c>
      <c r="F22" s="1">
        <f>($H$20-E22)/($B$3/SQRT($B$4))</f>
        <v>-1.6448536269514733</v>
      </c>
      <c r="G22" s="1">
        <f>1-_xlfn.NORM.DIST(F22,0,1,1)</f>
        <v>0.95000000000000007</v>
      </c>
    </row>
    <row r="23" spans="1:8" customFormat="1" x14ac:dyDescent="0.3">
      <c r="B23" s="4"/>
      <c r="D23" s="1">
        <v>1</v>
      </c>
      <c r="E23" s="1">
        <f t="shared" ref="E23:E37" si="3">$B$2-D23*0.25</f>
        <v>59.75</v>
      </c>
      <c r="F23" s="1">
        <f t="shared" ref="F23:F37" si="4">($H$20-E23)/($B$3/SQRT($B$4))</f>
        <v>-1.5823536269514733</v>
      </c>
      <c r="G23" s="1">
        <f t="shared" ref="G23:G37" si="5">1-_xlfn.NORM.DIST(F23,0,1,1)</f>
        <v>0.94321556761676828</v>
      </c>
    </row>
    <row r="24" spans="1:8" customFormat="1" x14ac:dyDescent="0.3">
      <c r="B24" s="4"/>
      <c r="D24" s="1">
        <v>2</v>
      </c>
      <c r="E24" s="1">
        <f t="shared" si="3"/>
        <v>59.5</v>
      </c>
      <c r="F24" s="1">
        <f t="shared" si="4"/>
        <v>-1.5198536269514733</v>
      </c>
      <c r="G24" s="1">
        <f t="shared" si="5"/>
        <v>0.93572611621879542</v>
      </c>
    </row>
    <row r="25" spans="1:8" customFormat="1" x14ac:dyDescent="0.3">
      <c r="B25" s="4"/>
      <c r="D25" s="1">
        <v>3</v>
      </c>
      <c r="E25" s="1">
        <f t="shared" si="3"/>
        <v>59.25</v>
      </c>
      <c r="F25" s="1">
        <f t="shared" si="4"/>
        <v>-1.4573536269514733</v>
      </c>
      <c r="G25" s="1">
        <f t="shared" si="5"/>
        <v>0.92749060459958066</v>
      </c>
    </row>
    <row r="26" spans="1:8" customFormat="1" x14ac:dyDescent="0.3">
      <c r="B26" s="4"/>
      <c r="D26" s="1">
        <v>4</v>
      </c>
      <c r="E26" s="1">
        <f t="shared" si="3"/>
        <v>59</v>
      </c>
      <c r="F26" s="1">
        <f t="shared" si="4"/>
        <v>-1.3948536269514733</v>
      </c>
      <c r="G26" s="1">
        <f t="shared" si="5"/>
        <v>0.9184700082248819</v>
      </c>
    </row>
    <row r="27" spans="1:8" customFormat="1" x14ac:dyDescent="0.3">
      <c r="B27" s="4"/>
      <c r="D27" s="1">
        <v>5</v>
      </c>
      <c r="E27" s="1">
        <f t="shared" si="3"/>
        <v>58.75</v>
      </c>
      <c r="F27" s="1">
        <f t="shared" si="4"/>
        <v>-1.3323536269514733</v>
      </c>
      <c r="G27" s="1">
        <f t="shared" si="5"/>
        <v>0.90862799359003177</v>
      </c>
    </row>
    <row r="28" spans="1:8" customFormat="1" x14ac:dyDescent="0.3">
      <c r="B28" s="4"/>
      <c r="D28" s="1">
        <v>6</v>
      </c>
      <c r="E28" s="1">
        <f t="shared" si="3"/>
        <v>58.5</v>
      </c>
      <c r="F28" s="1">
        <f t="shared" si="4"/>
        <v>-1.2698536269514733</v>
      </c>
      <c r="G28" s="1">
        <f t="shared" si="5"/>
        <v>0.89793161290015611</v>
      </c>
    </row>
    <row r="29" spans="1:8" customFormat="1" x14ac:dyDescent="0.3">
      <c r="B29" s="4"/>
      <c r="D29" s="1">
        <v>7</v>
      </c>
      <c r="E29" s="1">
        <f t="shared" si="3"/>
        <v>58.25</v>
      </c>
      <c r="F29" s="1">
        <f t="shared" si="4"/>
        <v>-1.2073536269514733</v>
      </c>
      <c r="G29" s="1">
        <f t="shared" si="5"/>
        <v>0.88635200682951087</v>
      </c>
    </row>
    <row r="30" spans="1:8" customFormat="1" x14ac:dyDescent="0.3">
      <c r="B30" s="4"/>
      <c r="D30" s="1">
        <v>8</v>
      </c>
      <c r="E30" s="1">
        <f t="shared" si="3"/>
        <v>58</v>
      </c>
      <c r="F30" s="1">
        <f t="shared" si="4"/>
        <v>-1.1448536269514733</v>
      </c>
      <c r="G30" s="1">
        <f t="shared" si="5"/>
        <v>0.87386510180656984</v>
      </c>
    </row>
    <row r="31" spans="1:8" customFormat="1" x14ac:dyDescent="0.3">
      <c r="B31" s="4"/>
      <c r="D31" s="1">
        <v>9</v>
      </c>
      <c r="E31" s="1">
        <f t="shared" si="3"/>
        <v>57.75</v>
      </c>
      <c r="F31" s="1">
        <f t="shared" si="4"/>
        <v>-1.0823536269514733</v>
      </c>
      <c r="G31" s="1">
        <f t="shared" si="5"/>
        <v>0.86045228723052181</v>
      </c>
    </row>
    <row r="32" spans="1:8" customFormat="1" x14ac:dyDescent="0.3">
      <c r="B32" s="4"/>
      <c r="D32" s="1">
        <v>10</v>
      </c>
      <c r="E32" s="1">
        <f t="shared" si="3"/>
        <v>57.5</v>
      </c>
      <c r="F32" s="1">
        <f t="shared" si="4"/>
        <v>-1.0198536269514733</v>
      </c>
      <c r="G32" s="1">
        <f t="shared" si="5"/>
        <v>0.84610105730945007</v>
      </c>
    </row>
    <row r="33" spans="2:9" customFormat="1" x14ac:dyDescent="0.3">
      <c r="B33" s="4"/>
      <c r="D33" s="1">
        <v>11</v>
      </c>
      <c r="E33" s="1">
        <f t="shared" si="3"/>
        <v>57.25</v>
      </c>
      <c r="F33" s="1">
        <f t="shared" si="4"/>
        <v>-0.9573536269514733</v>
      </c>
      <c r="G33" s="1">
        <f t="shared" si="5"/>
        <v>0.83080560187061225</v>
      </c>
    </row>
    <row r="34" spans="2:9" customFormat="1" x14ac:dyDescent="0.3">
      <c r="B34" s="4"/>
      <c r="D34" s="1">
        <v>12</v>
      </c>
      <c r="E34" s="1">
        <f t="shared" si="3"/>
        <v>57</v>
      </c>
      <c r="F34" s="1">
        <f t="shared" si="4"/>
        <v>-0.8948536269514733</v>
      </c>
      <c r="G34" s="1">
        <f t="shared" si="5"/>
        <v>0.81456733056922292</v>
      </c>
    </row>
    <row r="35" spans="2:9" customFormat="1" x14ac:dyDescent="0.3">
      <c r="B35" s="4"/>
      <c r="D35" s="1">
        <v>13</v>
      </c>
      <c r="E35" s="1">
        <f t="shared" si="3"/>
        <v>56.75</v>
      </c>
      <c r="F35" s="1">
        <f t="shared" si="4"/>
        <v>-0.8323536269514733</v>
      </c>
      <c r="G35" s="1">
        <f t="shared" si="5"/>
        <v>0.79739531544226983</v>
      </c>
    </row>
    <row r="36" spans="2:9" customFormat="1" x14ac:dyDescent="0.3">
      <c r="B36" s="4"/>
      <c r="D36" s="1">
        <v>14</v>
      </c>
      <c r="E36" s="1">
        <f t="shared" si="3"/>
        <v>56.5</v>
      </c>
      <c r="F36" s="1">
        <f t="shared" si="4"/>
        <v>-0.7698536269514733</v>
      </c>
      <c r="G36" s="1">
        <f t="shared" si="5"/>
        <v>0.77930663773244135</v>
      </c>
    </row>
    <row r="37" spans="2:9" customFormat="1" x14ac:dyDescent="0.3">
      <c r="B37" s="4"/>
      <c r="D37" s="1">
        <v>15</v>
      </c>
      <c r="E37" s="1">
        <f t="shared" si="3"/>
        <v>56.25</v>
      </c>
      <c r="F37" s="1">
        <f t="shared" si="4"/>
        <v>-0.7073536269514733</v>
      </c>
      <c r="G37" s="1">
        <f t="shared" si="5"/>
        <v>0.76032662634290116</v>
      </c>
    </row>
    <row r="38" spans="2:9" customFormat="1" x14ac:dyDescent="0.3">
      <c r="B38" s="4"/>
    </row>
    <row r="39" spans="2:9" customFormat="1" x14ac:dyDescent="0.3">
      <c r="B39" s="4"/>
    </row>
    <row r="40" spans="2:9" customFormat="1" x14ac:dyDescent="0.3">
      <c r="B40" s="4"/>
      <c r="D40" s="2" t="s">
        <v>6</v>
      </c>
      <c r="E40" s="3" t="s">
        <v>0</v>
      </c>
      <c r="F40" s="3" t="s">
        <v>17</v>
      </c>
      <c r="G40" s="3" t="s">
        <v>16</v>
      </c>
      <c r="H40" s="3" t="s">
        <v>8</v>
      </c>
      <c r="I40" s="3" t="s">
        <v>5</v>
      </c>
    </row>
    <row r="41" spans="2:9" customFormat="1" x14ac:dyDescent="0.3">
      <c r="B41" s="4"/>
      <c r="D41" s="1">
        <v>-6</v>
      </c>
      <c r="E41" s="1">
        <f>$B$2+D41*0.5</f>
        <v>57</v>
      </c>
      <c r="F41" s="1">
        <f>($B$11-E41)/(B$3/SQRT(B$4))</f>
        <v>-1.2099639845400532</v>
      </c>
      <c r="G41" s="1">
        <f t="shared" ref="G41:G53" si="6">($B$12-E41)/(B$3/SQRT(B$4))</f>
        <v>2.7099639845400532</v>
      </c>
      <c r="H41" s="1">
        <f>_xlfn.NORM.DIST(G41,0,1,1) - _xlfn.NORM.DIST(F41,0,1,1)</f>
        <v>0.88348911775066929</v>
      </c>
      <c r="I41" s="1">
        <f>1-H41</f>
        <v>0.11651088224933071</v>
      </c>
    </row>
    <row r="42" spans="2:9" customFormat="1" x14ac:dyDescent="0.3">
      <c r="B42" s="4"/>
      <c r="D42" s="1">
        <v>-5</v>
      </c>
      <c r="E42" s="1">
        <f t="shared" ref="E42:E53" si="7">$B$2+D42*0.5</f>
        <v>57.5</v>
      </c>
      <c r="F42" s="1">
        <f t="shared" ref="F42:F53" si="8">($B$11-E42)/(B$3/SQRT(B$4))</f>
        <v>-1.3349639845400532</v>
      </c>
      <c r="G42" s="1">
        <f t="shared" si="6"/>
        <v>2.5849639845400532</v>
      </c>
      <c r="H42" s="1">
        <f t="shared" ref="H42:H53" si="9">_xlfn.NORM.DIST(G42,0,1,1) - _xlfn.NORM.DIST(F42,0,1,1)</f>
        <v>0.90418647436555843</v>
      </c>
      <c r="I42" s="1">
        <f t="shared" ref="I42:I53" si="10">1-H42</f>
        <v>9.5813525634441565E-2</v>
      </c>
    </row>
    <row r="43" spans="2:9" customFormat="1" x14ac:dyDescent="0.3">
      <c r="B43" s="4"/>
      <c r="D43" s="1">
        <v>-4</v>
      </c>
      <c r="E43" s="1">
        <f t="shared" si="7"/>
        <v>58</v>
      </c>
      <c r="F43" s="1">
        <f t="shared" si="8"/>
        <v>-1.4599639845400532</v>
      </c>
      <c r="G43" s="1">
        <f t="shared" si="6"/>
        <v>2.4599639845400532</v>
      </c>
      <c r="H43" s="1">
        <f t="shared" si="9"/>
        <v>0.92090246583940338</v>
      </c>
      <c r="I43" s="1">
        <f t="shared" si="10"/>
        <v>7.9097534160596616E-2</v>
      </c>
    </row>
    <row r="44" spans="2:9" customFormat="1" x14ac:dyDescent="0.3">
      <c r="B44" s="4"/>
      <c r="D44" s="1">
        <v>-3</v>
      </c>
      <c r="E44" s="1">
        <f t="shared" si="7"/>
        <v>58.5</v>
      </c>
      <c r="F44" s="1">
        <f t="shared" si="8"/>
        <v>-1.5849639845400532</v>
      </c>
      <c r="G44" s="1">
        <f t="shared" si="6"/>
        <v>2.3349639845400532</v>
      </c>
      <c r="H44" s="1">
        <f t="shared" si="9"/>
        <v>0.93374009017313464</v>
      </c>
      <c r="I44" s="1">
        <f t="shared" si="10"/>
        <v>6.625990982686536E-2</v>
      </c>
    </row>
    <row r="45" spans="2:9" customFormat="1" x14ac:dyDescent="0.3">
      <c r="B45" s="4"/>
      <c r="D45" s="1">
        <v>-2</v>
      </c>
      <c r="E45" s="1">
        <f t="shared" si="7"/>
        <v>59</v>
      </c>
      <c r="F45" s="1">
        <f t="shared" si="8"/>
        <v>-1.7099639845400532</v>
      </c>
      <c r="G45" s="1">
        <f t="shared" si="6"/>
        <v>2.2099639845400532</v>
      </c>
      <c r="H45" s="1">
        <f t="shared" si="9"/>
        <v>0.94280990244877572</v>
      </c>
      <c r="I45" s="1">
        <f t="shared" si="10"/>
        <v>5.7190097551224284E-2</v>
      </c>
    </row>
    <row r="46" spans="2:9" customFormat="1" x14ac:dyDescent="0.3">
      <c r="B46" s="4"/>
      <c r="D46" s="1">
        <v>-1</v>
      </c>
      <c r="E46" s="1">
        <f t="shared" si="7"/>
        <v>59.5</v>
      </c>
      <c r="F46" s="1">
        <f t="shared" si="8"/>
        <v>-1.8349639845400532</v>
      </c>
      <c r="G46" s="1">
        <f t="shared" si="6"/>
        <v>2.0849639845400532</v>
      </c>
      <c r="H46" s="1">
        <f t="shared" si="9"/>
        <v>0.94820820207498913</v>
      </c>
      <c r="I46" s="1">
        <f t="shared" si="10"/>
        <v>5.1791797925010874E-2</v>
      </c>
    </row>
    <row r="47" spans="2:9" customFormat="1" x14ac:dyDescent="0.3">
      <c r="B47" s="4"/>
      <c r="D47" s="1">
        <v>0</v>
      </c>
      <c r="E47" s="1">
        <f t="shared" si="7"/>
        <v>60</v>
      </c>
      <c r="F47" s="1">
        <f t="shared" si="8"/>
        <v>-1.9599639845400532</v>
      </c>
      <c r="G47" s="1">
        <f t="shared" si="6"/>
        <v>1.9599639845400532</v>
      </c>
      <c r="H47" s="1">
        <f t="shared" si="9"/>
        <v>0.95</v>
      </c>
      <c r="I47" s="1">
        <f t="shared" si="10"/>
        <v>5.0000000000000044E-2</v>
      </c>
    </row>
    <row r="48" spans="2:9" customFormat="1" x14ac:dyDescent="0.3">
      <c r="B48" s="4"/>
      <c r="D48" s="1">
        <v>1</v>
      </c>
      <c r="E48" s="1">
        <f t="shared" si="7"/>
        <v>60.5</v>
      </c>
      <c r="F48" s="1">
        <f t="shared" si="8"/>
        <v>-2.0849639845400532</v>
      </c>
      <c r="G48" s="1">
        <f t="shared" si="6"/>
        <v>1.8349639845400532</v>
      </c>
      <c r="H48" s="1">
        <f t="shared" si="9"/>
        <v>0.94820820207498913</v>
      </c>
      <c r="I48" s="1">
        <f t="shared" si="10"/>
        <v>5.1791797925010874E-2</v>
      </c>
    </row>
    <row r="49" spans="2:9" customFormat="1" x14ac:dyDescent="0.3">
      <c r="B49" s="4"/>
      <c r="D49" s="1">
        <v>2</v>
      </c>
      <c r="E49" s="1">
        <f t="shared" si="7"/>
        <v>61</v>
      </c>
      <c r="F49" s="1">
        <f t="shared" si="8"/>
        <v>-2.2099639845400532</v>
      </c>
      <c r="G49" s="1">
        <f t="shared" si="6"/>
        <v>1.7099639845400532</v>
      </c>
      <c r="H49" s="1">
        <f t="shared" si="9"/>
        <v>0.94280990244877572</v>
      </c>
      <c r="I49" s="1">
        <f t="shared" si="10"/>
        <v>5.7190097551224284E-2</v>
      </c>
    </row>
    <row r="50" spans="2:9" customFormat="1" x14ac:dyDescent="0.3">
      <c r="B50" s="4"/>
      <c r="D50" s="1">
        <v>3</v>
      </c>
      <c r="E50" s="1">
        <f t="shared" si="7"/>
        <v>61.5</v>
      </c>
      <c r="F50" s="1">
        <f t="shared" si="8"/>
        <v>-2.3349639845400532</v>
      </c>
      <c r="G50" s="1">
        <f t="shared" si="6"/>
        <v>1.5849639845400532</v>
      </c>
      <c r="H50" s="1">
        <f t="shared" si="9"/>
        <v>0.93374009017313464</v>
      </c>
      <c r="I50" s="1">
        <f t="shared" si="10"/>
        <v>6.625990982686536E-2</v>
      </c>
    </row>
    <row r="51" spans="2:9" customFormat="1" x14ac:dyDescent="0.3">
      <c r="B51" s="4"/>
      <c r="D51" s="1">
        <v>4</v>
      </c>
      <c r="E51" s="1">
        <f t="shared" si="7"/>
        <v>62</v>
      </c>
      <c r="F51" s="1">
        <f t="shared" si="8"/>
        <v>-2.4599639845400532</v>
      </c>
      <c r="G51" s="1">
        <f t="shared" si="6"/>
        <v>1.4599639845400532</v>
      </c>
      <c r="H51" s="1">
        <f t="shared" si="9"/>
        <v>0.92090246583940338</v>
      </c>
      <c r="I51" s="1">
        <f t="shared" si="10"/>
        <v>7.9097534160596616E-2</v>
      </c>
    </row>
    <row r="52" spans="2:9" customFormat="1" x14ac:dyDescent="0.3">
      <c r="B52" s="4"/>
      <c r="D52" s="1">
        <v>5</v>
      </c>
      <c r="E52" s="1">
        <f t="shared" si="7"/>
        <v>62.5</v>
      </c>
      <c r="F52" s="1">
        <f t="shared" si="8"/>
        <v>-2.5849639845400532</v>
      </c>
      <c r="G52" s="1">
        <f t="shared" si="6"/>
        <v>1.3349639845400532</v>
      </c>
      <c r="H52" s="1">
        <f t="shared" si="9"/>
        <v>0.90418647436555843</v>
      </c>
      <c r="I52" s="1">
        <f t="shared" si="10"/>
        <v>9.5813525634441565E-2</v>
      </c>
    </row>
    <row r="53" spans="2:9" customFormat="1" x14ac:dyDescent="0.3">
      <c r="B53" s="4"/>
      <c r="D53" s="15">
        <v>6</v>
      </c>
      <c r="E53" s="15">
        <f t="shared" si="7"/>
        <v>63</v>
      </c>
      <c r="F53" s="1">
        <f t="shared" si="8"/>
        <v>-2.7099639845400532</v>
      </c>
      <c r="G53" s="1">
        <f t="shared" si="6"/>
        <v>1.2099639845400532</v>
      </c>
      <c r="H53" s="1">
        <f t="shared" si="9"/>
        <v>0.88348911775066929</v>
      </c>
      <c r="I53" s="1">
        <f t="shared" si="10"/>
        <v>0.11651088224933071</v>
      </c>
    </row>
    <row r="54" spans="2:9" customFormat="1" x14ac:dyDescent="0.3">
      <c r="B54" s="4"/>
      <c r="D54" s="16"/>
      <c r="E54" s="16"/>
    </row>
    <row r="55" spans="2:9" customFormat="1" x14ac:dyDescent="0.3">
      <c r="B55" s="4"/>
      <c r="D55" s="10"/>
      <c r="E55" s="10"/>
    </row>
    <row r="56" spans="2:9" customFormat="1" ht="33.6" customHeight="1" x14ac:dyDescent="0.3">
      <c r="B56" s="4"/>
      <c r="E56" s="23" t="s">
        <v>40</v>
      </c>
      <c r="F56" s="23"/>
      <c r="G56" s="23"/>
      <c r="H56" s="18"/>
      <c r="I56" s="18"/>
    </row>
    <row r="57" spans="2:9" customFormat="1" x14ac:dyDescent="0.3">
      <c r="B57" s="4"/>
      <c r="E57" s="19" t="s">
        <v>2</v>
      </c>
      <c r="F57" s="20" t="s">
        <v>38</v>
      </c>
      <c r="G57" s="20" t="s">
        <v>5</v>
      </c>
      <c r="H57" s="17" t="s">
        <v>4</v>
      </c>
      <c r="I57" s="17"/>
    </row>
    <row r="58" spans="2:9" customFormat="1" x14ac:dyDescent="0.3">
      <c r="B58" s="4"/>
      <c r="E58" s="1">
        <v>1E-3</v>
      </c>
      <c r="F58" s="1">
        <f>_xlfn.NORM.INV(E58,$C$61,$C$62/SQRT(H58))</f>
        <v>98.955310807337099</v>
      </c>
      <c r="G58" s="1">
        <f>1-_xlfn.NORM.DIST(F58,$C$64,$C$62/SQRT(H58),1)</f>
        <v>0.5525839496365117</v>
      </c>
      <c r="H58">
        <f>$C$63</f>
        <v>35</v>
      </c>
    </row>
    <row r="59" spans="2:9" customFormat="1" x14ac:dyDescent="0.3">
      <c r="B59" s="4"/>
      <c r="D59" s="10"/>
      <c r="E59" s="1">
        <v>5.0000000000000001E-3</v>
      </c>
      <c r="F59" s="1">
        <f t="shared" ref="F59:F72" si="11">_xlfn.NORM.INV(E59,$C$61,$C$62/SQRT(H59))</f>
        <v>99.129210761860506</v>
      </c>
      <c r="G59" s="1">
        <f t="shared" ref="G59:G72" si="12">1-_xlfn.NORM.DIST(F59,$C$64,$C$62/SQRT($C$63),1)</f>
        <v>0.35115258444127462</v>
      </c>
      <c r="H59">
        <f t="shared" ref="H59:H72" si="13">$C$63</f>
        <v>35</v>
      </c>
    </row>
    <row r="60" spans="2:9" customFormat="1" x14ac:dyDescent="0.3">
      <c r="B60" s="4"/>
      <c r="D60" s="10"/>
      <c r="E60" s="1">
        <v>0.01</v>
      </c>
      <c r="F60" s="1">
        <f t="shared" si="11"/>
        <v>99.213550878510304</v>
      </c>
      <c r="G60" s="1">
        <f t="shared" si="12"/>
        <v>0.26379407256523202</v>
      </c>
      <c r="H60">
        <f t="shared" si="13"/>
        <v>35</v>
      </c>
    </row>
    <row r="61" spans="2:9" customFormat="1" x14ac:dyDescent="0.3">
      <c r="B61" s="1" t="s">
        <v>41</v>
      </c>
      <c r="C61" s="12">
        <v>100</v>
      </c>
      <c r="D61" s="10"/>
      <c r="E61" s="1">
        <v>1.4999999999999999E-2</v>
      </c>
      <c r="F61" s="1">
        <f t="shared" si="11"/>
        <v>99.266375553695596</v>
      </c>
      <c r="G61" s="1">
        <f t="shared" si="12"/>
        <v>0.21536311863003421</v>
      </c>
      <c r="H61">
        <f t="shared" si="13"/>
        <v>35</v>
      </c>
    </row>
    <row r="62" spans="2:9" customFormat="1" x14ac:dyDescent="0.3">
      <c r="B62" s="19" t="s">
        <v>39</v>
      </c>
      <c r="C62" s="12">
        <v>2</v>
      </c>
      <c r="D62" s="10"/>
      <c r="E62" s="1">
        <v>0.02</v>
      </c>
      <c r="F62" s="1">
        <f t="shared" si="11"/>
        <v>99.305706148014181</v>
      </c>
      <c r="G62" s="1">
        <f t="shared" si="12"/>
        <v>0.18292056395986878</v>
      </c>
      <c r="H62">
        <f t="shared" si="13"/>
        <v>35</v>
      </c>
    </row>
    <row r="63" spans="2:9" customFormat="1" x14ac:dyDescent="0.3">
      <c r="B63" s="1" t="s">
        <v>4</v>
      </c>
      <c r="C63" s="12">
        <v>35</v>
      </c>
      <c r="D63" s="10"/>
      <c r="E63" s="1">
        <v>2.5000000000000001E-2</v>
      </c>
      <c r="F63" s="1">
        <f t="shared" si="11"/>
        <v>99.337411239740533</v>
      </c>
      <c r="G63" s="1">
        <f t="shared" si="12"/>
        <v>0.15912127601007153</v>
      </c>
      <c r="H63">
        <f t="shared" si="13"/>
        <v>35</v>
      </c>
    </row>
    <row r="64" spans="2:9" customFormat="1" x14ac:dyDescent="0.3">
      <c r="B64" s="21" t="s">
        <v>42</v>
      </c>
      <c r="C64" s="12">
        <v>99</v>
      </c>
      <c r="D64" s="10"/>
      <c r="E64" s="1">
        <v>0.03</v>
      </c>
      <c r="F64" s="1">
        <f t="shared" si="11"/>
        <v>99.364175711921902</v>
      </c>
      <c r="G64" s="1">
        <f t="shared" si="12"/>
        <v>0.14068512657314258</v>
      </c>
      <c r="H64">
        <f t="shared" si="13"/>
        <v>35</v>
      </c>
    </row>
    <row r="65" spans="2:8" customFormat="1" x14ac:dyDescent="0.3">
      <c r="B65" s="4"/>
      <c r="D65" s="10"/>
      <c r="E65" s="1">
        <v>3.5000000000000003E-2</v>
      </c>
      <c r="F65" s="1">
        <f t="shared" si="11"/>
        <v>99.387462394226446</v>
      </c>
      <c r="G65" s="1">
        <f t="shared" si="12"/>
        <v>0.12587084473571852</v>
      </c>
      <c r="H65">
        <f t="shared" si="13"/>
        <v>35</v>
      </c>
    </row>
    <row r="66" spans="2:8" customFormat="1" x14ac:dyDescent="0.3">
      <c r="B66" s="4"/>
      <c r="E66" s="1">
        <v>0.04</v>
      </c>
      <c r="F66" s="1">
        <f t="shared" si="11"/>
        <v>99.408160087274908</v>
      </c>
      <c r="G66" s="1">
        <f t="shared" si="12"/>
        <v>0.11364795595622645</v>
      </c>
      <c r="H66">
        <f t="shared" si="13"/>
        <v>35</v>
      </c>
    </row>
    <row r="67" spans="2:8" customFormat="1" x14ac:dyDescent="0.3">
      <c r="B67" s="4"/>
      <c r="E67" s="1">
        <v>4.4999999999999998E-2</v>
      </c>
      <c r="F67" s="1">
        <f t="shared" si="11"/>
        <v>99.426850964682615</v>
      </c>
      <c r="G67" s="1">
        <f t="shared" si="12"/>
        <v>0.10335890077594878</v>
      </c>
      <c r="H67">
        <f t="shared" si="13"/>
        <v>35</v>
      </c>
    </row>
    <row r="68" spans="2:8" customFormat="1" x14ac:dyDescent="0.3">
      <c r="B68" s="4"/>
      <c r="E68" s="1">
        <v>0.05</v>
      </c>
      <c r="F68" s="1">
        <f t="shared" si="11"/>
        <v>99.443937983510537</v>
      </c>
      <c r="G68" s="1">
        <f t="shared" si="12"/>
        <v>9.4560095587593596E-2</v>
      </c>
      <c r="H68">
        <f t="shared" si="13"/>
        <v>35</v>
      </c>
    </row>
    <row r="69" spans="2:8" customFormat="1" x14ac:dyDescent="0.3">
      <c r="B69" s="4"/>
      <c r="E69" s="1">
        <v>5.5E-2</v>
      </c>
      <c r="F69" s="1">
        <f t="shared" si="11"/>
        <v>99.459712107166524</v>
      </c>
      <c r="G69" s="1">
        <f t="shared" si="12"/>
        <v>8.6939212165683455E-2</v>
      </c>
      <c r="H69">
        <f t="shared" si="13"/>
        <v>35</v>
      </c>
    </row>
    <row r="70" spans="2:8" customFormat="1" x14ac:dyDescent="0.3">
      <c r="B70" s="4"/>
      <c r="E70" s="1">
        <v>0.06</v>
      </c>
      <c r="F70" s="1">
        <f t="shared" si="11"/>
        <v>99.474390592554769</v>
      </c>
      <c r="G70" s="1">
        <f t="shared" si="12"/>
        <v>8.0268722210894539E-2</v>
      </c>
      <c r="H70">
        <f t="shared" si="13"/>
        <v>35</v>
      </c>
    </row>
    <row r="71" spans="2:8" customFormat="1" x14ac:dyDescent="0.3">
      <c r="B71" s="4"/>
      <c r="E71" s="1">
        <v>6.5000000000000002E-2</v>
      </c>
      <c r="F71" s="1">
        <f t="shared" si="11"/>
        <v>99.488140139034428</v>
      </c>
      <c r="G71" s="1">
        <f t="shared" si="12"/>
        <v>7.4378207582862621E-2</v>
      </c>
      <c r="H71">
        <f t="shared" si="13"/>
        <v>35</v>
      </c>
    </row>
    <row r="72" spans="2:8" customFormat="1" x14ac:dyDescent="0.3">
      <c r="B72" s="4"/>
      <c r="E72" s="15">
        <v>7.0000000000000007E-2</v>
      </c>
      <c r="F72" s="15">
        <f t="shared" si="11"/>
        <v>99.501091573377678</v>
      </c>
      <c r="G72" s="15">
        <f t="shared" si="12"/>
        <v>6.913704464174919E-2</v>
      </c>
      <c r="H72">
        <f t="shared" si="13"/>
        <v>35</v>
      </c>
    </row>
  </sheetData>
  <mergeCells count="3">
    <mergeCell ref="D1:G1"/>
    <mergeCell ref="D20:G20"/>
    <mergeCell ref="E56:G56"/>
  </mergeCells>
  <phoneticPr fontId="4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07575-5700-4AC3-AE34-54FC8E0FB48F}">
  <dimension ref="A1:D13"/>
  <sheetViews>
    <sheetView workbookViewId="0">
      <selection activeCell="D11" sqref="D11"/>
    </sheetView>
  </sheetViews>
  <sheetFormatPr defaultRowHeight="14.4" x14ac:dyDescent="0.3"/>
  <cols>
    <col min="1" max="1" width="22.77734375" customWidth="1"/>
    <col min="2" max="2" width="16.33203125" customWidth="1"/>
  </cols>
  <sheetData>
    <row r="1" spans="1:4" x14ac:dyDescent="0.3">
      <c r="A1" t="s">
        <v>44</v>
      </c>
    </row>
    <row r="2" spans="1:4" x14ac:dyDescent="0.3">
      <c r="A2" s="2" t="s">
        <v>9</v>
      </c>
      <c r="B2" s="9">
        <v>60</v>
      </c>
      <c r="D2">
        <f>_xlfn.NORM.DIST(17,15,6,1)</f>
        <v>0.63055865981823644</v>
      </c>
    </row>
    <row r="3" spans="1:4" x14ac:dyDescent="0.3">
      <c r="A3" s="2" t="s">
        <v>10</v>
      </c>
      <c r="B3" s="9">
        <v>23</v>
      </c>
      <c r="D3">
        <f>1-D2</f>
        <v>0.36944134018176356</v>
      </c>
    </row>
    <row r="4" spans="1:4" x14ac:dyDescent="0.3">
      <c r="A4" s="2" t="s">
        <v>4</v>
      </c>
      <c r="B4" s="9">
        <v>25</v>
      </c>
      <c r="D4">
        <f>25*D3</f>
        <v>9.2360335045440891</v>
      </c>
    </row>
    <row r="5" spans="1:4" x14ac:dyDescent="0.3">
      <c r="A5" s="2" t="s">
        <v>1</v>
      </c>
      <c r="B5" s="5">
        <v>53.415999999999997</v>
      </c>
      <c r="D5">
        <f>10000*D4</f>
        <v>92360.335045440894</v>
      </c>
    </row>
    <row r="6" spans="1:4" x14ac:dyDescent="0.3">
      <c r="A6" s="3" t="s">
        <v>2</v>
      </c>
      <c r="B6" s="9">
        <v>0.05</v>
      </c>
      <c r="D6">
        <f>_xlfn.NORM.INV(0.85,0,1)</f>
        <v>1.0364333894937898</v>
      </c>
    </row>
    <row r="7" spans="1:4" x14ac:dyDescent="0.3">
      <c r="A7" s="3" t="s">
        <v>3</v>
      </c>
      <c r="B7" s="5">
        <f>ABS(_xlfn.T.INV(B6,B4-1))</f>
        <v>1.7108820799094284</v>
      </c>
      <c r="D7">
        <f>_xlfn.NORM.INV(0.218,0,1)</f>
        <v>-0.77896556434754571</v>
      </c>
    </row>
    <row r="8" spans="1:4" ht="28.8" x14ac:dyDescent="0.3">
      <c r="A8" s="6" t="s">
        <v>11</v>
      </c>
      <c r="B8" s="5">
        <f>B2+B3/SQRT(B4)*B7</f>
        <v>67.870057567583373</v>
      </c>
      <c r="D8">
        <f>115/(1-0.078)</f>
        <v>124.72885032537961</v>
      </c>
    </row>
    <row r="9" spans="1:4" ht="28.8" x14ac:dyDescent="0.3">
      <c r="A9" s="6" t="s">
        <v>12</v>
      </c>
      <c r="B9" s="5">
        <f>B2-B3/SQRT(B4)*B7</f>
        <v>52.129942432416627</v>
      </c>
      <c r="D9">
        <f>(22.2+12.8)/2</f>
        <v>17.5</v>
      </c>
    </row>
    <row r="10" spans="1:4" x14ac:dyDescent="0.3">
      <c r="A10" s="7" t="s">
        <v>14</v>
      </c>
      <c r="B10" s="5">
        <f>ABS(_xlfn.NORM.INV(B6/2,0,1))</f>
        <v>1.9599639845400538</v>
      </c>
      <c r="D10">
        <f>_xlfn.NORM.INV(0.05/2,0,1)</f>
        <v>-1.9599639845400538</v>
      </c>
    </row>
    <row r="11" spans="1:4" ht="28.8" x14ac:dyDescent="0.3">
      <c r="A11" s="8" t="s">
        <v>13</v>
      </c>
      <c r="B11" s="9">
        <f>B2-B10*B3/SQRT(B4)</f>
        <v>50.984165671115754</v>
      </c>
      <c r="D11">
        <f>4.7/(2*1.9599)</f>
        <v>1.1990407673860912</v>
      </c>
    </row>
    <row r="12" spans="1:4" ht="28.8" x14ac:dyDescent="0.3">
      <c r="A12" s="8" t="s">
        <v>15</v>
      </c>
      <c r="B12" s="9">
        <f>B2+B10*B3/SQRT(B4)</f>
        <v>69.015834328884253</v>
      </c>
    </row>
    <row r="13" spans="1:4" x14ac:dyDescent="0.3">
      <c r="A13" s="7" t="s">
        <v>43</v>
      </c>
      <c r="B13" s="4">
        <f>_xlfn.NORM.DIST(B5,B2,B3/SQRT(B4),1)</f>
        <v>7.6171504198280546E-2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</vt:lpstr>
      <vt:lpstr>Hypothesis</vt:lpstr>
      <vt:lpstr>Rough 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Sanyal, Sandipto</dc:creator>
  <cp:lastModifiedBy>Sanyal, Sandipto</cp:lastModifiedBy>
  <dcterms:created xsi:type="dcterms:W3CDTF">2015-06-05T18:17:20Z</dcterms:created>
  <dcterms:modified xsi:type="dcterms:W3CDTF">2020-10-10T12:28:53Z</dcterms:modified>
</cp:coreProperties>
</file>