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andipto.sanyal\OneDrive - Accenture\Documents\Study materials\AMPBA\Term1\statistical analysis\notes\"/>
    </mc:Choice>
  </mc:AlternateContent>
  <xr:revisionPtr revIDLastSave="573" documentId="11_F25DC773A252ABDACC104838D99C643C5BDE58F3" xr6:coauthVersionLast="45" xr6:coauthVersionMax="45" xr10:uidLastSave="{A1487001-7191-4298-B116-96330322A8E1}"/>
  <bookViews>
    <workbookView xWindow="-108" yWindow="-108" windowWidth="23256" windowHeight="12576" activeTab="2" xr2:uid="{00000000-000D-0000-FFFF-FFFF00000000}"/>
  </bookViews>
  <sheets>
    <sheet name="Medworld" sheetId="1" r:id="rId1"/>
    <sheet name="Belmadi" sheetId="2" r:id="rId2"/>
    <sheet name="Windsheil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3" l="1"/>
  <c r="C3" i="3"/>
  <c r="C2" i="3"/>
  <c r="J10" i="3" l="1"/>
  <c r="G4" i="3"/>
  <c r="B4" i="3"/>
  <c r="I6" i="2" l="1"/>
  <c r="H6" i="2"/>
  <c r="G14" i="2"/>
  <c r="G15" i="2"/>
  <c r="G16" i="2"/>
  <c r="G13" i="2"/>
  <c r="E14" i="2"/>
  <c r="E15" i="2"/>
  <c r="E16" i="2"/>
  <c r="E13" i="2"/>
  <c r="E8" i="2"/>
  <c r="E11" i="2" s="1"/>
  <c r="B16" i="2" l="1"/>
  <c r="B15" i="2"/>
  <c r="B13" i="2"/>
  <c r="B14" i="2"/>
  <c r="B22" i="1" l="1"/>
  <c r="B21" i="1"/>
  <c r="B20" i="1"/>
  <c r="B19" i="1"/>
  <c r="B17" i="1"/>
  <c r="B16" i="1"/>
  <c r="A11" i="1"/>
  <c r="B11" i="1"/>
  <c r="C11" i="1"/>
  <c r="D11" i="1"/>
  <c r="E11" i="1"/>
  <c r="F11" i="1"/>
  <c r="G11" i="1"/>
  <c r="H11" i="1"/>
  <c r="I11" i="1"/>
  <c r="J11" i="1"/>
  <c r="A12" i="1"/>
  <c r="B12" i="1"/>
  <c r="C12" i="1"/>
  <c r="D12" i="1"/>
  <c r="E12" i="1"/>
  <c r="F12" i="1"/>
  <c r="G12" i="1"/>
  <c r="H12" i="1"/>
  <c r="I12" i="1"/>
  <c r="J12" i="1"/>
  <c r="A13" i="1"/>
  <c r="B13" i="1"/>
  <c r="C13" i="1"/>
  <c r="D13" i="1"/>
  <c r="E13" i="1"/>
  <c r="F13" i="1"/>
  <c r="G13" i="1"/>
  <c r="H13" i="1"/>
  <c r="I13" i="1"/>
  <c r="J13" i="1"/>
  <c r="A14" i="1"/>
  <c r="B14" i="1"/>
  <c r="C14" i="1"/>
  <c r="D14" i="1"/>
  <c r="E14" i="1"/>
  <c r="F14" i="1"/>
  <c r="G14" i="1"/>
  <c r="H14" i="1"/>
  <c r="I14" i="1"/>
  <c r="J14" i="1"/>
  <c r="B10" i="1"/>
  <c r="C10" i="1"/>
  <c r="D10" i="1"/>
  <c r="E10" i="1"/>
  <c r="F10" i="1"/>
  <c r="G10" i="1"/>
  <c r="H10" i="1"/>
  <c r="I10" i="1"/>
  <c r="J10" i="1"/>
  <c r="A10" i="1"/>
  <c r="M21" i="1" l="1"/>
  <c r="M20" i="1"/>
  <c r="M25" i="1" l="1"/>
  <c r="M23" i="1"/>
  <c r="M22" i="1"/>
  <c r="M7" i="1"/>
  <c r="M8" i="1" s="1"/>
  <c r="M5" i="1"/>
  <c r="M4" i="1"/>
  <c r="M2" i="1"/>
  <c r="Q9" i="1" l="1"/>
  <c r="Q21" i="1"/>
  <c r="Q33" i="1"/>
  <c r="Q45" i="1"/>
  <c r="Q10" i="1"/>
  <c r="Q22" i="1"/>
  <c r="Q34" i="1"/>
  <c r="Q7" i="1"/>
  <c r="Q23" i="1"/>
  <c r="Q35" i="1"/>
  <c r="Q29" i="1"/>
  <c r="Q30" i="1"/>
  <c r="Q31" i="1"/>
  <c r="Q8" i="1"/>
  <c r="Q32" i="1"/>
  <c r="Q11" i="1"/>
  <c r="Q12" i="1"/>
  <c r="Q24" i="1"/>
  <c r="Q36" i="1"/>
  <c r="Q26" i="1"/>
  <c r="Q27" i="1"/>
  <c r="Q16" i="1"/>
  <c r="Q18" i="1"/>
  <c r="Q13" i="1"/>
  <c r="Q25" i="1"/>
  <c r="Q37" i="1"/>
  <c r="Q14" i="1"/>
  <c r="Q38" i="1"/>
  <c r="Q39" i="1"/>
  <c r="Q28" i="1"/>
  <c r="Q40" i="1"/>
  <c r="Q17" i="1"/>
  <c r="Q41" i="1"/>
  <c r="Q42" i="1"/>
  <c r="Q19" i="1"/>
  <c r="Q43" i="1"/>
  <c r="Q20" i="1"/>
  <c r="Q44" i="1"/>
  <c r="Q15" i="1"/>
  <c r="M11" i="1"/>
  <c r="M14" i="1"/>
  <c r="M10" i="1"/>
  <c r="R27" i="1" l="1"/>
  <c r="R37" i="1"/>
  <c r="R34" i="1"/>
  <c r="R30" i="1"/>
  <c r="R7" i="1"/>
  <c r="R8" i="1"/>
  <c r="R15" i="1"/>
  <c r="R36" i="1"/>
  <c r="R12" i="1"/>
  <c r="R22" i="1"/>
  <c r="R31" i="1"/>
  <c r="R45" i="1"/>
  <c r="R39" i="1"/>
  <c r="R18" i="1"/>
  <c r="R23" i="1"/>
  <c r="R44" i="1"/>
  <c r="R14" i="1"/>
  <c r="R41" i="1"/>
  <c r="M12" i="1"/>
  <c r="R33" i="1"/>
  <c r="R25" i="1"/>
  <c r="R29" i="1"/>
  <c r="R32" i="1"/>
  <c r="R17" i="1"/>
  <c r="R20" i="1"/>
  <c r="R35" i="1"/>
  <c r="R24" i="1"/>
  <c r="R28" i="1"/>
  <c r="R11" i="1"/>
  <c r="R16" i="1"/>
  <c r="R26" i="1"/>
  <c r="R19" i="1"/>
  <c r="R10" i="1"/>
  <c r="R38" i="1"/>
  <c r="R13" i="1"/>
  <c r="R21" i="1"/>
  <c r="R43" i="1"/>
  <c r="R42" i="1"/>
  <c r="R40" i="1"/>
  <c r="R9" i="1"/>
</calcChain>
</file>

<file path=xl/sharedStrings.xml><?xml version="1.0" encoding="utf-8"?>
<sst xmlns="http://schemas.openxmlformats.org/spreadsheetml/2006/main" count="119" uniqueCount="89">
  <si>
    <t>Sample data</t>
  </si>
  <si>
    <t>Sample mean</t>
  </si>
  <si>
    <t>Population Variance</t>
  </si>
  <si>
    <t>Population Std. dev</t>
  </si>
  <si>
    <t>Sample std. dev</t>
  </si>
  <si>
    <t>CI</t>
  </si>
  <si>
    <t>Error</t>
  </si>
  <si>
    <t>Z value</t>
  </si>
  <si>
    <t>number of samples</t>
  </si>
  <si>
    <t>Rated mean</t>
  </si>
  <si>
    <t>Current DMOE</t>
  </si>
  <si>
    <t>Desired DMOE</t>
  </si>
  <si>
    <t>Minimum sample for desired MOE</t>
  </si>
  <si>
    <t>Hypothesis Testing</t>
  </si>
  <si>
    <t>Population mean</t>
  </si>
  <si>
    <t>Calculation of Type II error</t>
  </si>
  <si>
    <t>Conclude population mean = 100 mg</t>
  </si>
  <si>
    <t>Conclude population mean != 100 mg</t>
  </si>
  <si>
    <t>Population mean actually 100 mg</t>
  </si>
  <si>
    <t>Population mean != 100mg</t>
  </si>
  <si>
    <r>
      <t xml:space="preserve">Type 2 error. Probability of commiting = </t>
    </r>
    <r>
      <rPr>
        <sz val="11"/>
        <color theme="1"/>
        <rFont val="Calibri"/>
        <family val="2"/>
      </rPr>
      <t>β</t>
    </r>
  </si>
  <si>
    <t>Type 1 error. Probability of commiting = α = 0.5</t>
  </si>
  <si>
    <t>Corresponding Confidence Interval</t>
  </si>
  <si>
    <r>
      <t xml:space="preserve">Error </t>
    </r>
    <r>
      <rPr>
        <b/>
        <sz val="11"/>
        <color theme="1"/>
        <rFont val="Calibri"/>
        <family val="2"/>
      </rPr>
      <t>β</t>
    </r>
  </si>
  <si>
    <t>Lower limit of population mean</t>
  </si>
  <si>
    <t>Upper limit of population mean</t>
  </si>
  <si>
    <t>Lower limit of sample mean</t>
  </si>
  <si>
    <t>Upper limit of sample mean</t>
  </si>
  <si>
    <t>number of samples required</t>
  </si>
  <si>
    <t>DMOE</t>
  </si>
  <si>
    <t>Printed amount</t>
  </si>
  <si>
    <t>Cutoff</t>
  </si>
  <si>
    <t>Sample proportion</t>
  </si>
  <si>
    <t>Std. Dev. Of sample proportion</t>
  </si>
  <si>
    <t>Lower limit of Population proportion</t>
  </si>
  <si>
    <t>Upper limit of Population proportion</t>
  </si>
  <si>
    <t>Null Hypothesis choice 1</t>
  </si>
  <si>
    <t>Conclude Bridge limit &gt;= 87 kips</t>
  </si>
  <si>
    <t>Conclude Bridge limit &lt; 87 kips</t>
  </si>
  <si>
    <t>Type 1 error
Implication: Ask contractor to strengthen more</t>
  </si>
  <si>
    <t>Actual Bridge limit &gt;= 87 kips</t>
  </si>
  <si>
    <t>Actual Bridge limit &lt; 87 kips</t>
  </si>
  <si>
    <t>Type 2 error
Implication: Inaugarate bridge. After few days it collapses</t>
  </si>
  <si>
    <t>Actual Bridge limit &lt;= 87 kips</t>
  </si>
  <si>
    <t>Actual Bridge limit &gt; 87 kips</t>
  </si>
  <si>
    <t>Type 1 error
Implication: Inaugarate bridge. After few days it collapses</t>
  </si>
  <si>
    <t>Type 2 error
Implication: Ask contractor to strengthen more</t>
  </si>
  <si>
    <t>Conclude Bridge limit &lt;= 87 kips</t>
  </si>
  <si>
    <t>Conclude Bridge limit &gt; 87 kips</t>
  </si>
  <si>
    <t>Null Hypothesis choice 2</t>
  </si>
  <si>
    <t>Implication: Open the bridge and it’s a good decision</t>
  </si>
  <si>
    <t>Implication: Don't open the bridge good decision</t>
  </si>
  <si>
    <t>Implication: Don't Open the bridge and it’s a good decision</t>
  </si>
  <si>
    <t>Constants</t>
  </si>
  <si>
    <t>Sample variance</t>
  </si>
  <si>
    <t>Sample std. dev.</t>
  </si>
  <si>
    <t>LL of Sample mean</t>
  </si>
  <si>
    <t>UL of Sample mean</t>
  </si>
  <si>
    <t>t values</t>
  </si>
  <si>
    <t>Number of samples</t>
  </si>
  <si>
    <t>Std. dev. Of sample means</t>
  </si>
  <si>
    <r>
      <t>Error tolerances (</t>
    </r>
    <r>
      <rPr>
        <b/>
        <sz val="11"/>
        <color theme="1"/>
        <rFont val="Calibri"/>
        <family val="2"/>
      </rPr>
      <t>α)</t>
    </r>
  </si>
  <si>
    <t>inf</t>
  </si>
  <si>
    <r>
      <t>Implication:</t>
    </r>
    <r>
      <rPr>
        <sz val="11"/>
        <color theme="1"/>
        <rFont val="Calibri"/>
        <family val="2"/>
        <scheme val="minor"/>
      </rPr>
      <t xml:space="preserve"> As we see that increasing the confidence interval we are increasing the acceptance region of the bridge to be safe for travel. This thereby is favoring the contractor and risking public safety. There is a risk of commiting type 2 error where we due to our sample mean (might be a messed up sample) we are concluding bridge is safe to use while it is not will cause public life damage</t>
    </r>
  </si>
  <si>
    <t xml:space="preserve"> - inf</t>
  </si>
  <si>
    <r>
      <t>Implication:</t>
    </r>
    <r>
      <rPr>
        <sz val="11"/>
        <color theme="1"/>
        <rFont val="Calibri"/>
        <family val="2"/>
        <scheme val="minor"/>
      </rPr>
      <t xml:space="preserve"> As we see that increasing the confidence interval we are increasing the strictness of the our acceptance region of the bridge to be safe for travel. This thereby ensuring that the bridge is safe for use if and only if our sample mean crosses the calculated thresholds. Hence we are decreasing the acceptance region by increasing confidence.</t>
    </r>
  </si>
  <si>
    <t>Sample t value</t>
  </si>
  <si>
    <t>Sample p value</t>
  </si>
  <si>
    <t>Choice 2</t>
  </si>
  <si>
    <t>Bridge KIPS &gt; 87</t>
  </si>
  <si>
    <t>Current supplier</t>
  </si>
  <si>
    <t>Future Supplier</t>
  </si>
  <si>
    <t>Population var</t>
  </si>
  <si>
    <t>Population std. dev.</t>
  </si>
  <si>
    <t>Rammurthy said that they can assume the same variance for Krishna Kant's windshields also</t>
  </si>
  <si>
    <t>mu &gt;= 500 psi</t>
  </si>
  <si>
    <t>mu &lt; 500</t>
  </si>
  <si>
    <t>Conclude mu &gt;= 500</t>
  </si>
  <si>
    <t>Conclude mu &lt; 500</t>
  </si>
  <si>
    <t>mu &lt;= 500</t>
  </si>
  <si>
    <t>mu &gt; 500</t>
  </si>
  <si>
    <t>conclude mu &lt;= 500</t>
  </si>
  <si>
    <t>conclude mu &gt; 500</t>
  </si>
  <si>
    <t>Implication: Take the new vendor</t>
  </si>
  <si>
    <t>Type 1 error
Implication: Settled for lower quality</t>
  </si>
  <si>
    <t xml:space="preserve">Type 2 error
Implication: Unnecessarily fired old vendor </t>
  </si>
  <si>
    <t>Implication: Continue with current vendor</t>
  </si>
  <si>
    <t>Type 2 error
Implication: Settled for lower quality</t>
  </si>
  <si>
    <t xml:space="preserve">Type 1 error
Implication: Unnecessarily fired old vendor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</si>
</sst>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vertAlign val="superscript"/>
      <sz val="11"/>
      <color rgb="FF000000"/>
      <name val="Calibri"/>
      <family val="2"/>
    </font>
    <font>
      <sz val="11"/>
      <color theme="1"/>
      <name val="Calibri"/>
      <family val="2"/>
    </font>
    <font>
      <b/>
      <sz val="11"/>
      <color theme="1"/>
      <name val="Calibri"/>
      <family val="2"/>
    </font>
    <font>
      <sz val="11"/>
      <color rgb="FF00B050"/>
      <name val="Calibri"/>
      <family val="2"/>
      <scheme val="minor"/>
    </font>
    <font>
      <b/>
      <sz val="11"/>
      <color rgb="FFFF0000"/>
      <name val="Calibri"/>
      <family val="2"/>
      <scheme val="minor"/>
    </font>
    <font>
      <sz val="10"/>
      <color theme="1"/>
      <name val="Arial"/>
      <family val="2"/>
    </font>
  </fonts>
  <fills count="3">
    <fill>
      <patternFill patternType="none"/>
    </fill>
    <fill>
      <patternFill patternType="gray125"/>
    </fill>
    <fill>
      <patternFill patternType="solid">
        <fgColor rgb="FFFFFF00"/>
        <bgColor indexed="64"/>
      </patternFill>
    </fill>
  </fills>
  <borders count="27">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0">
    <xf numFmtId="0" fontId="0" fillId="0" borderId="0" xfId="0"/>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Fill="1" applyBorder="1" applyAlignment="1">
      <alignment horizontal="center" vertical="center" wrapText="1"/>
    </xf>
    <xf numFmtId="0" fontId="0" fillId="2" borderId="0" xfId="0" applyFill="1"/>
    <xf numFmtId="0" fontId="0" fillId="0" borderId="0" xfId="0" applyAlignment="1">
      <alignment wrapText="1"/>
    </xf>
    <xf numFmtId="0" fontId="2" fillId="0" borderId="0" xfId="0" applyFont="1"/>
    <xf numFmtId="0" fontId="2" fillId="0" borderId="0" xfId="0" applyFont="1" applyAlignment="1">
      <alignment wrapText="1"/>
    </xf>
    <xf numFmtId="0" fontId="0" fillId="0" borderId="6" xfId="0" applyBorder="1"/>
    <xf numFmtId="0" fontId="0" fillId="0" borderId="7" xfId="0" applyBorder="1"/>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xf numFmtId="0" fontId="0" fillId="0" borderId="11" xfId="0" applyBorder="1" applyAlignment="1">
      <alignment wrapText="1"/>
    </xf>
    <xf numFmtId="0" fontId="2" fillId="0" borderId="12" xfId="0" applyFont="1" applyBorder="1" applyAlignment="1">
      <alignment wrapText="1"/>
    </xf>
    <xf numFmtId="0" fontId="0" fillId="0" borderId="13" xfId="0" applyBorder="1" applyAlignment="1">
      <alignment wrapText="1"/>
    </xf>
    <xf numFmtId="0" fontId="0" fillId="0" borderId="14" xfId="0" applyBorder="1"/>
    <xf numFmtId="0" fontId="0" fillId="0" borderId="0" xfId="0" applyFill="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6" fillId="0" borderId="6" xfId="0" applyFont="1" applyBorder="1" applyAlignment="1">
      <alignment wrapText="1"/>
    </xf>
    <xf numFmtId="0" fontId="1" fillId="0" borderId="13" xfId="0" applyFont="1" applyBorder="1" applyAlignment="1">
      <alignment wrapText="1"/>
    </xf>
    <xf numFmtId="0" fontId="7" fillId="0" borderId="13" xfId="0" applyFont="1" applyBorder="1" applyAlignment="1">
      <alignment wrapText="1"/>
    </xf>
    <xf numFmtId="0" fontId="0" fillId="0" borderId="15" xfId="0" applyBorder="1"/>
    <xf numFmtId="0" fontId="2" fillId="0" borderId="16" xfId="0" applyFont="1" applyBorder="1" applyAlignment="1">
      <alignment wrapText="1"/>
    </xf>
    <xf numFmtId="0" fontId="2" fillId="0" borderId="18" xfId="0" applyFont="1" applyBorder="1" applyAlignment="1">
      <alignment wrapText="1"/>
    </xf>
    <xf numFmtId="0" fontId="0" fillId="0" borderId="19" xfId="0" applyBorder="1" applyAlignment="1"/>
    <xf numFmtId="0" fontId="0" fillId="0" borderId="20" xfId="0" applyBorder="1" applyAlignment="1"/>
    <xf numFmtId="0" fontId="2" fillId="0" borderId="21" xfId="0" applyFont="1" applyBorder="1" applyAlignment="1"/>
    <xf numFmtId="0" fontId="0" fillId="0" borderId="22" xfId="0" applyBorder="1" applyAlignment="1"/>
    <xf numFmtId="0" fontId="0" fillId="0" borderId="23" xfId="0" applyBorder="1" applyAlignment="1"/>
    <xf numFmtId="0" fontId="2" fillId="0" borderId="24" xfId="0" applyFont="1" applyBorder="1" applyAlignment="1">
      <alignment wrapText="1"/>
    </xf>
    <xf numFmtId="0" fontId="2" fillId="0" borderId="17" xfId="0" applyFont="1" applyBorder="1" applyAlignment="1">
      <alignment wrapText="1"/>
    </xf>
    <xf numFmtId="0" fontId="0" fillId="0" borderId="25" xfId="0" applyBorder="1"/>
    <xf numFmtId="0" fontId="0" fillId="0" borderId="26" xfId="0" applyBorder="1"/>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6" xfId="0" applyFont="1" applyBorder="1" applyAlignment="1">
      <alignment horizontal="center" wrapText="1"/>
    </xf>
    <xf numFmtId="0" fontId="2" fillId="0" borderId="4" xfId="0" applyFont="1" applyBorder="1" applyAlignment="1">
      <alignment horizontal="center"/>
    </xf>
    <xf numFmtId="0" fontId="2" fillId="0" borderId="1" xfId="0" applyFont="1" applyBorder="1" applyAlignment="1">
      <alignment horizontal="center"/>
    </xf>
    <xf numFmtId="0" fontId="2" fillId="0" borderId="5"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Probability of committing Type II error with Population mean</a:t>
            </a:r>
            <a:endParaRPr lang="el-G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Medworld!$R$6</c:f>
              <c:strCache>
                <c:ptCount val="1"/>
                <c:pt idx="0">
                  <c:v>Error β</c:v>
                </c:pt>
              </c:strCache>
            </c:strRef>
          </c:tx>
          <c:spPr>
            <a:ln w="28575" cap="rnd">
              <a:solidFill>
                <a:schemeClr val="accent3"/>
              </a:solidFill>
              <a:round/>
            </a:ln>
            <a:effectLst/>
          </c:spPr>
          <c:marker>
            <c:symbol val="none"/>
          </c:marker>
          <c:cat>
            <c:strRef>
              <c:f>Medworld!$P$6:$P$45</c:f>
              <c:strCache>
                <c:ptCount val="40"/>
                <c:pt idx="0">
                  <c:v>Population mean</c:v>
                </c:pt>
                <c:pt idx="1">
                  <c:v>94.5</c:v>
                </c:pt>
                <c:pt idx="2">
                  <c:v>94.75</c:v>
                </c:pt>
                <c:pt idx="3">
                  <c:v>95</c:v>
                </c:pt>
                <c:pt idx="4">
                  <c:v>95.25</c:v>
                </c:pt>
                <c:pt idx="5">
                  <c:v>95.5</c:v>
                </c:pt>
                <c:pt idx="6">
                  <c:v>95.75</c:v>
                </c:pt>
                <c:pt idx="7">
                  <c:v>96</c:v>
                </c:pt>
                <c:pt idx="8">
                  <c:v>96.25</c:v>
                </c:pt>
                <c:pt idx="9">
                  <c:v>96.5</c:v>
                </c:pt>
                <c:pt idx="10">
                  <c:v>96.75</c:v>
                </c:pt>
                <c:pt idx="11">
                  <c:v>97</c:v>
                </c:pt>
                <c:pt idx="12">
                  <c:v>97.25</c:v>
                </c:pt>
                <c:pt idx="13">
                  <c:v>97.5</c:v>
                </c:pt>
                <c:pt idx="14">
                  <c:v>97.75</c:v>
                </c:pt>
                <c:pt idx="15">
                  <c:v>98</c:v>
                </c:pt>
                <c:pt idx="16">
                  <c:v>98.25</c:v>
                </c:pt>
                <c:pt idx="17">
                  <c:v>98.5</c:v>
                </c:pt>
                <c:pt idx="18">
                  <c:v>98.75</c:v>
                </c:pt>
                <c:pt idx="19">
                  <c:v>99</c:v>
                </c:pt>
                <c:pt idx="20">
                  <c:v>99.25</c:v>
                </c:pt>
                <c:pt idx="21">
                  <c:v>99.5</c:v>
                </c:pt>
                <c:pt idx="22">
                  <c:v>99.75</c:v>
                </c:pt>
                <c:pt idx="23">
                  <c:v>100</c:v>
                </c:pt>
                <c:pt idx="24">
                  <c:v>100.25</c:v>
                </c:pt>
                <c:pt idx="25">
                  <c:v>100.5</c:v>
                </c:pt>
                <c:pt idx="26">
                  <c:v>100.75</c:v>
                </c:pt>
                <c:pt idx="27">
                  <c:v>101</c:v>
                </c:pt>
                <c:pt idx="28">
                  <c:v>101.25</c:v>
                </c:pt>
                <c:pt idx="29">
                  <c:v>101.5</c:v>
                </c:pt>
                <c:pt idx="30">
                  <c:v>101.75</c:v>
                </c:pt>
                <c:pt idx="31">
                  <c:v>102</c:v>
                </c:pt>
                <c:pt idx="32">
                  <c:v>102.25</c:v>
                </c:pt>
                <c:pt idx="33">
                  <c:v>102.5</c:v>
                </c:pt>
                <c:pt idx="34">
                  <c:v>102.75</c:v>
                </c:pt>
                <c:pt idx="35">
                  <c:v>103</c:v>
                </c:pt>
                <c:pt idx="36">
                  <c:v>103.25</c:v>
                </c:pt>
                <c:pt idx="37">
                  <c:v>103.5</c:v>
                </c:pt>
                <c:pt idx="38">
                  <c:v>103.75</c:v>
                </c:pt>
                <c:pt idx="39">
                  <c:v>104</c:v>
                </c:pt>
              </c:strCache>
            </c:strRef>
          </c:cat>
          <c:val>
            <c:numRef>
              <c:f>Medworld!$R$7:$R$45</c:f>
              <c:numCache>
                <c:formatCode>General</c:formatCode>
                <c:ptCount val="39"/>
                <c:pt idx="0">
                  <c:v>0.34901661514893911</c:v>
                </c:pt>
                <c:pt idx="1">
                  <c:v>0.32304115977680525</c:v>
                </c:pt>
                <c:pt idx="2">
                  <c:v>0.29792472422542826</c:v>
                </c:pt>
                <c:pt idx="3">
                  <c:v>0.27376861924331297</c:v>
                </c:pt>
                <c:pt idx="4">
                  <c:v>0.25066214476137483</c:v>
                </c:pt>
                <c:pt idx="5">
                  <c:v>0.22868201633940677</c:v>
                </c:pt>
                <c:pt idx="6">
                  <c:v>0.2078921140156389</c:v>
                </c:pt>
                <c:pt idx="7">
                  <c:v>0.18834355045628171</c:v>
                </c:pt>
                <c:pt idx="8">
                  <c:v>0.17007504575308774</c:v>
                </c:pt>
                <c:pt idx="9">
                  <c:v>0.15311358736003344</c:v>
                </c:pt>
                <c:pt idx="10">
                  <c:v>0.13747534577094123</c:v>
                </c:pt>
                <c:pt idx="11">
                  <c:v>0.1231668098382781</c:v>
                </c:pt>
                <c:pt idx="12">
                  <c:v>0.11018610027841469</c:v>
                </c:pt>
                <c:pt idx="13">
                  <c:v>9.8524415996767312E-2</c:v>
                </c:pt>
                <c:pt idx="14">
                  <c:v>8.8167565433732054E-2</c:v>
                </c:pt>
                <c:pt idx="15">
                  <c:v>7.9097534160596616E-2</c:v>
                </c:pt>
                <c:pt idx="16">
                  <c:v>7.1294040378327206E-2</c:v>
                </c:pt>
                <c:pt idx="17">
                  <c:v>6.4736031688628626E-2</c:v>
                </c:pt>
                <c:pt idx="18">
                  <c:v>5.9403079386404212E-2</c:v>
                </c:pt>
                <c:pt idx="19">
                  <c:v>5.5276630419333395E-2</c:v>
                </c:pt>
                <c:pt idx="20">
                  <c:v>5.2341081919898613E-2</c:v>
                </c:pt>
                <c:pt idx="21">
                  <c:v>5.0584648683984934E-2</c:v>
                </c:pt>
                <c:pt idx="22">
                  <c:v>5.0000000000000044E-2</c:v>
                </c:pt>
                <c:pt idx="23">
                  <c:v>5.0584648683984934E-2</c:v>
                </c:pt>
                <c:pt idx="24">
                  <c:v>5.2341081919898613E-2</c:v>
                </c:pt>
                <c:pt idx="25">
                  <c:v>5.5276630419333395E-2</c:v>
                </c:pt>
                <c:pt idx="26">
                  <c:v>5.9403079386404212E-2</c:v>
                </c:pt>
                <c:pt idx="27">
                  <c:v>6.4736031688628626E-2</c:v>
                </c:pt>
                <c:pt idx="28">
                  <c:v>7.1294040378327206E-2</c:v>
                </c:pt>
                <c:pt idx="29">
                  <c:v>7.9097534160596616E-2</c:v>
                </c:pt>
                <c:pt idx="30">
                  <c:v>8.8167565433732054E-2</c:v>
                </c:pt>
                <c:pt idx="31">
                  <c:v>9.8524415996767312E-2</c:v>
                </c:pt>
                <c:pt idx="32">
                  <c:v>0.11018610027841469</c:v>
                </c:pt>
                <c:pt idx="33">
                  <c:v>0.1231668098382781</c:v>
                </c:pt>
                <c:pt idx="34">
                  <c:v>0.13747534577094123</c:v>
                </c:pt>
                <c:pt idx="35">
                  <c:v>0.15311358736003344</c:v>
                </c:pt>
                <c:pt idx="36">
                  <c:v>0.17007504575308774</c:v>
                </c:pt>
                <c:pt idx="37">
                  <c:v>0.18834355045628171</c:v>
                </c:pt>
                <c:pt idx="38">
                  <c:v>0.2078921140156389</c:v>
                </c:pt>
              </c:numCache>
            </c:numRef>
          </c:val>
          <c:smooth val="0"/>
          <c:extLst>
            <c:ext xmlns:c16="http://schemas.microsoft.com/office/drawing/2014/chart" uri="{C3380CC4-5D6E-409C-BE32-E72D297353CC}">
              <c16:uniqueId val="{00000000-CC0B-45A4-95AE-68534E8193D4}"/>
            </c:ext>
          </c:extLst>
        </c:ser>
        <c:dLbls>
          <c:showLegendKey val="0"/>
          <c:showVal val="0"/>
          <c:showCatName val="0"/>
          <c:showSerName val="0"/>
          <c:showPercent val="0"/>
          <c:showBubbleSize val="0"/>
        </c:dLbls>
        <c:smooth val="0"/>
        <c:axId val="2118192976"/>
        <c:axId val="2116766944"/>
      </c:lineChart>
      <c:catAx>
        <c:axId val="211819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766944"/>
        <c:crosses val="autoZero"/>
        <c:auto val="1"/>
        <c:lblAlgn val="ctr"/>
        <c:lblOffset val="100"/>
        <c:noMultiLvlLbl val="0"/>
      </c:catAx>
      <c:valAx>
        <c:axId val="211676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9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0</xdr:colOff>
      <xdr:row>5</xdr:row>
      <xdr:rowOff>0</xdr:rowOff>
    </xdr:from>
    <xdr:to>
      <xdr:col>26</xdr:col>
      <xdr:colOff>304800</xdr:colOff>
      <xdr:row>13</xdr:row>
      <xdr:rowOff>892628</xdr:rowOff>
    </xdr:to>
    <xdr:graphicFrame macro="">
      <xdr:nvGraphicFramePr>
        <xdr:cNvPr id="4" name="Chart 3">
          <a:extLst>
            <a:ext uri="{FF2B5EF4-FFF2-40B4-BE49-F238E27FC236}">
              <a16:creationId xmlns:a16="http://schemas.microsoft.com/office/drawing/2014/main" id="{7056B71F-D4E8-4B1E-AC86-6193C7745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5"/>
  <sheetViews>
    <sheetView topLeftCell="H1" zoomScale="115" zoomScaleNormal="115" workbookViewId="0">
      <selection activeCell="P2" sqref="P2:R4"/>
    </sheetView>
  </sheetViews>
  <sheetFormatPr defaultRowHeight="14.4" x14ac:dyDescent="0.3"/>
  <cols>
    <col min="1" max="1" width="18.21875" customWidth="1"/>
    <col min="12" max="12" width="21.88671875" customWidth="1"/>
    <col min="16" max="16" width="14.6640625" customWidth="1"/>
    <col min="17" max="17" width="15.77734375" customWidth="1"/>
    <col min="18" max="18" width="16.109375" customWidth="1"/>
  </cols>
  <sheetData>
    <row r="1" spans="1:18" ht="15" thickBot="1" x14ac:dyDescent="0.35">
      <c r="A1" s="39" t="s">
        <v>0</v>
      </c>
      <c r="B1" s="40"/>
      <c r="C1" s="40"/>
      <c r="D1" s="40"/>
      <c r="E1" s="40"/>
      <c r="F1" s="40"/>
      <c r="G1" s="40"/>
      <c r="H1" s="40"/>
      <c r="I1" s="40"/>
      <c r="J1" s="41"/>
      <c r="L1" t="s">
        <v>9</v>
      </c>
      <c r="M1" s="4">
        <v>100</v>
      </c>
      <c r="P1" s="42" t="s">
        <v>15</v>
      </c>
      <c r="Q1" s="42"/>
      <c r="R1" s="42"/>
    </row>
    <row r="2" spans="1:18" ht="29.4" thickBot="1" x14ac:dyDescent="0.35">
      <c r="A2" s="1">
        <v>99.85</v>
      </c>
      <c r="B2" s="2">
        <v>96.33</v>
      </c>
      <c r="C2" s="2">
        <v>107.2</v>
      </c>
      <c r="D2" s="2">
        <v>96.81</v>
      </c>
      <c r="E2" s="2">
        <v>100.32</v>
      </c>
      <c r="F2" s="2">
        <v>99.45</v>
      </c>
      <c r="G2" s="2">
        <v>95.81</v>
      </c>
      <c r="H2" s="2">
        <v>97.2</v>
      </c>
      <c r="I2" s="2">
        <v>96.82</v>
      </c>
      <c r="J2" s="2">
        <v>101.57</v>
      </c>
      <c r="L2" t="s">
        <v>1</v>
      </c>
      <c r="M2">
        <f>AVERAGE(A2:J6)</f>
        <v>99.334200000000038</v>
      </c>
      <c r="P2" s="9"/>
      <c r="Q2" s="10" t="s">
        <v>18</v>
      </c>
      <c r="R2" s="11" t="s">
        <v>19</v>
      </c>
    </row>
    <row r="3" spans="1:18" ht="43.8" thickBot="1" x14ac:dyDescent="0.35">
      <c r="A3" s="1">
        <v>98.53</v>
      </c>
      <c r="B3" s="2">
        <v>97.19</v>
      </c>
      <c r="C3" s="2">
        <v>96.53</v>
      </c>
      <c r="D3" s="2">
        <v>103.2</v>
      </c>
      <c r="E3" s="2">
        <v>95.68</v>
      </c>
      <c r="F3" s="2">
        <v>97.78</v>
      </c>
      <c r="G3" s="2">
        <v>106.87</v>
      </c>
      <c r="H3" s="2">
        <v>104.58</v>
      </c>
      <c r="I3" s="2">
        <v>101.95</v>
      </c>
      <c r="J3" s="2">
        <v>103.81</v>
      </c>
      <c r="L3" t="s">
        <v>2</v>
      </c>
      <c r="M3" s="4">
        <v>12.25</v>
      </c>
      <c r="P3" s="12" t="s">
        <v>16</v>
      </c>
      <c r="Q3" s="8"/>
      <c r="R3" s="13" t="s">
        <v>20</v>
      </c>
    </row>
    <row r="4" spans="1:18" ht="58.2" thickBot="1" x14ac:dyDescent="0.35">
      <c r="A4" s="1">
        <v>98.43</v>
      </c>
      <c r="B4" s="2">
        <v>93.06</v>
      </c>
      <c r="C4" s="2">
        <v>103.69</v>
      </c>
      <c r="D4" s="2">
        <v>94.98</v>
      </c>
      <c r="E4" s="2">
        <v>103.26</v>
      </c>
      <c r="F4" s="2">
        <v>97.63</v>
      </c>
      <c r="G4" s="2">
        <v>97.09</v>
      </c>
      <c r="H4" s="2">
        <v>96.85</v>
      </c>
      <c r="I4" s="2">
        <v>93.36</v>
      </c>
      <c r="J4" s="2">
        <v>100.08</v>
      </c>
      <c r="L4" t="s">
        <v>3</v>
      </c>
      <c r="M4">
        <f>SQRT(M3)</f>
        <v>3.5</v>
      </c>
      <c r="P4" s="14" t="s">
        <v>17</v>
      </c>
      <c r="Q4" s="15" t="s">
        <v>21</v>
      </c>
      <c r="R4" s="16"/>
    </row>
    <row r="5" spans="1:18" ht="16.8" thickBot="1" x14ac:dyDescent="0.35">
      <c r="A5" s="1">
        <v>98.73</v>
      </c>
      <c r="B5" s="2">
        <v>102.26</v>
      </c>
      <c r="C5" s="2">
        <v>103.28</v>
      </c>
      <c r="D5" s="2">
        <v>97.47</v>
      </c>
      <c r="E5" s="2">
        <v>99.25</v>
      </c>
      <c r="F5" s="2">
        <v>99.63</v>
      </c>
      <c r="G5" s="2">
        <v>98.26</v>
      </c>
      <c r="H5" s="2">
        <v>102.25</v>
      </c>
      <c r="I5" s="2">
        <v>100.86</v>
      </c>
      <c r="J5" s="2">
        <v>98.92</v>
      </c>
      <c r="L5" t="s">
        <v>4</v>
      </c>
      <c r="M5">
        <f>_xlfn.STDEV.S(A2:J6)</f>
        <v>3.1069560469293771</v>
      </c>
    </row>
    <row r="6" spans="1:18" ht="43.8" thickBot="1" x14ac:dyDescent="0.35">
      <c r="A6" s="1">
        <v>95.5</v>
      </c>
      <c r="B6" s="2">
        <v>100.15</v>
      </c>
      <c r="C6" s="2">
        <v>99.77</v>
      </c>
      <c r="D6" s="2">
        <v>101.13</v>
      </c>
      <c r="E6" s="2">
        <v>97.83</v>
      </c>
      <c r="F6" s="2">
        <v>98.24</v>
      </c>
      <c r="G6" s="2">
        <v>98.23</v>
      </c>
      <c r="H6" s="2">
        <v>98.27</v>
      </c>
      <c r="I6" s="2">
        <v>100.76</v>
      </c>
      <c r="J6" s="2">
        <v>100.01</v>
      </c>
      <c r="L6" t="s">
        <v>5</v>
      </c>
      <c r="M6" s="4">
        <v>0.95</v>
      </c>
      <c r="P6" s="7" t="s">
        <v>14</v>
      </c>
      <c r="Q6" s="7" t="s">
        <v>22</v>
      </c>
      <c r="R6" s="6" t="s">
        <v>23</v>
      </c>
    </row>
    <row r="7" spans="1:18" x14ac:dyDescent="0.3">
      <c r="L7" t="s">
        <v>6</v>
      </c>
      <c r="M7">
        <f>1-M6</f>
        <v>5.0000000000000044E-2</v>
      </c>
      <c r="P7">
        <v>94.5</v>
      </c>
      <c r="Q7">
        <f>_xlfn.NORM.DIST($M$23,P7,$M$17/SQRT($M$18),1) - _xlfn.NORM.DIST($M$22,P7,$M$17/SQRT($M$18),1)</f>
        <v>0.65098338485106089</v>
      </c>
      <c r="R7">
        <f t="shared" ref="R7:R45" si="0">1-Q7</f>
        <v>0.34901661514893911</v>
      </c>
    </row>
    <row r="8" spans="1:18" ht="16.2" x14ac:dyDescent="0.3">
      <c r="A8" t="s">
        <v>30</v>
      </c>
      <c r="B8" s="3">
        <v>100</v>
      </c>
      <c r="L8" t="s">
        <v>7</v>
      </c>
      <c r="M8">
        <f>ABS(_xlfn.NORM.INV(M7/2,0,1))</f>
        <v>1.9599639845400536</v>
      </c>
      <c r="P8">
        <v>94.75</v>
      </c>
      <c r="Q8">
        <f t="shared" ref="Q8:Q45" si="1">_xlfn.NORM.DIST($M$23,P8,$M$17/SQRT($M$18),1) - _xlfn.NORM.DIST($M$22,P8,$M$17/SQRT($M$18),1)</f>
        <v>0.67695884022319475</v>
      </c>
      <c r="R8">
        <f t="shared" si="0"/>
        <v>0.32304115977680525</v>
      </c>
    </row>
    <row r="9" spans="1:18" ht="16.8" thickBot="1" x14ac:dyDescent="0.35">
      <c r="A9" t="s">
        <v>31</v>
      </c>
      <c r="B9" s="3">
        <v>99</v>
      </c>
      <c r="L9" t="s">
        <v>8</v>
      </c>
      <c r="M9" s="17">
        <v>50</v>
      </c>
      <c r="P9">
        <v>95</v>
      </c>
      <c r="Q9">
        <f t="shared" si="1"/>
        <v>0.70207527577457174</v>
      </c>
      <c r="R9">
        <f t="shared" si="0"/>
        <v>0.29792472422542826</v>
      </c>
    </row>
    <row r="10" spans="1:18" x14ac:dyDescent="0.3">
      <c r="A10" s="9">
        <f>IF(A2&lt;99,1,0)</f>
        <v>0</v>
      </c>
      <c r="B10" s="18">
        <f t="shared" ref="B10:J10" si="2">IF(B2&lt;99,1,0)</f>
        <v>1</v>
      </c>
      <c r="C10" s="18">
        <f t="shared" si="2"/>
        <v>0</v>
      </c>
      <c r="D10" s="18">
        <f t="shared" si="2"/>
        <v>1</v>
      </c>
      <c r="E10" s="18">
        <f t="shared" si="2"/>
        <v>0</v>
      </c>
      <c r="F10" s="18">
        <f t="shared" si="2"/>
        <v>0</v>
      </c>
      <c r="G10" s="18">
        <f t="shared" si="2"/>
        <v>1</v>
      </c>
      <c r="H10" s="18">
        <f t="shared" si="2"/>
        <v>1</v>
      </c>
      <c r="I10" s="18">
        <f t="shared" si="2"/>
        <v>1</v>
      </c>
      <c r="J10" s="19">
        <f t="shared" si="2"/>
        <v>0</v>
      </c>
      <c r="L10" t="s">
        <v>24</v>
      </c>
      <c r="M10">
        <f>M2 - M8*M4/SQRT(M9)</f>
        <v>98.364067322955265</v>
      </c>
      <c r="P10">
        <v>95.25</v>
      </c>
      <c r="Q10">
        <f t="shared" si="1"/>
        <v>0.72623138075668703</v>
      </c>
      <c r="R10">
        <f t="shared" si="0"/>
        <v>0.27376861924331297</v>
      </c>
    </row>
    <row r="11" spans="1:18" x14ac:dyDescent="0.3">
      <c r="A11" s="20">
        <f t="shared" ref="A11:J11" si="3">IF(A3&lt;99,1,0)</f>
        <v>1</v>
      </c>
      <c r="B11" s="8">
        <f t="shared" si="3"/>
        <v>1</v>
      </c>
      <c r="C11" s="8">
        <f t="shared" si="3"/>
        <v>1</v>
      </c>
      <c r="D11" s="8">
        <f t="shared" si="3"/>
        <v>0</v>
      </c>
      <c r="E11" s="8">
        <f t="shared" si="3"/>
        <v>1</v>
      </c>
      <c r="F11" s="8">
        <f t="shared" si="3"/>
        <v>1</v>
      </c>
      <c r="G11" s="8">
        <f t="shared" si="3"/>
        <v>0</v>
      </c>
      <c r="H11" s="8">
        <f t="shared" si="3"/>
        <v>0</v>
      </c>
      <c r="I11" s="8">
        <f t="shared" si="3"/>
        <v>0</v>
      </c>
      <c r="J11" s="21">
        <f t="shared" si="3"/>
        <v>0</v>
      </c>
      <c r="L11" t="s">
        <v>25</v>
      </c>
      <c r="M11">
        <f>M2 + M8*M4/SQRT(M9)</f>
        <v>100.30433267704481</v>
      </c>
      <c r="P11">
        <v>95.5</v>
      </c>
      <c r="Q11">
        <f t="shared" si="1"/>
        <v>0.74933785523862517</v>
      </c>
      <c r="R11">
        <f t="shared" si="0"/>
        <v>0.25066214476137483</v>
      </c>
    </row>
    <row r="12" spans="1:18" x14ac:dyDescent="0.3">
      <c r="A12" s="20">
        <f t="shared" ref="A12:J12" si="4">IF(A4&lt;99,1,0)</f>
        <v>1</v>
      </c>
      <c r="B12" s="8">
        <f t="shared" si="4"/>
        <v>1</v>
      </c>
      <c r="C12" s="8">
        <f t="shared" si="4"/>
        <v>0</v>
      </c>
      <c r="D12" s="8">
        <f t="shared" si="4"/>
        <v>1</v>
      </c>
      <c r="E12" s="8">
        <f t="shared" si="4"/>
        <v>0</v>
      </c>
      <c r="F12" s="8">
        <f t="shared" si="4"/>
        <v>1</v>
      </c>
      <c r="G12" s="8">
        <f t="shared" si="4"/>
        <v>1</v>
      </c>
      <c r="H12" s="8">
        <f t="shared" si="4"/>
        <v>1</v>
      </c>
      <c r="I12" s="8">
        <f t="shared" si="4"/>
        <v>1</v>
      </c>
      <c r="J12" s="21">
        <f t="shared" si="4"/>
        <v>0</v>
      </c>
      <c r="L12" t="s">
        <v>10</v>
      </c>
      <c r="M12">
        <f>(M11-M10)/2</f>
        <v>0.97013267704477357</v>
      </c>
      <c r="P12">
        <v>95.75</v>
      </c>
      <c r="Q12">
        <f t="shared" si="1"/>
        <v>0.77131798366059323</v>
      </c>
      <c r="R12">
        <f t="shared" si="0"/>
        <v>0.22868201633940677</v>
      </c>
    </row>
    <row r="13" spans="1:18" x14ac:dyDescent="0.3">
      <c r="A13" s="20">
        <f t="shared" ref="A13:J13" si="5">IF(A5&lt;99,1,0)</f>
        <v>1</v>
      </c>
      <c r="B13" s="8">
        <f t="shared" si="5"/>
        <v>0</v>
      </c>
      <c r="C13" s="8">
        <f t="shared" si="5"/>
        <v>0</v>
      </c>
      <c r="D13" s="8">
        <f t="shared" si="5"/>
        <v>1</v>
      </c>
      <c r="E13" s="8">
        <f t="shared" si="5"/>
        <v>0</v>
      </c>
      <c r="F13" s="8">
        <f t="shared" si="5"/>
        <v>0</v>
      </c>
      <c r="G13" s="8">
        <f t="shared" si="5"/>
        <v>1</v>
      </c>
      <c r="H13" s="8">
        <f t="shared" si="5"/>
        <v>0</v>
      </c>
      <c r="I13" s="8">
        <f t="shared" si="5"/>
        <v>0</v>
      </c>
      <c r="J13" s="21">
        <f t="shared" si="5"/>
        <v>1</v>
      </c>
      <c r="L13" t="s">
        <v>11</v>
      </c>
      <c r="M13" s="4">
        <v>0.5</v>
      </c>
      <c r="P13">
        <v>96</v>
      </c>
      <c r="Q13">
        <f t="shared" si="1"/>
        <v>0.7921078859843611</v>
      </c>
      <c r="R13">
        <f t="shared" si="0"/>
        <v>0.2078921140156389</v>
      </c>
    </row>
    <row r="14" spans="1:18" ht="29.4" thickBot="1" x14ac:dyDescent="0.35">
      <c r="A14" s="22">
        <f t="shared" ref="A14:J14" si="6">IF(A6&lt;99,1,0)</f>
        <v>1</v>
      </c>
      <c r="B14" s="23">
        <f t="shared" si="6"/>
        <v>0</v>
      </c>
      <c r="C14" s="23">
        <f t="shared" si="6"/>
        <v>0</v>
      </c>
      <c r="D14" s="23">
        <f t="shared" si="6"/>
        <v>0</v>
      </c>
      <c r="E14" s="23">
        <f t="shared" si="6"/>
        <v>1</v>
      </c>
      <c r="F14" s="23">
        <f t="shared" si="6"/>
        <v>1</v>
      </c>
      <c r="G14" s="23">
        <f t="shared" si="6"/>
        <v>1</v>
      </c>
      <c r="H14" s="23">
        <f t="shared" si="6"/>
        <v>1</v>
      </c>
      <c r="I14" s="23">
        <f t="shared" si="6"/>
        <v>0</v>
      </c>
      <c r="J14" s="16">
        <f t="shared" si="6"/>
        <v>0</v>
      </c>
      <c r="L14" s="5" t="s">
        <v>12</v>
      </c>
      <c r="M14">
        <f>ROUNDUP((M4*M8/M13)^2,0)</f>
        <v>189</v>
      </c>
      <c r="P14">
        <v>96.25</v>
      </c>
      <c r="Q14">
        <f t="shared" si="1"/>
        <v>0.81165644954371829</v>
      </c>
      <c r="R14">
        <f t="shared" si="0"/>
        <v>0.18834355045628171</v>
      </c>
    </row>
    <row r="15" spans="1:18" x14ac:dyDescent="0.3">
      <c r="L15" s="42" t="s">
        <v>13</v>
      </c>
      <c r="M15" s="42"/>
      <c r="P15">
        <v>96.5</v>
      </c>
      <c r="Q15">
        <f t="shared" si="1"/>
        <v>0.82992495424691226</v>
      </c>
      <c r="R15">
        <f t="shared" si="0"/>
        <v>0.17007504575308774</v>
      </c>
    </row>
    <row r="16" spans="1:18" x14ac:dyDescent="0.3">
      <c r="A16" t="s">
        <v>32</v>
      </c>
      <c r="B16">
        <f>SUM(A10:J14)/COUNT(A10:J14)</f>
        <v>0.52</v>
      </c>
      <c r="L16" t="s">
        <v>14</v>
      </c>
      <c r="M16" s="4">
        <v>100</v>
      </c>
      <c r="P16">
        <v>96.75</v>
      </c>
      <c r="Q16">
        <f t="shared" si="1"/>
        <v>0.84688641263996656</v>
      </c>
      <c r="R16">
        <f t="shared" si="0"/>
        <v>0.15311358736003344</v>
      </c>
    </row>
    <row r="17" spans="1:18" x14ac:dyDescent="0.3">
      <c r="A17" t="s">
        <v>33</v>
      </c>
      <c r="B17">
        <f>SQRT(B16*(1-B16)/COUNT(A10:J14))</f>
        <v>7.0654086930622778E-2</v>
      </c>
      <c r="L17" t="s">
        <v>3</v>
      </c>
      <c r="M17">
        <v>3.5</v>
      </c>
      <c r="P17">
        <v>97</v>
      </c>
      <c r="Q17">
        <f t="shared" si="1"/>
        <v>0.86252465422905877</v>
      </c>
      <c r="R17">
        <f t="shared" si="0"/>
        <v>0.13747534577094123</v>
      </c>
    </row>
    <row r="18" spans="1:18" x14ac:dyDescent="0.3">
      <c r="A18" t="s">
        <v>5</v>
      </c>
      <c r="B18">
        <v>0.95</v>
      </c>
      <c r="L18" t="s">
        <v>8</v>
      </c>
      <c r="M18">
        <v>1</v>
      </c>
      <c r="P18">
        <v>97.25</v>
      </c>
      <c r="Q18">
        <f t="shared" si="1"/>
        <v>0.8768331901617219</v>
      </c>
      <c r="R18">
        <f t="shared" si="0"/>
        <v>0.1231668098382781</v>
      </c>
    </row>
    <row r="19" spans="1:18" x14ac:dyDescent="0.3">
      <c r="A19" t="s">
        <v>6</v>
      </c>
      <c r="B19">
        <f>1-B18</f>
        <v>5.0000000000000044E-2</v>
      </c>
      <c r="L19" t="s">
        <v>5</v>
      </c>
      <c r="M19">
        <v>0.95</v>
      </c>
      <c r="P19">
        <v>97.5</v>
      </c>
      <c r="Q19">
        <f t="shared" si="1"/>
        <v>0.88981389972158531</v>
      </c>
      <c r="R19">
        <f t="shared" si="0"/>
        <v>0.11018610027841469</v>
      </c>
    </row>
    <row r="20" spans="1:18" x14ac:dyDescent="0.3">
      <c r="A20" t="s">
        <v>7</v>
      </c>
      <c r="B20">
        <f>ABS(_xlfn.NORM.INV(B19/2,0,1))</f>
        <v>1.9599639845400536</v>
      </c>
      <c r="L20" t="s">
        <v>6</v>
      </c>
      <c r="M20">
        <f>1-M19</f>
        <v>5.0000000000000044E-2</v>
      </c>
      <c r="P20">
        <v>97.75</v>
      </c>
      <c r="Q20">
        <f t="shared" si="1"/>
        <v>0.90147558400323269</v>
      </c>
      <c r="R20">
        <f t="shared" si="0"/>
        <v>9.8524415996767312E-2</v>
      </c>
    </row>
    <row r="21" spans="1:18" x14ac:dyDescent="0.3">
      <c r="A21" t="s">
        <v>34</v>
      </c>
      <c r="B21">
        <f>B16-B20*B17</f>
        <v>0.38152053425541727</v>
      </c>
      <c r="L21" t="s">
        <v>7</v>
      </c>
      <c r="M21">
        <f>ABS((_xlfn.NORM.INV(M20/2,0,1)))</f>
        <v>1.9599639845400536</v>
      </c>
      <c r="P21">
        <v>98</v>
      </c>
      <c r="Q21">
        <f t="shared" si="1"/>
        <v>0.91183243456626795</v>
      </c>
      <c r="R21">
        <f t="shared" si="0"/>
        <v>8.8167565433732054E-2</v>
      </c>
    </row>
    <row r="22" spans="1:18" x14ac:dyDescent="0.3">
      <c r="A22" t="s">
        <v>35</v>
      </c>
      <c r="B22">
        <f>B16+B20*B17</f>
        <v>0.65847946574458271</v>
      </c>
      <c r="L22" t="s">
        <v>26</v>
      </c>
      <c r="M22">
        <f>M16-M21*M17/SQRT(M18)</f>
        <v>93.140126054109814</v>
      </c>
      <c r="P22">
        <v>98.25</v>
      </c>
      <c r="Q22">
        <f t="shared" si="1"/>
        <v>0.92090246583940338</v>
      </c>
      <c r="R22">
        <f t="shared" si="0"/>
        <v>7.9097534160596616E-2</v>
      </c>
    </row>
    <row r="23" spans="1:18" x14ac:dyDescent="0.3">
      <c r="L23" t="s">
        <v>27</v>
      </c>
      <c r="M23">
        <f>M16+M21*M17/SQRT(M18)</f>
        <v>106.85987394589019</v>
      </c>
      <c r="P23">
        <v>98.5</v>
      </c>
      <c r="Q23">
        <f t="shared" si="1"/>
        <v>0.92870595962167279</v>
      </c>
      <c r="R23">
        <f t="shared" si="0"/>
        <v>7.1294040378327206E-2</v>
      </c>
    </row>
    <row r="24" spans="1:18" x14ac:dyDescent="0.3">
      <c r="L24" t="s">
        <v>29</v>
      </c>
      <c r="M24">
        <v>0.5</v>
      </c>
      <c r="P24">
        <v>98.75</v>
      </c>
      <c r="Q24">
        <f t="shared" si="1"/>
        <v>0.93526396831137137</v>
      </c>
      <c r="R24">
        <f t="shared" si="0"/>
        <v>6.4736031688628626E-2</v>
      </c>
    </row>
    <row r="25" spans="1:18" x14ac:dyDescent="0.3">
      <c r="L25" t="s">
        <v>28</v>
      </c>
      <c r="M25">
        <f>(M17/M24*M21)^2</f>
        <v>188.23148221401206</v>
      </c>
      <c r="P25" s="4">
        <v>99</v>
      </c>
      <c r="Q25" s="4">
        <f t="shared" si="1"/>
        <v>0.94059692061359579</v>
      </c>
      <c r="R25" s="4">
        <f t="shared" si="0"/>
        <v>5.9403079386404212E-2</v>
      </c>
    </row>
    <row r="26" spans="1:18" x14ac:dyDescent="0.3">
      <c r="P26">
        <v>99.25</v>
      </c>
      <c r="Q26">
        <f t="shared" si="1"/>
        <v>0.94472336958066661</v>
      </c>
      <c r="R26">
        <f t="shared" si="0"/>
        <v>5.5276630419333395E-2</v>
      </c>
    </row>
    <row r="27" spans="1:18" x14ac:dyDescent="0.3">
      <c r="P27">
        <v>99.5</v>
      </c>
      <c r="Q27">
        <f t="shared" si="1"/>
        <v>0.94765891808010139</v>
      </c>
      <c r="R27">
        <f t="shared" si="0"/>
        <v>5.2341081919898613E-2</v>
      </c>
    </row>
    <row r="28" spans="1:18" x14ac:dyDescent="0.3">
      <c r="P28">
        <v>99.75</v>
      </c>
      <c r="Q28">
        <f t="shared" si="1"/>
        <v>0.94941535131601507</v>
      </c>
      <c r="R28">
        <f t="shared" si="0"/>
        <v>5.0584648683984934E-2</v>
      </c>
    </row>
    <row r="29" spans="1:18" x14ac:dyDescent="0.3">
      <c r="P29">
        <v>100</v>
      </c>
      <c r="Q29">
        <f t="shared" si="1"/>
        <v>0.95</v>
      </c>
      <c r="R29">
        <f t="shared" si="0"/>
        <v>5.0000000000000044E-2</v>
      </c>
    </row>
    <row r="30" spans="1:18" x14ac:dyDescent="0.3">
      <c r="P30">
        <v>100.25</v>
      </c>
      <c r="Q30">
        <f t="shared" si="1"/>
        <v>0.94941535131601507</v>
      </c>
      <c r="R30">
        <f t="shared" si="0"/>
        <v>5.0584648683984934E-2</v>
      </c>
    </row>
    <row r="31" spans="1:18" x14ac:dyDescent="0.3">
      <c r="P31">
        <v>100.5</v>
      </c>
      <c r="Q31">
        <f t="shared" si="1"/>
        <v>0.94765891808010139</v>
      </c>
      <c r="R31">
        <f t="shared" si="0"/>
        <v>5.2341081919898613E-2</v>
      </c>
    </row>
    <row r="32" spans="1:18" x14ac:dyDescent="0.3">
      <c r="P32">
        <v>100.75</v>
      </c>
      <c r="Q32">
        <f t="shared" si="1"/>
        <v>0.94472336958066661</v>
      </c>
      <c r="R32">
        <f t="shared" si="0"/>
        <v>5.5276630419333395E-2</v>
      </c>
    </row>
    <row r="33" spans="16:18" x14ac:dyDescent="0.3">
      <c r="P33" s="4">
        <v>101</v>
      </c>
      <c r="Q33" s="4">
        <f t="shared" si="1"/>
        <v>0.94059692061359579</v>
      </c>
      <c r="R33" s="4">
        <f t="shared" si="0"/>
        <v>5.9403079386404212E-2</v>
      </c>
    </row>
    <row r="34" spans="16:18" x14ac:dyDescent="0.3">
      <c r="P34">
        <v>101.25</v>
      </c>
      <c r="Q34">
        <f t="shared" si="1"/>
        <v>0.93526396831137137</v>
      </c>
      <c r="R34">
        <f t="shared" si="0"/>
        <v>6.4736031688628626E-2</v>
      </c>
    </row>
    <row r="35" spans="16:18" x14ac:dyDescent="0.3">
      <c r="P35">
        <v>101.5</v>
      </c>
      <c r="Q35">
        <f t="shared" si="1"/>
        <v>0.92870595962167279</v>
      </c>
      <c r="R35">
        <f t="shared" si="0"/>
        <v>7.1294040378327206E-2</v>
      </c>
    </row>
    <row r="36" spans="16:18" x14ac:dyDescent="0.3">
      <c r="P36">
        <v>101.75</v>
      </c>
      <c r="Q36">
        <f t="shared" si="1"/>
        <v>0.92090246583940338</v>
      </c>
      <c r="R36">
        <f t="shared" si="0"/>
        <v>7.9097534160596616E-2</v>
      </c>
    </row>
    <row r="37" spans="16:18" x14ac:dyDescent="0.3">
      <c r="P37">
        <v>102</v>
      </c>
      <c r="Q37">
        <f t="shared" si="1"/>
        <v>0.91183243456626795</v>
      </c>
      <c r="R37">
        <f t="shared" si="0"/>
        <v>8.8167565433732054E-2</v>
      </c>
    </row>
    <row r="38" spans="16:18" x14ac:dyDescent="0.3">
      <c r="P38">
        <v>102.25</v>
      </c>
      <c r="Q38">
        <f t="shared" si="1"/>
        <v>0.90147558400323269</v>
      </c>
      <c r="R38">
        <f t="shared" si="0"/>
        <v>9.8524415996767312E-2</v>
      </c>
    </row>
    <row r="39" spans="16:18" x14ac:dyDescent="0.3">
      <c r="P39">
        <v>102.5</v>
      </c>
      <c r="Q39">
        <f t="shared" si="1"/>
        <v>0.88981389972158531</v>
      </c>
      <c r="R39">
        <f t="shared" si="0"/>
        <v>0.11018610027841469</v>
      </c>
    </row>
    <row r="40" spans="16:18" x14ac:dyDescent="0.3">
      <c r="P40">
        <v>102.75</v>
      </c>
      <c r="Q40">
        <f t="shared" si="1"/>
        <v>0.8768331901617219</v>
      </c>
      <c r="R40">
        <f t="shared" si="0"/>
        <v>0.1231668098382781</v>
      </c>
    </row>
    <row r="41" spans="16:18" x14ac:dyDescent="0.3">
      <c r="P41">
        <v>103</v>
      </c>
      <c r="Q41">
        <f t="shared" si="1"/>
        <v>0.86252465422905877</v>
      </c>
      <c r="R41">
        <f t="shared" si="0"/>
        <v>0.13747534577094123</v>
      </c>
    </row>
    <row r="42" spans="16:18" x14ac:dyDescent="0.3">
      <c r="P42">
        <v>103.25</v>
      </c>
      <c r="Q42">
        <f t="shared" si="1"/>
        <v>0.84688641263996656</v>
      </c>
      <c r="R42">
        <f t="shared" si="0"/>
        <v>0.15311358736003344</v>
      </c>
    </row>
    <row r="43" spans="16:18" x14ac:dyDescent="0.3">
      <c r="P43">
        <v>103.5</v>
      </c>
      <c r="Q43">
        <f t="shared" si="1"/>
        <v>0.82992495424691226</v>
      </c>
      <c r="R43">
        <f t="shared" si="0"/>
        <v>0.17007504575308774</v>
      </c>
    </row>
    <row r="44" spans="16:18" x14ac:dyDescent="0.3">
      <c r="P44">
        <v>103.75</v>
      </c>
      <c r="Q44">
        <f t="shared" si="1"/>
        <v>0.81165644954371829</v>
      </c>
      <c r="R44">
        <f t="shared" si="0"/>
        <v>0.18834355045628171</v>
      </c>
    </row>
    <row r="45" spans="16:18" x14ac:dyDescent="0.3">
      <c r="P45">
        <v>104</v>
      </c>
      <c r="Q45">
        <f t="shared" si="1"/>
        <v>0.7921078859843611</v>
      </c>
      <c r="R45">
        <f t="shared" si="0"/>
        <v>0.2078921140156389</v>
      </c>
    </row>
  </sheetData>
  <mergeCells count="3">
    <mergeCell ref="A1:J1"/>
    <mergeCell ref="P1:R1"/>
    <mergeCell ref="L15:M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8FA54-942E-4E45-ABA5-7E6539F6D6A6}">
  <dimension ref="A1:K24"/>
  <sheetViews>
    <sheetView zoomScale="85" zoomScaleNormal="85" workbookViewId="0">
      <selection sqref="A1:H4"/>
    </sheetView>
  </sheetViews>
  <sheetFormatPr defaultRowHeight="14.4" x14ac:dyDescent="0.3"/>
  <cols>
    <col min="1" max="1" width="14.6640625" customWidth="1"/>
    <col min="2" max="2" width="15.77734375" customWidth="1"/>
    <col min="3" max="3" width="16.109375" customWidth="1"/>
    <col min="4" max="4" width="16.33203125" customWidth="1"/>
    <col min="6" max="6" width="14.6640625" customWidth="1"/>
    <col min="7" max="7" width="15.77734375" customWidth="1"/>
    <col min="8" max="8" width="16.109375" customWidth="1"/>
  </cols>
  <sheetData>
    <row r="1" spans="1:11" ht="15" thickBot="1" x14ac:dyDescent="0.35">
      <c r="A1" s="44" t="s">
        <v>36</v>
      </c>
      <c r="B1" s="46"/>
      <c r="C1" s="45"/>
      <c r="F1" s="44" t="s">
        <v>49</v>
      </c>
      <c r="G1" s="46"/>
      <c r="H1" s="45"/>
      <c r="K1" t="s">
        <v>68</v>
      </c>
    </row>
    <row r="2" spans="1:11" ht="29.4" thickBot="1" x14ac:dyDescent="0.35">
      <c r="A2" s="9"/>
      <c r="B2" s="10" t="s">
        <v>40</v>
      </c>
      <c r="C2" s="10" t="s">
        <v>41</v>
      </c>
      <c r="F2" s="9"/>
      <c r="G2" s="10" t="s">
        <v>43</v>
      </c>
      <c r="H2" s="10" t="s">
        <v>44</v>
      </c>
      <c r="K2" t="s">
        <v>69</v>
      </c>
    </row>
    <row r="3" spans="1:11" ht="72.599999999999994" thickBot="1" x14ac:dyDescent="0.35">
      <c r="A3" s="10" t="s">
        <v>37</v>
      </c>
      <c r="B3" s="24" t="s">
        <v>50</v>
      </c>
      <c r="C3" s="26" t="s">
        <v>42</v>
      </c>
      <c r="F3" s="10" t="s">
        <v>47</v>
      </c>
      <c r="G3" s="24" t="s">
        <v>52</v>
      </c>
      <c r="H3" s="25" t="s">
        <v>46</v>
      </c>
      <c r="K3">
        <v>87</v>
      </c>
    </row>
    <row r="4" spans="1:11" ht="72.599999999999994" thickBot="1" x14ac:dyDescent="0.35">
      <c r="A4" s="10" t="s">
        <v>38</v>
      </c>
      <c r="B4" s="25" t="s">
        <v>39</v>
      </c>
      <c r="C4" s="24" t="s">
        <v>51</v>
      </c>
      <c r="F4" s="10" t="s">
        <v>48</v>
      </c>
      <c r="G4" s="26" t="s">
        <v>45</v>
      </c>
      <c r="H4" s="24" t="s">
        <v>50</v>
      </c>
      <c r="K4">
        <v>87.25</v>
      </c>
    </row>
    <row r="5" spans="1:11" ht="15" thickBot="1" x14ac:dyDescent="0.35">
      <c r="D5" s="47" t="s">
        <v>53</v>
      </c>
      <c r="E5" s="48"/>
      <c r="H5" s="6" t="s">
        <v>66</v>
      </c>
      <c r="I5" s="6" t="s">
        <v>67</v>
      </c>
      <c r="K5">
        <v>87.5</v>
      </c>
    </row>
    <row r="6" spans="1:11" x14ac:dyDescent="0.3">
      <c r="D6" s="27" t="s">
        <v>1</v>
      </c>
      <c r="E6" s="27">
        <v>87.43</v>
      </c>
      <c r="H6">
        <f>(E6-E9)/E11</f>
        <v>0.39692307692308326</v>
      </c>
      <c r="I6">
        <f>_xlfn.T.DIST.RT(H6,E10-1)</f>
        <v>0.34691712915540196</v>
      </c>
      <c r="K6">
        <v>87.75</v>
      </c>
    </row>
    <row r="7" spans="1:11" x14ac:dyDescent="0.3">
      <c r="D7" s="8" t="s">
        <v>54</v>
      </c>
      <c r="E7" s="8">
        <v>42.25</v>
      </c>
      <c r="K7">
        <v>88</v>
      </c>
    </row>
    <row r="8" spans="1:11" x14ac:dyDescent="0.3">
      <c r="D8" s="8" t="s">
        <v>55</v>
      </c>
      <c r="E8" s="8">
        <f>SQRT(E7)</f>
        <v>6.5</v>
      </c>
      <c r="K8">
        <v>88.25</v>
      </c>
    </row>
    <row r="9" spans="1:11" x14ac:dyDescent="0.3">
      <c r="D9" s="8" t="s">
        <v>9</v>
      </c>
      <c r="E9" s="8">
        <v>87</v>
      </c>
      <c r="K9">
        <v>88.5</v>
      </c>
    </row>
    <row r="10" spans="1:11" ht="15" thickBot="1" x14ac:dyDescent="0.35">
      <c r="D10" s="8" t="s">
        <v>59</v>
      </c>
      <c r="E10" s="8">
        <v>36</v>
      </c>
      <c r="K10">
        <v>88.75</v>
      </c>
    </row>
    <row r="11" spans="1:11" ht="15" thickBot="1" x14ac:dyDescent="0.35">
      <c r="B11" s="44" t="s">
        <v>36</v>
      </c>
      <c r="C11" s="45"/>
      <c r="D11" s="37" t="s">
        <v>60</v>
      </c>
      <c r="E11" s="38">
        <f>E8/SQRT(E10)</f>
        <v>1.0833333333333333</v>
      </c>
      <c r="F11" s="44" t="s">
        <v>49</v>
      </c>
      <c r="G11" s="45"/>
      <c r="K11">
        <v>89</v>
      </c>
    </row>
    <row r="12" spans="1:11" ht="29.4" thickBot="1" x14ac:dyDescent="0.35">
      <c r="B12" s="28" t="s">
        <v>56</v>
      </c>
      <c r="C12" s="35" t="s">
        <v>57</v>
      </c>
      <c r="D12" s="29" t="s">
        <v>61</v>
      </c>
      <c r="E12" s="32" t="s">
        <v>58</v>
      </c>
      <c r="F12" s="35" t="s">
        <v>56</v>
      </c>
      <c r="G12" s="36" t="s">
        <v>57</v>
      </c>
      <c r="H12" s="7"/>
      <c r="K12">
        <v>89.25</v>
      </c>
    </row>
    <row r="13" spans="1:11" x14ac:dyDescent="0.3">
      <c r="B13" s="27">
        <f>$E$9-$E13*$E$11</f>
        <v>85.169629837404713</v>
      </c>
      <c r="C13" s="27" t="s">
        <v>62</v>
      </c>
      <c r="D13" s="30">
        <v>0.05</v>
      </c>
      <c r="E13" s="33">
        <f>ABS(_xlfn.T.INV(D13,$E$10-1))</f>
        <v>1.6895724577802647</v>
      </c>
      <c r="F13" s="27" t="s">
        <v>64</v>
      </c>
      <c r="G13" s="27">
        <f>$E$9+$E13*$E$11</f>
        <v>88.830370162595287</v>
      </c>
      <c r="K13">
        <v>89.5</v>
      </c>
    </row>
    <row r="14" spans="1:11" x14ac:dyDescent="0.3">
      <c r="B14" s="8">
        <f>$E$9-$E14*$E$11</f>
        <v>84.35913390726094</v>
      </c>
      <c r="C14" s="8" t="s">
        <v>62</v>
      </c>
      <c r="D14" s="31">
        <v>0.01</v>
      </c>
      <c r="E14" s="34">
        <f t="shared" ref="E14:E16" si="0">ABS(_xlfn.T.INV(D14,$E$10-1))</f>
        <v>2.4377225471437423</v>
      </c>
      <c r="F14" s="8" t="s">
        <v>64</v>
      </c>
      <c r="G14" s="8">
        <f t="shared" ref="G14:G16" si="1">$E$9+$E14*$E$11</f>
        <v>89.64086609273906</v>
      </c>
      <c r="K14">
        <v>89.75</v>
      </c>
    </row>
    <row r="15" spans="1:11" x14ac:dyDescent="0.3">
      <c r="B15" s="8">
        <f>$E$9-$E15*$E$11</f>
        <v>84.049210611691237</v>
      </c>
      <c r="C15" s="8" t="s">
        <v>62</v>
      </c>
      <c r="D15" s="31">
        <v>5.0000000000000001E-3</v>
      </c>
      <c r="E15" s="34">
        <f t="shared" si="0"/>
        <v>2.7238055892080912</v>
      </c>
      <c r="F15" s="8" t="s">
        <v>64</v>
      </c>
      <c r="G15" s="8">
        <f t="shared" si="1"/>
        <v>89.950789388308763</v>
      </c>
      <c r="K15">
        <v>90</v>
      </c>
    </row>
    <row r="16" spans="1:11" x14ac:dyDescent="0.3">
      <c r="B16" s="8">
        <f>$E$9-$E16*$E$11</f>
        <v>83.38161769772654</v>
      </c>
      <c r="C16" s="8" t="s">
        <v>62</v>
      </c>
      <c r="D16" s="31">
        <v>1E-3</v>
      </c>
      <c r="E16" s="34">
        <f t="shared" si="0"/>
        <v>3.3400452020985849</v>
      </c>
      <c r="F16" s="8" t="s">
        <v>64</v>
      </c>
      <c r="G16" s="8">
        <f t="shared" si="1"/>
        <v>90.61838230227346</v>
      </c>
      <c r="K16">
        <v>90.25</v>
      </c>
    </row>
    <row r="17" spans="2:11" ht="14.4" customHeight="1" x14ac:dyDescent="0.3">
      <c r="B17" s="43" t="s">
        <v>63</v>
      </c>
      <c r="C17" s="43"/>
      <c r="F17" s="43" t="s">
        <v>65</v>
      </c>
      <c r="G17" s="43"/>
      <c r="K17">
        <v>90.5</v>
      </c>
    </row>
    <row r="18" spans="2:11" x14ac:dyDescent="0.3">
      <c r="B18" s="43"/>
      <c r="C18" s="43"/>
      <c r="F18" s="43"/>
      <c r="G18" s="43"/>
      <c r="K18">
        <v>90.75</v>
      </c>
    </row>
    <row r="19" spans="2:11" x14ac:dyDescent="0.3">
      <c r="B19" s="43"/>
      <c r="C19" s="43"/>
      <c r="F19" s="43"/>
      <c r="G19" s="43"/>
      <c r="K19">
        <v>91</v>
      </c>
    </row>
    <row r="20" spans="2:11" x14ac:dyDescent="0.3">
      <c r="B20" s="43"/>
      <c r="C20" s="43"/>
      <c r="F20" s="43"/>
      <c r="G20" s="43"/>
      <c r="K20">
        <v>91.25</v>
      </c>
    </row>
    <row r="21" spans="2:11" x14ac:dyDescent="0.3">
      <c r="B21" s="43"/>
      <c r="C21" s="43"/>
      <c r="F21" s="43"/>
      <c r="G21" s="43"/>
      <c r="K21">
        <v>91.5</v>
      </c>
    </row>
    <row r="22" spans="2:11" x14ac:dyDescent="0.3">
      <c r="B22" s="43"/>
      <c r="C22" s="43"/>
      <c r="F22" s="43"/>
      <c r="G22" s="43"/>
      <c r="K22">
        <v>91.75</v>
      </c>
    </row>
    <row r="23" spans="2:11" x14ac:dyDescent="0.3">
      <c r="B23" s="43"/>
      <c r="C23" s="43"/>
      <c r="F23" s="43"/>
      <c r="G23" s="43"/>
      <c r="K23">
        <v>92</v>
      </c>
    </row>
    <row r="24" spans="2:11" ht="68.400000000000006" customHeight="1" x14ac:dyDescent="0.3">
      <c r="B24" s="43"/>
      <c r="C24" s="43"/>
      <c r="F24" s="43"/>
      <c r="G24" s="43"/>
      <c r="K24">
        <v>92.25</v>
      </c>
    </row>
  </sheetData>
  <mergeCells count="7">
    <mergeCell ref="B17:C24"/>
    <mergeCell ref="F17:G24"/>
    <mergeCell ref="B11:C11"/>
    <mergeCell ref="F11:G11"/>
    <mergeCell ref="A1:C1"/>
    <mergeCell ref="F1:H1"/>
    <mergeCell ref="D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2454C-0BB8-4579-A5F9-08114949EC5F}">
  <dimension ref="A1:M10"/>
  <sheetViews>
    <sheetView tabSelected="1" workbookViewId="0">
      <selection activeCell="C2" sqref="C2"/>
    </sheetView>
  </sheetViews>
  <sheetFormatPr defaultColWidth="22.5546875" defaultRowHeight="14.4" x14ac:dyDescent="0.3"/>
  <sheetData>
    <row r="1" spans="1:13" x14ac:dyDescent="0.3">
      <c r="A1" t="s">
        <v>70</v>
      </c>
      <c r="F1" t="s">
        <v>71</v>
      </c>
    </row>
    <row r="2" spans="1:13" x14ac:dyDescent="0.3">
      <c r="A2" t="s">
        <v>9</v>
      </c>
      <c r="B2">
        <v>470</v>
      </c>
      <c r="C2">
        <f>ABS(_xlfn.NORM.INV(0.1,0,1))</f>
        <v>1.2815515655446006</v>
      </c>
    </row>
    <row r="3" spans="1:13" x14ac:dyDescent="0.3">
      <c r="A3" t="s">
        <v>72</v>
      </c>
      <c r="B3">
        <v>2500</v>
      </c>
      <c r="C3" s="49">
        <f>ABS(_xlfn.NORM.INV(0.05,0,1))</f>
        <v>1.6448536269514726</v>
      </c>
      <c r="F3" t="s">
        <v>72</v>
      </c>
      <c r="G3">
        <v>2500</v>
      </c>
      <c r="H3" t="s">
        <v>74</v>
      </c>
    </row>
    <row r="4" spans="1:13" x14ac:dyDescent="0.3">
      <c r="A4" t="s">
        <v>73</v>
      </c>
      <c r="B4">
        <f>SQRT(B3)</f>
        <v>50</v>
      </c>
      <c r="C4">
        <f>(2.926*5/3)^2</f>
        <v>23.78187777777778</v>
      </c>
      <c r="F4" t="s">
        <v>73</v>
      </c>
      <c r="G4">
        <f>SQRT(G3)</f>
        <v>50</v>
      </c>
    </row>
    <row r="5" spans="1:13" ht="15" thickBot="1" x14ac:dyDescent="0.35"/>
    <row r="6" spans="1:13" ht="15" thickBot="1" x14ac:dyDescent="0.35">
      <c r="F6" s="44" t="s">
        <v>36</v>
      </c>
      <c r="G6" s="46"/>
      <c r="H6" s="45"/>
      <c r="K6" s="44" t="s">
        <v>49</v>
      </c>
      <c r="L6" s="46"/>
      <c r="M6" s="45"/>
    </row>
    <row r="7" spans="1:13" ht="15" thickBot="1" x14ac:dyDescent="0.35">
      <c r="F7" s="9"/>
      <c r="G7" s="10" t="s">
        <v>75</v>
      </c>
      <c r="H7" s="10" t="s">
        <v>76</v>
      </c>
      <c r="K7" s="9"/>
      <c r="L7" s="10" t="s">
        <v>79</v>
      </c>
      <c r="M7" s="10" t="s">
        <v>80</v>
      </c>
    </row>
    <row r="8" spans="1:13" ht="58.2" thickBot="1" x14ac:dyDescent="0.35">
      <c r="F8" s="10" t="s">
        <v>77</v>
      </c>
      <c r="G8" s="24" t="s">
        <v>83</v>
      </c>
      <c r="H8" s="25" t="s">
        <v>85</v>
      </c>
      <c r="K8" s="10" t="s">
        <v>81</v>
      </c>
      <c r="L8" s="24" t="s">
        <v>86</v>
      </c>
      <c r="M8" s="25" t="s">
        <v>87</v>
      </c>
    </row>
    <row r="9" spans="1:13" ht="58.2" thickBot="1" x14ac:dyDescent="0.35">
      <c r="F9" s="10" t="s">
        <v>78</v>
      </c>
      <c r="G9" s="25" t="s">
        <v>84</v>
      </c>
      <c r="H9" s="24" t="s">
        <v>86</v>
      </c>
      <c r="K9" s="10" t="s">
        <v>82</v>
      </c>
      <c r="L9" s="25" t="s">
        <v>88</v>
      </c>
      <c r="M9" s="24" t="s">
        <v>83</v>
      </c>
    </row>
    <row r="10" spans="1:13" x14ac:dyDescent="0.3">
      <c r="I10" t="s">
        <v>29</v>
      </c>
      <c r="J10">
        <f>0.05*470</f>
        <v>23.5</v>
      </c>
    </row>
  </sheetData>
  <mergeCells count="2">
    <mergeCell ref="F6:H6"/>
    <mergeCell ref="K6:M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Medworld</vt:lpstr>
      <vt:lpstr>Belmadi</vt:lpstr>
      <vt:lpstr>Windsheild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Sanyal, Sandipto</dc:creator>
  <cp:lastModifiedBy>Sanyal, Sandipto</cp:lastModifiedBy>
  <dcterms:created xsi:type="dcterms:W3CDTF">2015-06-05T18:17:20Z</dcterms:created>
  <dcterms:modified xsi:type="dcterms:W3CDTF">2020-10-08T14:20:45Z</dcterms:modified>
</cp:coreProperties>
</file>