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andipto.sanyal\OneDrive - Accenture\Documents\Study materials\AMPBA\Term2\Statistical analysis\notes\"/>
    </mc:Choice>
  </mc:AlternateContent>
  <xr:revisionPtr revIDLastSave="1641" documentId="11_F25DC773A252ABDACC104838D99C643C5BDE58F3" xr6:coauthVersionLast="45" xr6:coauthVersionMax="45" xr10:uidLastSave="{91C6BD84-E316-47D9-9414-EB996D4D6683}"/>
  <bookViews>
    <workbookView xWindow="-108" yWindow="-108" windowWidth="23256" windowHeight="12576" activeTab="5" xr2:uid="{00000000-000D-0000-FFFF-FFFF00000000}"/>
  </bookViews>
  <sheets>
    <sheet name="CI" sheetId="1" r:id="rId1"/>
    <sheet name="Hypothesis" sheetId="2" r:id="rId2"/>
    <sheet name="Rough works" sheetId="3" r:id="rId3"/>
    <sheet name="Comparison Of Two means" sheetId="4" r:id="rId4"/>
    <sheet name="ANOVA - Reject H0" sheetId="5" r:id="rId5"/>
    <sheet name="ANOVA - Dont Reject H0"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6" l="1"/>
  <c r="Q5" i="6"/>
  <c r="Q6" i="6"/>
  <c r="Q7" i="6"/>
  <c r="Q8" i="6"/>
  <c r="Q9" i="6"/>
  <c r="Q10" i="6"/>
  <c r="Q11" i="6"/>
  <c r="Q12" i="6"/>
  <c r="Q13" i="6"/>
  <c r="Q14" i="6"/>
  <c r="Q15" i="6"/>
  <c r="Q16" i="6"/>
  <c r="P5" i="6"/>
  <c r="P6" i="6"/>
  <c r="P7" i="6"/>
  <c r="P8" i="6"/>
  <c r="P9" i="6"/>
  <c r="P10" i="6"/>
  <c r="P11" i="6"/>
  <c r="P12" i="6"/>
  <c r="P13" i="6"/>
  <c r="P14" i="6"/>
  <c r="P15" i="6"/>
  <c r="P16" i="6"/>
  <c r="P17" i="6"/>
  <c r="P18" i="6"/>
  <c r="Q4" i="6"/>
  <c r="R15" i="6"/>
  <c r="S14" i="6"/>
  <c r="R14" i="6"/>
  <c r="S13" i="6"/>
  <c r="R13" i="6"/>
  <c r="S12" i="6"/>
  <c r="R12" i="6"/>
  <c r="S11" i="6"/>
  <c r="R11" i="6"/>
  <c r="S10" i="6"/>
  <c r="R10" i="6"/>
  <c r="S9" i="6"/>
  <c r="R9" i="6"/>
  <c r="S8" i="6"/>
  <c r="R8" i="6"/>
  <c r="S7" i="6"/>
  <c r="R7" i="6"/>
  <c r="S6" i="6"/>
  <c r="R6" i="6"/>
  <c r="S5" i="6"/>
  <c r="R5" i="6"/>
  <c r="S4" i="6"/>
  <c r="R4" i="6"/>
  <c r="P4" i="6"/>
  <c r="B19" i="6" l="1"/>
  <c r="F15" i="6" s="1"/>
  <c r="C19" i="6"/>
  <c r="G11" i="6" s="1"/>
  <c r="B20" i="6"/>
  <c r="E22" i="6" s="1"/>
  <c r="E23" i="6" s="1"/>
  <c r="D19" i="6"/>
  <c r="I5" i="6"/>
  <c r="I6" i="6"/>
  <c r="I7" i="6"/>
  <c r="I8" i="6"/>
  <c r="I9" i="6"/>
  <c r="I10" i="6"/>
  <c r="I11" i="6"/>
  <c r="I12" i="6"/>
  <c r="I13" i="6"/>
  <c r="I14" i="6"/>
  <c r="I4" i="6"/>
  <c r="G9" i="6" l="1"/>
  <c r="G7" i="6"/>
  <c r="F17" i="6"/>
  <c r="F8" i="6"/>
  <c r="F13" i="6"/>
  <c r="F11" i="6"/>
  <c r="F14" i="6"/>
  <c r="F16" i="6"/>
  <c r="F7" i="6"/>
  <c r="F18" i="6"/>
  <c r="F4" i="6"/>
  <c r="F12" i="6"/>
  <c r="F6" i="6"/>
  <c r="F9" i="6"/>
  <c r="F5" i="6"/>
  <c r="F10" i="6"/>
  <c r="G12" i="6"/>
  <c r="G10" i="6"/>
  <c r="G4" i="6"/>
  <c r="G16" i="6"/>
  <c r="G5" i="6"/>
  <c r="G15" i="6"/>
  <c r="G13" i="6"/>
  <c r="G6" i="6"/>
  <c r="G14" i="6"/>
  <c r="G8" i="6"/>
  <c r="M8" i="6"/>
  <c r="K4" i="6"/>
  <c r="M7" i="6"/>
  <c r="L15" i="6"/>
  <c r="C22" i="6"/>
  <c r="C23" i="6" s="1"/>
  <c r="J5" i="6"/>
  <c r="L5" i="6"/>
  <c r="J6" i="6"/>
  <c r="L10" i="6"/>
  <c r="M6" i="6"/>
  <c r="K14" i="6"/>
  <c r="J17" i="6"/>
  <c r="J4" i="6"/>
  <c r="K13" i="6"/>
  <c r="M4" i="6"/>
  <c r="J18" i="6"/>
  <c r="L14" i="6"/>
  <c r="K11" i="6"/>
  <c r="J13" i="6"/>
  <c r="M5" i="6"/>
  <c r="L4" i="6"/>
  <c r="M14" i="6"/>
  <c r="L13" i="6"/>
  <c r="K10" i="6"/>
  <c r="J12" i="6"/>
  <c r="J15" i="6"/>
  <c r="J14" i="6"/>
  <c r="M13" i="6"/>
  <c r="L12" i="6"/>
  <c r="K9" i="6"/>
  <c r="J11" i="6"/>
  <c r="L6" i="6"/>
  <c r="K12" i="6"/>
  <c r="B22" i="6"/>
  <c r="B23" i="6" s="1"/>
  <c r="M12" i="6"/>
  <c r="L11" i="6"/>
  <c r="K8" i="6"/>
  <c r="J10" i="6"/>
  <c r="J9" i="6"/>
  <c r="M11" i="6"/>
  <c r="K7" i="6"/>
  <c r="K16" i="6"/>
  <c r="M10" i="6"/>
  <c r="L8" i="6"/>
  <c r="K6" i="6"/>
  <c r="J8" i="6"/>
  <c r="J16" i="6"/>
  <c r="K15" i="6"/>
  <c r="L9" i="6"/>
  <c r="M9" i="6"/>
  <c r="L7" i="6"/>
  <c r="K5" i="6"/>
  <c r="J7" i="6"/>
  <c r="D22" i="6"/>
  <c r="D23" i="6" s="1"/>
  <c r="H8" i="6"/>
  <c r="H15" i="6"/>
  <c r="H9" i="6"/>
  <c r="H5" i="6"/>
  <c r="H12" i="6"/>
  <c r="H11" i="6"/>
  <c r="H14" i="6"/>
  <c r="H6" i="6"/>
  <c r="H4" i="6"/>
  <c r="H13" i="6"/>
  <c r="H10" i="6"/>
  <c r="H7" i="6"/>
  <c r="B25" i="6" l="1"/>
  <c r="B24" i="6"/>
  <c r="B21" i="6"/>
  <c r="B26" i="6" l="1"/>
  <c r="S5" i="5"/>
  <c r="S6" i="5"/>
  <c r="S7" i="5"/>
  <c r="S8" i="5"/>
  <c r="S9" i="5"/>
  <c r="S10" i="5"/>
  <c r="S11" i="5"/>
  <c r="S12" i="5"/>
  <c r="S13" i="5"/>
  <c r="S14" i="5"/>
  <c r="S4" i="5"/>
  <c r="R5" i="5"/>
  <c r="R6" i="5"/>
  <c r="R7" i="5"/>
  <c r="R8" i="5"/>
  <c r="R9" i="5"/>
  <c r="R10" i="5"/>
  <c r="R11" i="5"/>
  <c r="R12" i="5"/>
  <c r="R13" i="5"/>
  <c r="R14" i="5"/>
  <c r="R15" i="5"/>
  <c r="R4" i="5"/>
  <c r="Q5" i="5"/>
  <c r="Q6" i="5"/>
  <c r="Q7" i="5"/>
  <c r="Q8" i="5"/>
  <c r="Q9" i="5"/>
  <c r="Q10" i="5"/>
  <c r="Q11" i="5"/>
  <c r="Q12" i="5"/>
  <c r="Q13" i="5"/>
  <c r="Q14" i="5"/>
  <c r="Q15" i="5"/>
  <c r="Q16" i="5"/>
  <c r="Q4" i="5"/>
  <c r="P4" i="5"/>
  <c r="P5" i="5"/>
  <c r="P6" i="5"/>
  <c r="P7" i="5"/>
  <c r="P8" i="5"/>
  <c r="P9" i="5"/>
  <c r="P10" i="5"/>
  <c r="P11" i="5"/>
  <c r="P12" i="5"/>
  <c r="P13" i="5"/>
  <c r="P14" i="5"/>
  <c r="P15" i="5"/>
  <c r="P16" i="5"/>
  <c r="P17" i="5"/>
  <c r="P18" i="5"/>
  <c r="B19" i="5" l="1"/>
  <c r="B20" i="5"/>
  <c r="M8" i="5" s="1"/>
  <c r="C19" i="5"/>
  <c r="E19" i="5"/>
  <c r="D19" i="5"/>
  <c r="R17" i="4"/>
  <c r="R16" i="4"/>
  <c r="R13" i="4"/>
  <c r="R7" i="4"/>
  <c r="R5" i="4"/>
  <c r="O25" i="4"/>
  <c r="O24" i="4"/>
  <c r="O22" i="4"/>
  <c r="O21" i="4"/>
  <c r="O18" i="4"/>
  <c r="O15" i="4"/>
  <c r="C29" i="4"/>
  <c r="C28" i="4"/>
  <c r="B29" i="4"/>
  <c r="B28" i="4"/>
  <c r="C25" i="4"/>
  <c r="C26" i="4" s="1"/>
  <c r="B25" i="4"/>
  <c r="B26" i="4" s="1"/>
  <c r="C23" i="4"/>
  <c r="B23" i="4"/>
  <c r="C22" i="4"/>
  <c r="B22" i="4"/>
  <c r="C21" i="4"/>
  <c r="C30" i="4" s="1"/>
  <c r="C31" i="4" s="1"/>
  <c r="B21" i="4"/>
  <c r="B30" i="4" s="1"/>
  <c r="B31" i="4" s="1"/>
  <c r="G18" i="4"/>
  <c r="F18" i="4"/>
  <c r="G17" i="4"/>
  <c r="F17" i="4"/>
  <c r="G16" i="4"/>
  <c r="F16" i="4"/>
  <c r="G15" i="4"/>
  <c r="F15" i="4"/>
  <c r="G14" i="4"/>
  <c r="F14" i="4"/>
  <c r="G13" i="4"/>
  <c r="F13" i="4"/>
  <c r="G12" i="4"/>
  <c r="F12" i="4"/>
  <c r="G11" i="4"/>
  <c r="F11" i="4"/>
  <c r="G10" i="4"/>
  <c r="F10" i="4"/>
  <c r="G9" i="4"/>
  <c r="F9" i="4"/>
  <c r="G8" i="4"/>
  <c r="F8" i="4"/>
  <c r="G7" i="4"/>
  <c r="F7" i="4"/>
  <c r="G6" i="4"/>
  <c r="F6" i="4"/>
  <c r="G5" i="4"/>
  <c r="F5" i="4"/>
  <c r="G4" i="4"/>
  <c r="F4" i="4"/>
  <c r="O14" i="4"/>
  <c r="O23" i="4"/>
  <c r="O20" i="4"/>
  <c r="O17" i="4"/>
  <c r="O19" i="4" s="1"/>
  <c r="L25" i="4"/>
  <c r="L24" i="4"/>
  <c r="L23" i="4"/>
  <c r="L22" i="4"/>
  <c r="L21" i="4"/>
  <c r="L20" i="4"/>
  <c r="L14" i="4"/>
  <c r="L19" i="4"/>
  <c r="L17" i="4"/>
  <c r="L18" i="4" s="1"/>
  <c r="L8" i="4"/>
  <c r="M7" i="5" l="1"/>
  <c r="M9" i="5"/>
  <c r="L10" i="5"/>
  <c r="M12" i="5"/>
  <c r="M6" i="5"/>
  <c r="M13" i="5"/>
  <c r="M14" i="5"/>
  <c r="M5" i="5"/>
  <c r="M10" i="5"/>
  <c r="M11" i="5"/>
  <c r="L14" i="5"/>
  <c r="J12" i="5"/>
  <c r="J13" i="5"/>
  <c r="L13" i="5"/>
  <c r="J14" i="5"/>
  <c r="K6" i="5"/>
  <c r="K11" i="5"/>
  <c r="L15" i="5"/>
  <c r="K13" i="5"/>
  <c r="L8" i="5"/>
  <c r="L9" i="5"/>
  <c r="L6" i="5"/>
  <c r="L5" i="5"/>
  <c r="L7" i="5"/>
  <c r="L12" i="5"/>
  <c r="K12" i="5"/>
  <c r="L11" i="5"/>
  <c r="J5" i="5"/>
  <c r="J6" i="5"/>
  <c r="J18" i="5"/>
  <c r="J7" i="5"/>
  <c r="J10" i="5"/>
  <c r="J9" i="5"/>
  <c r="K8" i="5"/>
  <c r="K9" i="5"/>
  <c r="K14" i="5"/>
  <c r="K16" i="5"/>
  <c r="K5" i="5"/>
  <c r="K15" i="5"/>
  <c r="K10" i="5"/>
  <c r="K7" i="5"/>
  <c r="J8" i="5"/>
  <c r="J17" i="5"/>
  <c r="F15" i="5"/>
  <c r="J4" i="5"/>
  <c r="J16" i="5"/>
  <c r="J15" i="5"/>
  <c r="J11" i="5"/>
  <c r="K4" i="5"/>
  <c r="M4" i="5"/>
  <c r="L4" i="5"/>
  <c r="F13" i="5"/>
  <c r="F18" i="5"/>
  <c r="F11" i="5"/>
  <c r="F9" i="5"/>
  <c r="F17" i="5"/>
  <c r="F7" i="5"/>
  <c r="F10" i="5"/>
  <c r="F14" i="5"/>
  <c r="F16" i="5"/>
  <c r="F4" i="5"/>
  <c r="F5" i="5"/>
  <c r="F6" i="5"/>
  <c r="F8" i="5"/>
  <c r="F12" i="5"/>
  <c r="H5" i="5"/>
  <c r="G16" i="5"/>
  <c r="G13" i="5"/>
  <c r="H13" i="5"/>
  <c r="G6" i="5"/>
  <c r="G10" i="5"/>
  <c r="H9" i="5"/>
  <c r="I14" i="5"/>
  <c r="H10" i="5"/>
  <c r="I5" i="5"/>
  <c r="G14" i="5"/>
  <c r="I4" i="5"/>
  <c r="G15" i="5"/>
  <c r="G11" i="5"/>
  <c r="I9" i="5"/>
  <c r="I8" i="5"/>
  <c r="H11" i="5"/>
  <c r="G8" i="5"/>
  <c r="I6" i="5"/>
  <c r="I13" i="5"/>
  <c r="I12" i="5"/>
  <c r="G7" i="5"/>
  <c r="G5" i="5"/>
  <c r="G4" i="5"/>
  <c r="G12" i="5"/>
  <c r="I7" i="5"/>
  <c r="G9" i="5"/>
  <c r="H12" i="5"/>
  <c r="H4" i="5"/>
  <c r="H8" i="5"/>
  <c r="H6" i="5"/>
  <c r="H14" i="5"/>
  <c r="H15" i="5"/>
  <c r="H7" i="5"/>
  <c r="I10" i="5"/>
  <c r="I11" i="5"/>
  <c r="B22" i="5"/>
  <c r="O26" i="4"/>
  <c r="L15" i="4"/>
  <c r="B25" i="5" l="1"/>
  <c r="B23" i="5"/>
  <c r="C22" i="5"/>
  <c r="E22" i="5"/>
  <c r="D22" i="5"/>
  <c r="B21" i="5"/>
  <c r="B10" i="3"/>
  <c r="E23" i="5" l="1"/>
  <c r="D23" i="5"/>
  <c r="C23" i="5"/>
  <c r="E5" i="1"/>
  <c r="B24" i="5" l="1"/>
  <c r="B26" i="5" s="1"/>
  <c r="D11" i="3"/>
  <c r="D10" i="3"/>
  <c r="D9" i="3"/>
  <c r="D8" i="3"/>
  <c r="D7" i="3"/>
  <c r="D6" i="3"/>
  <c r="B15" i="2"/>
  <c r="D5" i="3"/>
  <c r="D4" i="3"/>
  <c r="D3" i="3"/>
  <c r="D2" i="3"/>
  <c r="B14" i="2"/>
  <c r="B7" i="3"/>
  <c r="B8" i="3" s="1"/>
  <c r="B13" i="3"/>
  <c r="B12" i="3"/>
  <c r="B9" i="3" l="1"/>
  <c r="B11" i="3"/>
  <c r="H59" i="2"/>
  <c r="H60" i="2"/>
  <c r="H61" i="2"/>
  <c r="F61" i="2" s="1"/>
  <c r="G61" i="2" s="1"/>
  <c r="H62" i="2"/>
  <c r="F62" i="2" s="1"/>
  <c r="G62" i="2" s="1"/>
  <c r="H63" i="2"/>
  <c r="F63" i="2" s="1"/>
  <c r="G63" i="2" s="1"/>
  <c r="H64" i="2"/>
  <c r="H65" i="2"/>
  <c r="H66" i="2"/>
  <c r="F66" i="2" s="1"/>
  <c r="G66" i="2" s="1"/>
  <c r="H67" i="2"/>
  <c r="H68" i="2"/>
  <c r="F68" i="2" s="1"/>
  <c r="G68" i="2" s="1"/>
  <c r="H69" i="2"/>
  <c r="F69" i="2" s="1"/>
  <c r="G69" i="2" s="1"/>
  <c r="H70" i="2"/>
  <c r="F70" i="2" s="1"/>
  <c r="G70" i="2" s="1"/>
  <c r="H71" i="2"/>
  <c r="H72" i="2"/>
  <c r="F72" i="2" s="1"/>
  <c r="G72" i="2" s="1"/>
  <c r="H58" i="2"/>
  <c r="F58" i="2" s="1"/>
  <c r="G58" i="2" s="1"/>
  <c r="F59" i="2"/>
  <c r="G59" i="2" s="1"/>
  <c r="F60" i="2"/>
  <c r="G60" i="2" s="1"/>
  <c r="F64" i="2"/>
  <c r="G64" i="2" s="1"/>
  <c r="F65" i="2"/>
  <c r="G65" i="2" s="1"/>
  <c r="F67" i="2"/>
  <c r="G67" i="2" s="1"/>
  <c r="F71" i="2"/>
  <c r="G71" i="2" s="1"/>
  <c r="E23" i="2" l="1"/>
  <c r="E24" i="2"/>
  <c r="E25" i="2"/>
  <c r="E26" i="2"/>
  <c r="E27" i="2"/>
  <c r="E28" i="2"/>
  <c r="E29" i="2"/>
  <c r="E30" i="2"/>
  <c r="E31" i="2"/>
  <c r="E32" i="2"/>
  <c r="E33" i="2"/>
  <c r="E34" i="2"/>
  <c r="E35" i="2"/>
  <c r="E36" i="2"/>
  <c r="E37" i="2"/>
  <c r="E22" i="2"/>
  <c r="E4" i="2"/>
  <c r="E5" i="2"/>
  <c r="E6" i="2"/>
  <c r="E7" i="2"/>
  <c r="E8" i="2"/>
  <c r="E9" i="2"/>
  <c r="E10" i="2"/>
  <c r="E11" i="2"/>
  <c r="E12" i="2"/>
  <c r="E13" i="2"/>
  <c r="E14" i="2"/>
  <c r="E15" i="2"/>
  <c r="E16" i="2"/>
  <c r="E17" i="2"/>
  <c r="E18" i="2"/>
  <c r="E3" i="2"/>
  <c r="E7" i="1"/>
  <c r="E8" i="1" s="1"/>
  <c r="B7" i="1"/>
  <c r="B11" i="1" s="1"/>
  <c r="B5" i="1"/>
  <c r="E11" i="1" l="1"/>
  <c r="E15" i="1" s="1"/>
  <c r="B13" i="1"/>
  <c r="B8" i="1"/>
  <c r="B10" i="1" s="1"/>
  <c r="B12" i="1"/>
  <c r="E42" i="2"/>
  <c r="E43" i="2"/>
  <c r="E44" i="2"/>
  <c r="E45" i="2"/>
  <c r="E46" i="2"/>
  <c r="E47" i="2"/>
  <c r="E48" i="2"/>
  <c r="E49" i="2"/>
  <c r="E50" i="2"/>
  <c r="E51" i="2"/>
  <c r="E52" i="2"/>
  <c r="E53" i="2"/>
  <c r="E41" i="2"/>
  <c r="B10" i="2"/>
  <c r="B11" i="2" s="1"/>
  <c r="E12" i="1" l="1"/>
  <c r="E13" i="1"/>
  <c r="B16" i="1"/>
  <c r="B9" i="1"/>
  <c r="E10" i="1"/>
  <c r="E9" i="1"/>
  <c r="F47" i="2"/>
  <c r="F48" i="2"/>
  <c r="F42" i="2"/>
  <c r="F45" i="2"/>
  <c r="F49" i="2"/>
  <c r="F50" i="2"/>
  <c r="F51" i="2"/>
  <c r="F53" i="2"/>
  <c r="F52" i="2"/>
  <c r="F41" i="2"/>
  <c r="F43" i="2"/>
  <c r="F44" i="2"/>
  <c r="F46" i="2"/>
  <c r="B12" i="2"/>
  <c r="G53" i="2" s="1"/>
  <c r="B7" i="2"/>
  <c r="B9" i="2" s="1"/>
  <c r="E16" i="1" l="1"/>
  <c r="B15" i="1"/>
  <c r="G43" i="2"/>
  <c r="H43" i="2" s="1"/>
  <c r="I43" i="2" s="1"/>
  <c r="G51" i="2"/>
  <c r="H51" i="2" s="1"/>
  <c r="I51" i="2" s="1"/>
  <c r="H53" i="2"/>
  <c r="I53" i="2" s="1"/>
  <c r="G52" i="2"/>
  <c r="H52" i="2" s="1"/>
  <c r="I52" i="2" s="1"/>
  <c r="G45" i="2"/>
  <c r="H45" i="2" s="1"/>
  <c r="I45" i="2" s="1"/>
  <c r="G48" i="2"/>
  <c r="H48" i="2" s="1"/>
  <c r="I48" i="2" s="1"/>
  <c r="G46" i="2"/>
  <c r="H46" i="2" s="1"/>
  <c r="I46" i="2" s="1"/>
  <c r="G47" i="2"/>
  <c r="H47" i="2" s="1"/>
  <c r="I47" i="2" s="1"/>
  <c r="G41" i="2"/>
  <c r="H41" i="2" s="1"/>
  <c r="I41" i="2" s="1"/>
  <c r="G49" i="2"/>
  <c r="H49" i="2" s="1"/>
  <c r="I49" i="2" s="1"/>
  <c r="G50" i="2"/>
  <c r="H50" i="2" s="1"/>
  <c r="I50" i="2" s="1"/>
  <c r="G42" i="2"/>
  <c r="H42" i="2" s="1"/>
  <c r="I42" i="2" s="1"/>
  <c r="G44" i="2"/>
  <c r="H44" i="2" s="1"/>
  <c r="I44" i="2" s="1"/>
  <c r="H1" i="2"/>
  <c r="B8" i="2"/>
  <c r="H20" i="2"/>
  <c r="F27" i="2" l="1"/>
  <c r="G27" i="2" s="1"/>
  <c r="F28" i="2"/>
  <c r="G28" i="2" s="1"/>
  <c r="F31" i="2"/>
  <c r="G31" i="2" s="1"/>
  <c r="F32" i="2"/>
  <c r="G32" i="2" s="1"/>
  <c r="F33" i="2"/>
  <c r="G33" i="2" s="1"/>
  <c r="F23" i="2"/>
  <c r="G23" i="2" s="1"/>
  <c r="F24" i="2"/>
  <c r="G24" i="2" s="1"/>
  <c r="F37" i="2"/>
  <c r="G37" i="2" s="1"/>
  <c r="F26" i="2"/>
  <c r="G26" i="2" s="1"/>
  <c r="F29" i="2"/>
  <c r="G29" i="2" s="1"/>
  <c r="F30" i="2"/>
  <c r="G30" i="2" s="1"/>
  <c r="F34" i="2"/>
  <c r="G34" i="2" s="1"/>
  <c r="F36" i="2"/>
  <c r="G36" i="2" s="1"/>
  <c r="F25" i="2"/>
  <c r="G25" i="2" s="1"/>
  <c r="F22" i="2"/>
  <c r="G22" i="2" s="1"/>
  <c r="F35" i="2"/>
  <c r="G35" i="2" s="1"/>
  <c r="F4" i="2"/>
  <c r="G4" i="2" s="1"/>
  <c r="F16" i="2"/>
  <c r="G16" i="2" s="1"/>
  <c r="F5" i="2"/>
  <c r="G5" i="2" s="1"/>
  <c r="F17" i="2"/>
  <c r="G17" i="2" s="1"/>
  <c r="F8" i="2"/>
  <c r="G8" i="2" s="1"/>
  <c r="F9" i="2"/>
  <c r="G9" i="2" s="1"/>
  <c r="F11" i="2"/>
  <c r="G11" i="2" s="1"/>
  <c r="F6" i="2"/>
  <c r="G6" i="2" s="1"/>
  <c r="F18" i="2"/>
  <c r="G18" i="2" s="1"/>
  <c r="F7" i="2"/>
  <c r="G7" i="2" s="1"/>
  <c r="F3" i="2"/>
  <c r="G3" i="2" s="1"/>
  <c r="F10" i="2"/>
  <c r="G10" i="2" s="1"/>
  <c r="F12" i="2"/>
  <c r="G12" i="2" s="1"/>
  <c r="F13" i="2"/>
  <c r="G13" i="2" s="1"/>
  <c r="F14" i="2"/>
  <c r="G14" i="2" s="1"/>
  <c r="F15" i="2"/>
  <c r="G15" i="2" s="1"/>
  <c r="R11" i="4"/>
  <c r="R15" i="4" s="1"/>
</calcChain>
</file>

<file path=xl/sharedStrings.xml><?xml version="1.0" encoding="utf-8"?>
<sst xmlns="http://schemas.openxmlformats.org/spreadsheetml/2006/main" count="275" uniqueCount="155">
  <si>
    <t>μ</t>
  </si>
  <si>
    <t>Sample mean</t>
  </si>
  <si>
    <t>α</t>
  </si>
  <si>
    <t>Z_α</t>
  </si>
  <si>
    <t>n</t>
  </si>
  <si>
    <t>β</t>
  </si>
  <si>
    <t>sl.no.</t>
  </si>
  <si>
    <t>Z value</t>
  </si>
  <si>
    <t>CI</t>
  </si>
  <si>
    <r>
      <t xml:space="preserve">Rated </t>
    </r>
    <r>
      <rPr>
        <b/>
        <sz val="11"/>
        <color theme="1"/>
        <rFont val="Calibri"/>
        <family val="2"/>
      </rPr>
      <t>μ</t>
    </r>
  </si>
  <si>
    <r>
      <t xml:space="preserve">Rated </t>
    </r>
    <r>
      <rPr>
        <b/>
        <sz val="11"/>
        <color theme="1"/>
        <rFont val="Calibri"/>
        <family val="2"/>
      </rPr>
      <t>σ</t>
    </r>
  </si>
  <si>
    <t>Critical sample mean for right tail rejection</t>
  </si>
  <si>
    <t>Critical sample mean for left tail rejection</t>
  </si>
  <si>
    <t>Lower limit of sample mean for two tailed</t>
  </si>
  <si>
    <t>Z_α/2 for two tailed</t>
  </si>
  <si>
    <t>Upper limit of sample mean for two tailed</t>
  </si>
  <si>
    <t>Z_high</t>
  </si>
  <si>
    <t>Z_low</t>
  </si>
  <si>
    <t>Z test</t>
  </si>
  <si>
    <t>Population std. dev</t>
  </si>
  <si>
    <t>Number of samples</t>
  </si>
  <si>
    <t>Std. dev. Of sample means</t>
  </si>
  <si>
    <t>Error</t>
  </si>
  <si>
    <t>Z_single_tailed</t>
  </si>
  <si>
    <t>Upper limit right tailed</t>
  </si>
  <si>
    <t>Lower limit left tailed</t>
  </si>
  <si>
    <t>Z_two_tailed</t>
  </si>
  <si>
    <t>Upper limit two tailed</t>
  </si>
  <si>
    <t>Lower limit two tailed</t>
  </si>
  <si>
    <t>DMOE</t>
  </si>
  <si>
    <t>Number of samples required</t>
  </si>
  <si>
    <t>t test</t>
  </si>
  <si>
    <t>Sample std. dev</t>
  </si>
  <si>
    <t>t_single_tailed</t>
  </si>
  <si>
    <t>t_two_tailed</t>
  </si>
  <si>
    <t>Number of samples required if Z test is considered</t>
  </si>
  <si>
    <t>Current MOE</t>
  </si>
  <si>
    <t>Number of samples (pilot)</t>
  </si>
  <si>
    <t>Z_critical_low</t>
  </si>
  <si>
    <t>σ</t>
  </si>
  <si>
    <r>
      <t xml:space="preserve">Variation of </t>
    </r>
    <r>
      <rPr>
        <sz val="11"/>
        <color theme="1"/>
        <rFont val="Calibri"/>
        <family val="2"/>
      </rPr>
      <t>β vs. α for given µ</t>
    </r>
    <r>
      <rPr>
        <sz val="11"/>
        <color theme="1"/>
        <rFont val="Calibri"/>
        <family val="2"/>
        <scheme val="minor"/>
      </rPr>
      <t xml:space="preserve"> and n for left tailed test</t>
    </r>
  </si>
  <si>
    <t>H0 &gt;= µ</t>
  </si>
  <si>
    <t>μ_i &lt; μ</t>
  </si>
  <si>
    <t>P value for sample mean</t>
  </si>
  <si>
    <t>T valued Hypo</t>
  </si>
  <si>
    <t>X_bar</t>
  </si>
  <si>
    <t>Reqd. P value for sample mean</t>
  </si>
  <si>
    <t>P value of sample mean</t>
  </si>
  <si>
    <t>H0</t>
  </si>
  <si>
    <t>H1</t>
  </si>
  <si>
    <t>Conclude H1:</t>
  </si>
  <si>
    <t>Don't reject H0:</t>
  </si>
  <si>
    <t>t_α</t>
  </si>
  <si>
    <t>t_α/2 for two tailed</t>
  </si>
  <si>
    <t>Paired Samples</t>
  </si>
  <si>
    <t>n1</t>
  </si>
  <si>
    <t>n2</t>
  </si>
  <si>
    <t>Men</t>
  </si>
  <si>
    <t>Women</t>
  </si>
  <si>
    <t>Differences Men</t>
  </si>
  <si>
    <t>Differences Women</t>
  </si>
  <si>
    <t>Sl No.</t>
  </si>
  <si>
    <t>Before</t>
  </si>
  <si>
    <t>After</t>
  </si>
  <si>
    <t>Average of differences</t>
  </si>
  <si>
    <t>Number of observations (n)</t>
  </si>
  <si>
    <t>Std. dev. Of differences</t>
  </si>
  <si>
    <t>Confidence interval</t>
  </si>
  <si>
    <t>t_critical for two tailed</t>
  </si>
  <si>
    <t>Rated weight difference</t>
  </si>
  <si>
    <t>Upper limit of single right tailed</t>
  </si>
  <si>
    <t>T value for given sample mean</t>
  </si>
  <si>
    <t>Probability of commiting Type 1 error (P value)</t>
  </si>
  <si>
    <t>Unpaired samples</t>
  </si>
  <si>
    <t>σ1</t>
  </si>
  <si>
    <t>Sample 1</t>
  </si>
  <si>
    <t>Variance. Of sample means</t>
  </si>
  <si>
    <t>Sample 2</t>
  </si>
  <si>
    <t>σ2</t>
  </si>
  <si>
    <t>Error (two sided)</t>
  </si>
  <si>
    <t>Z_alpha</t>
  </si>
  <si>
    <t>Upper limit</t>
  </si>
  <si>
    <t>Rated difference between population mean</t>
  </si>
  <si>
    <t>Rated population mean</t>
  </si>
  <si>
    <t>Std. dev. of difference in sample means</t>
  </si>
  <si>
    <t>Lower limit</t>
  </si>
  <si>
    <t>Given differences in sample means</t>
  </si>
  <si>
    <t>P value</t>
  </si>
  <si>
    <t>Z value for given sample differences in mean</t>
  </si>
  <si>
    <t>P value for given sample difference (right tail)</t>
  </si>
  <si>
    <t>Total P value for two tail</t>
  </si>
  <si>
    <t>T test</t>
  </si>
  <si>
    <t>Sample std dev.</t>
  </si>
  <si>
    <t>Pooled variance</t>
  </si>
  <si>
    <t>Lower limit of single right tailed rejection</t>
  </si>
  <si>
    <t>Std. dev. Of differences of sample means</t>
  </si>
  <si>
    <t>degrees of freedom</t>
  </si>
  <si>
    <t>T_alpha</t>
  </si>
  <si>
    <t>t value for given sample differences in mean</t>
  </si>
  <si>
    <t>P value for given sample difference (left tail)</t>
  </si>
  <si>
    <t>Equality of population variances</t>
  </si>
  <si>
    <t>F test</t>
  </si>
  <si>
    <t>Sample std. dev.</t>
  </si>
  <si>
    <t>F value</t>
  </si>
  <si>
    <t>Sample variance</t>
  </si>
  <si>
    <t>df1</t>
  </si>
  <si>
    <t>df2</t>
  </si>
  <si>
    <r>
      <t xml:space="preserve">Proof of relationship between </t>
    </r>
    <r>
      <rPr>
        <b/>
        <sz val="11"/>
        <color theme="1"/>
        <rFont val="Calibri"/>
        <family val="2"/>
        <scheme val="minor"/>
      </rPr>
      <t>Total deviation, Treatment deviation and Error deviation</t>
    </r>
  </si>
  <si>
    <t>Sample 3</t>
  </si>
  <si>
    <t>Sample 4</t>
  </si>
  <si>
    <t>Sample mean (x̅_j )</t>
  </si>
  <si>
    <t>Grand mean X̄̄</t>
  </si>
  <si>
    <t>Sum of squared errors of all treatment deviations (SSTR)</t>
  </si>
  <si>
    <t>Number of observation of each sample * Treatment error square</t>
  </si>
  <si>
    <t>Deviation from own mean (Error deviation) square for Sample 1</t>
  </si>
  <si>
    <t>Deviation from own mean (Error deviation) square for Sample 2</t>
  </si>
  <si>
    <t>Deviation from own mean (Error deviation) square for Sample 3</t>
  </si>
  <si>
    <t>Deviation from own mean (Error deviation) square for Sample 4</t>
  </si>
  <si>
    <t>Deviation from grand mean (Total deviation) square for Sample 1</t>
  </si>
  <si>
    <t>Deviation from grand mean (Total deviation) square for Sample 2</t>
  </si>
  <si>
    <t>Deviation from grand mean (Total deviation) square for Sample 3</t>
  </si>
  <si>
    <t>Deviation from grand mean (Total deviation) square for Sample 4</t>
  </si>
  <si>
    <t>Treatment error square (t_j square)</t>
  </si>
  <si>
    <t>Sum of squared errors of all the samples (SSE)</t>
  </si>
  <si>
    <t>Sum of all Total deviation square for all the samples (SST)</t>
  </si>
  <si>
    <t>SSE + SSTR</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</si>
  <si>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</si>
  <si>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</si>
  <si>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</si>
  <si>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</si>
  <si>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</si>
  <si>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</si>
  <si>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</si>
  <si>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</si>
  <si>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</si>
  <si>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</si>
  <si>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</si>
  <si>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</si>
  <si>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</si>
  <si>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</si>
  <si>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</si>
  <si>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</si>
  <si>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</si>
  <si>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</si>
  <si>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Sample 1 (From a population with mean =0, sd=1)</t>
  </si>
  <si>
    <t>Sample 2 (From mean = 5, sd=1)</t>
  </si>
  <si>
    <r>
      <t>Sample 3 (</t>
    </r>
    <r>
      <rPr>
        <b/>
        <sz val="11"/>
        <color theme="1"/>
        <rFont val="Calibri"/>
        <family val="2"/>
      </rPr>
      <t>μ = 0, σ=1)</t>
    </r>
  </si>
  <si>
    <t>Sample 4 (μ = 0, σ=1)</t>
  </si>
  <si>
    <t>Here we will generate random numbers from normally distributed population such a way that out of the 4 populations at least one will have a different mean than the others</t>
  </si>
  <si>
    <t>Here we will generate random numbers from normally distributed populations such a way that all of the 4 populations have same mean.</t>
  </si>
  <si>
    <t>Sample 2 (From mean = 0, sd=1)</t>
  </si>
  <si>
    <t>Observation</t>
  </si>
  <si>
    <r>
      <t xml:space="preserve">Conclusion: </t>
    </r>
    <r>
      <rPr>
        <sz val="11"/>
        <color theme="1"/>
        <rFont val="Calibri"/>
        <family val="2"/>
        <scheme val="minor"/>
      </rPr>
      <t xml:space="preserve">The P value is &lt; significance level 0.05 means that atleast one of the samples is drawn from a population with different mean.
</t>
    </r>
    <r>
      <rPr>
        <b/>
        <sz val="11"/>
        <color theme="1"/>
        <rFont val="Calibri"/>
        <family val="2"/>
        <scheme val="minor"/>
      </rPr>
      <t xml:space="preserve">
Interpretation of the ANOVA table columns:
</t>
    </r>
    <r>
      <rPr>
        <sz val="11"/>
        <color theme="1"/>
        <rFont val="Calibri"/>
        <family val="2"/>
        <scheme val="minor"/>
      </rPr>
      <t>1. Between groups SS = SSTR = Sum of squares of treatment deviations. This accounts for deviations of each sample mean from the grand mean X̄̄</t>
    </r>
    <r>
      <rPr>
        <b/>
        <sz val="11"/>
        <color theme="1"/>
        <rFont val="Calibri"/>
        <family val="2"/>
        <scheme val="minor"/>
      </rPr>
      <t xml:space="preserve">
</t>
    </r>
    <r>
      <rPr>
        <sz val="11"/>
        <color theme="1"/>
        <rFont val="Calibri"/>
        <family val="2"/>
        <scheme val="minor"/>
      </rPr>
      <t>2. Within Groups SS = Sum of squares of error deviations. This accounts for the deviations of each observation of a sample from the respective sample mean X̄.</t>
    </r>
    <r>
      <rPr>
        <b/>
        <sz val="11"/>
        <color theme="1"/>
        <rFont val="Calibri"/>
        <family val="2"/>
        <scheme val="minor"/>
      </rPr>
      <t xml:space="preserve">
</t>
    </r>
    <r>
      <rPr>
        <sz val="11"/>
        <color theme="1"/>
        <rFont val="Calibri"/>
        <family val="2"/>
        <scheme val="minor"/>
      </rPr>
      <t>3. Total SS = Sum of squares of deviations of each observation from the grand mean X̄̄.</t>
    </r>
    <r>
      <rPr>
        <b/>
        <sz val="11"/>
        <color theme="1"/>
        <rFont val="Calibri"/>
        <family val="2"/>
        <scheme val="minor"/>
      </rPr>
      <t xml:space="preserve">
Important points to observe:
</t>
    </r>
    <r>
      <rPr>
        <sz val="11"/>
        <color theme="1"/>
        <rFont val="Calibri"/>
        <family val="2"/>
        <scheme val="minor"/>
      </rPr>
      <t xml:space="preserve">1. SS Between groups + SS Within groups = SS Total. Already we have proved in cell coordinate B26.
2. Since one of the samples are coming from a normally distributed population with a different mean the between groups SS is very much high than the within groups SS. This is also evident from the chart alongside. Sample 2 seems to be coming from out of the world population.
</t>
    </r>
  </si>
  <si>
    <t>Observations</t>
  </si>
  <si>
    <r>
      <t xml:space="preserve">Conclusion: </t>
    </r>
    <r>
      <rPr>
        <sz val="11"/>
        <color theme="1"/>
        <rFont val="Calibri"/>
        <family val="2"/>
        <scheme val="minor"/>
      </rPr>
      <t xml:space="preserve">The P value is &gt; significance level 0.05 means that there is not enough evidence to believe that that the samples have come from different populations.
</t>
    </r>
    <r>
      <rPr>
        <b/>
        <sz val="11"/>
        <color theme="1"/>
        <rFont val="Calibri"/>
        <family val="2"/>
        <scheme val="minor"/>
      </rPr>
      <t xml:space="preserve">
Interpretation of the ANOVA table columns:
</t>
    </r>
    <r>
      <rPr>
        <sz val="11"/>
        <color theme="1"/>
        <rFont val="Calibri"/>
        <family val="2"/>
        <scheme val="minor"/>
      </rPr>
      <t>1. Between groups SS = SSTR = Sum of squares of treatment deviations. This accounts for deviations of each sample mean from the grand mean X̄̄</t>
    </r>
    <r>
      <rPr>
        <b/>
        <sz val="11"/>
        <color theme="1"/>
        <rFont val="Calibri"/>
        <family val="2"/>
        <scheme val="minor"/>
      </rPr>
      <t xml:space="preserve">
</t>
    </r>
    <r>
      <rPr>
        <sz val="11"/>
        <color theme="1"/>
        <rFont val="Calibri"/>
        <family val="2"/>
        <scheme val="minor"/>
      </rPr>
      <t>2. Within Groups SS = Sum of squares of error deviations. This accounts for the deviations of each observation of a sample from the respective sample mean X̄.</t>
    </r>
    <r>
      <rPr>
        <b/>
        <sz val="11"/>
        <color theme="1"/>
        <rFont val="Calibri"/>
        <family val="2"/>
        <scheme val="minor"/>
      </rPr>
      <t xml:space="preserve">
</t>
    </r>
    <r>
      <rPr>
        <sz val="11"/>
        <color theme="1"/>
        <rFont val="Calibri"/>
        <family val="2"/>
        <scheme val="minor"/>
      </rPr>
      <t>3. Total SS = Sum of squares of deviations of each observation from the grand mean X̄̄.</t>
    </r>
    <r>
      <rPr>
        <b/>
        <sz val="11"/>
        <color theme="1"/>
        <rFont val="Calibri"/>
        <family val="2"/>
        <scheme val="minor"/>
      </rPr>
      <t xml:space="preserve">
Important points to observe:
</t>
    </r>
    <r>
      <rPr>
        <sz val="11"/>
        <color theme="1"/>
        <rFont val="Calibri"/>
        <family val="2"/>
        <scheme val="minor"/>
      </rPr>
      <t xml:space="preserve">1. SS Between groups + SS Within groups = SS Total. Already we have proved in cell coordinate B26.
2. Since the samples are coming from 4 normally distributed populations with same mean, the between groups SS is much lower than what we saw previously. This is also evident from the chart alongside. All the samples seems to be cluttered around the same region with no distinguishable out of the world points.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</si>
</sst>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sz val="8"/>
      <name val="Calibri"/>
      <family val="2"/>
      <scheme val="minor"/>
    </font>
    <font>
      <i/>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right/>
      <top/>
      <bottom style="medium">
        <color indexed="64"/>
      </bottom>
      <diagonal/>
    </border>
    <border>
      <left/>
      <right/>
      <top style="medium">
        <color indexed="64"/>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s>
  <cellStyleXfs count="1">
    <xf numFmtId="0" fontId="0" fillId="0" borderId="0"/>
  </cellStyleXfs>
  <cellXfs count="85">
    <xf numFmtId="0" fontId="0" fillId="0" borderId="0" xfId="0"/>
    <xf numFmtId="0" fontId="0" fillId="0" borderId="1" xfId="0" applyBorder="1"/>
    <xf numFmtId="0" fontId="1" fillId="0" borderId="1" xfId="0" applyFont="1" applyBorder="1"/>
    <xf numFmtId="0" fontId="3" fillId="0" borderId="1" xfId="0" applyFont="1" applyBorder="1"/>
    <xf numFmtId="0" fontId="0" fillId="0" borderId="0" xfId="0" applyFont="1"/>
    <xf numFmtId="0" fontId="0" fillId="0" borderId="1" xfId="0" applyFont="1" applyBorder="1"/>
    <xf numFmtId="0" fontId="3" fillId="0" borderId="1" xfId="0" applyFont="1" applyBorder="1" applyAlignment="1">
      <alignment wrapText="1"/>
    </xf>
    <xf numFmtId="0" fontId="3" fillId="0" borderId="2" xfId="0" applyFont="1" applyFill="1" applyBorder="1" applyAlignment="1">
      <alignment wrapText="1"/>
    </xf>
    <xf numFmtId="0" fontId="3" fillId="2" borderId="1" xfId="0" applyFont="1" applyFill="1" applyBorder="1" applyAlignment="1">
      <alignment wrapText="1"/>
    </xf>
    <xf numFmtId="0" fontId="0" fillId="2" borderId="1" xfId="0" applyFont="1" applyFill="1" applyBorder="1"/>
    <xf numFmtId="0" fontId="0" fillId="0" borderId="0" xfId="0" applyBorder="1"/>
    <xf numFmtId="0" fontId="2" fillId="0" borderId="0" xfId="0" applyFont="1" applyBorder="1"/>
    <xf numFmtId="0" fontId="0" fillId="2" borderId="1" xfId="0" applyFill="1" applyBorder="1"/>
    <xf numFmtId="0" fontId="0" fillId="0" borderId="1" xfId="0" applyBorder="1" applyAlignment="1">
      <alignment wrapText="1"/>
    </xf>
    <xf numFmtId="0" fontId="0" fillId="0" borderId="2" xfId="0" applyFill="1" applyBorder="1"/>
    <xf numFmtId="0" fontId="0" fillId="0" borderId="3" xfId="0" applyBorder="1"/>
    <xf numFmtId="0" fontId="0" fillId="0" borderId="4" xfId="0" applyBorder="1"/>
    <xf numFmtId="0" fontId="2" fillId="0" borderId="0" xfId="0" applyFont="1" applyFill="1" applyBorder="1"/>
    <xf numFmtId="0" fontId="0" fillId="0" borderId="0" xfId="0" applyBorder="1" applyAlignment="1">
      <alignment wrapText="1"/>
    </xf>
    <xf numFmtId="0" fontId="2" fillId="0" borderId="1" xfId="0" applyFont="1" applyBorder="1"/>
    <xf numFmtId="0" fontId="2" fillId="0" borderId="1" xfId="0" applyFont="1" applyFill="1" applyBorder="1"/>
    <xf numFmtId="0" fontId="0" fillId="0" borderId="1" xfId="0" applyFont="1" applyFill="1" applyBorder="1"/>
    <xf numFmtId="0" fontId="0" fillId="0" borderId="0" xfId="0" applyFont="1" applyBorder="1"/>
    <xf numFmtId="0" fontId="0" fillId="0" borderId="5" xfId="0" applyBorder="1"/>
    <xf numFmtId="0" fontId="0" fillId="0" borderId="6" xfId="0" applyBorder="1"/>
    <xf numFmtId="0" fontId="2" fillId="0" borderId="6" xfId="0" applyFont="1" applyBorder="1"/>
    <xf numFmtId="0" fontId="0" fillId="2" borderId="0" xfId="0" applyFont="1" applyFill="1"/>
    <xf numFmtId="0" fontId="1" fillId="0" borderId="5" xfId="0" applyFont="1" applyBorder="1"/>
    <xf numFmtId="0" fontId="0" fillId="0" borderId="7" xfId="0" applyFont="1" applyBorder="1"/>
    <xf numFmtId="0" fontId="0" fillId="0" borderId="8" xfId="0" applyBorder="1"/>
    <xf numFmtId="0" fontId="0" fillId="0" borderId="9" xfId="0" applyFont="1" applyBorder="1"/>
    <xf numFmtId="0" fontId="0" fillId="0" borderId="10" xfId="0" applyBorder="1"/>
    <xf numFmtId="0" fontId="0" fillId="0" borderId="11" xfId="0" applyFont="1" applyBorder="1"/>
    <xf numFmtId="0" fontId="0" fillId="0" borderId="12" xfId="0" applyBorder="1"/>
    <xf numFmtId="0" fontId="0" fillId="0" borderId="13" xfId="0" applyBorder="1"/>
    <xf numFmtId="0" fontId="0" fillId="0" borderId="14" xfId="0" applyBorder="1"/>
    <xf numFmtId="0" fontId="2" fillId="0" borderId="0" xfId="0" applyFont="1"/>
    <xf numFmtId="0" fontId="0" fillId="2" borderId="0" xfId="0" applyFill="1"/>
    <xf numFmtId="0" fontId="0" fillId="0" borderId="0" xfId="0" applyAlignment="1">
      <alignment wrapText="1"/>
    </xf>
    <xf numFmtId="0" fontId="1" fillId="0" borderId="0" xfId="0" applyFont="1"/>
    <xf numFmtId="0" fontId="0" fillId="0" borderId="0" xfId="0" applyFill="1" applyBorder="1"/>
    <xf numFmtId="0" fontId="1" fillId="0" borderId="0" xfId="0" applyFont="1" applyBorder="1" applyAlignment="1">
      <alignment wrapText="1"/>
    </xf>
    <xf numFmtId="0" fontId="0" fillId="0" borderId="3" xfId="0" applyBorder="1" applyAlignment="1">
      <alignment wrapText="1"/>
    </xf>
    <xf numFmtId="0" fontId="0" fillId="0" borderId="1" xfId="0" applyFill="1" applyBorder="1"/>
    <xf numFmtId="0" fontId="1" fillId="0" borderId="7" xfId="0" applyFont="1" applyBorder="1" applyAlignment="1">
      <alignment wrapText="1"/>
    </xf>
    <xf numFmtId="0" fontId="1" fillId="0" borderId="16" xfId="0" applyFont="1" applyBorder="1" applyAlignment="1">
      <alignment wrapText="1"/>
    </xf>
    <xf numFmtId="0" fontId="0" fillId="0" borderId="9" xfId="0" applyBorder="1"/>
    <xf numFmtId="0" fontId="0" fillId="0" borderId="17" xfId="0" applyBorder="1"/>
    <xf numFmtId="0" fontId="0" fillId="0" borderId="18" xfId="0" applyBorder="1"/>
    <xf numFmtId="0" fontId="0" fillId="0" borderId="16" xfId="0" applyBorder="1"/>
    <xf numFmtId="0" fontId="1" fillId="0" borderId="9" xfId="0" applyFont="1" applyBorder="1" applyAlignment="1">
      <alignment wrapText="1"/>
    </xf>
    <xf numFmtId="0" fontId="1" fillId="0" borderId="9" xfId="0" applyFont="1" applyFill="1" applyBorder="1" applyAlignment="1">
      <alignment wrapText="1"/>
    </xf>
    <xf numFmtId="0" fontId="1" fillId="0" borderId="11" xfId="0" applyFont="1" applyBorder="1" applyAlignment="1">
      <alignment wrapText="1"/>
    </xf>
    <xf numFmtId="0" fontId="0" fillId="2" borderId="17" xfId="0" applyFill="1" applyBorder="1"/>
    <xf numFmtId="0" fontId="1" fillId="0" borderId="19" xfId="0" applyFont="1" applyFill="1" applyBorder="1" applyAlignment="1">
      <alignment wrapText="1"/>
    </xf>
    <xf numFmtId="0" fontId="0" fillId="0" borderId="20" xfId="0" applyBorder="1"/>
    <xf numFmtId="0" fontId="0" fillId="0" borderId="21" xfId="0" applyBorder="1"/>
    <xf numFmtId="0" fontId="1" fillId="0" borderId="22" xfId="0" applyFont="1" applyFill="1" applyBorder="1" applyAlignment="1">
      <alignment wrapText="1"/>
    </xf>
    <xf numFmtId="0" fontId="1" fillId="0" borderId="23" xfId="0" applyFont="1" applyFill="1" applyBorder="1" applyAlignment="1">
      <alignment wrapText="1"/>
    </xf>
    <xf numFmtId="0" fontId="1" fillId="0" borderId="24" xfId="0" applyFont="1" applyFill="1" applyBorder="1" applyAlignment="1">
      <alignment wrapText="1"/>
    </xf>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25" xfId="0" applyFill="1" applyBorder="1"/>
    <xf numFmtId="0" fontId="0" fillId="0" borderId="26" xfId="0" applyFill="1" applyBorder="1"/>
    <xf numFmtId="0" fontId="0" fillId="0" borderId="27" xfId="0" applyFill="1" applyBorder="1"/>
    <xf numFmtId="0" fontId="0" fillId="0" borderId="28" xfId="0" applyFill="1" applyBorder="1"/>
    <xf numFmtId="0" fontId="0" fillId="0" borderId="29" xfId="0" applyFill="1" applyBorder="1"/>
    <xf numFmtId="0" fontId="0" fillId="0" borderId="0" xfId="0" applyFill="1" applyBorder="1" applyAlignment="1"/>
    <xf numFmtId="0" fontId="0" fillId="0" borderId="30" xfId="0" applyFill="1" applyBorder="1" applyAlignment="1"/>
    <xf numFmtId="0" fontId="5" fillId="0" borderId="31" xfId="0" applyFont="1" applyFill="1" applyBorder="1" applyAlignment="1">
      <alignment horizontal="center"/>
    </xf>
    <xf numFmtId="0" fontId="0" fillId="3" borderId="1" xfId="0" applyFill="1" applyBorder="1"/>
    <xf numFmtId="0" fontId="0" fillId="4" borderId="1" xfId="0" applyFill="1" applyBorder="1"/>
    <xf numFmtId="0" fontId="0" fillId="5" borderId="0" xfId="0" applyFill="1" applyBorder="1" applyAlignment="1"/>
    <xf numFmtId="0" fontId="0" fillId="0" borderId="32" xfId="0" applyBorder="1"/>
    <xf numFmtId="0" fontId="0" fillId="0" borderId="33" xfId="0" applyBorder="1"/>
    <xf numFmtId="0" fontId="1" fillId="0" borderId="0" xfId="0" applyFont="1" applyBorder="1" applyAlignment="1">
      <alignment vertical="top" wrapText="1"/>
    </xf>
    <xf numFmtId="0" fontId="0" fillId="0" borderId="1" xfId="0" applyBorder="1" applyAlignment="1">
      <alignment horizontal="center" wrapText="1"/>
    </xf>
    <xf numFmtId="0" fontId="0" fillId="0" borderId="5" xfId="0" applyBorder="1" applyAlignment="1">
      <alignment horizontal="center" wrapText="1"/>
    </xf>
    <xf numFmtId="0" fontId="0" fillId="0" borderId="15" xfId="0" applyBorder="1" applyAlignment="1">
      <alignment horizontal="center"/>
    </xf>
    <xf numFmtId="0" fontId="1" fillId="0" borderId="0" xfId="0" applyFont="1" applyAlignment="1">
      <alignment horizontal="center"/>
    </xf>
    <xf numFmtId="0" fontId="1" fillId="0" borderId="0" xfId="0" applyFont="1" applyBorder="1" applyAlignment="1">
      <alignment horizontal="left" vertical="top" wrapText="1"/>
    </xf>
    <xf numFmtId="0" fontId="1" fillId="0" borderId="0"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β</a:t>
            </a:r>
            <a:r>
              <a:rPr lang="en-US"/>
              <a:t> vs. </a:t>
            </a:r>
            <a:r>
              <a:rPr lang="el-GR"/>
              <a:t>μ</a:t>
            </a:r>
            <a:r>
              <a:rPr lang="en-US"/>
              <a:t> </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Hypothesis!$G$2</c:f>
              <c:strCache>
                <c:ptCount val="1"/>
                <c:pt idx="0">
                  <c:v>β</c:v>
                </c:pt>
              </c:strCache>
            </c:strRef>
          </c:tx>
          <c:spPr>
            <a:ln w="28575" cap="rnd">
              <a:solidFill>
                <a:schemeClr val="accent1"/>
              </a:solidFill>
              <a:round/>
            </a:ln>
            <a:effectLst/>
          </c:spPr>
          <c:marker>
            <c:symbol val="none"/>
          </c:marker>
          <c:cat>
            <c:numRef>
              <c:f>Hypothesis!$E$3:$E$18</c:f>
              <c:numCache>
                <c:formatCode>General</c:formatCode>
                <c:ptCount val="1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numCache>
            </c:numRef>
          </c:cat>
          <c:val>
            <c:numRef>
              <c:f>Hypothesis!$G$3:$G$18</c:f>
              <c:numCache>
                <c:formatCode>General</c:formatCode>
                <c:ptCount val="16"/>
                <c:pt idx="0">
                  <c:v>0.95</c:v>
                </c:pt>
                <c:pt idx="1">
                  <c:v>0.91847000822488178</c:v>
                </c:pt>
                <c:pt idx="2">
                  <c:v>0.87386510180656973</c:v>
                </c:pt>
                <c:pt idx="3">
                  <c:v>0.81456733056922281</c:v>
                </c:pt>
                <c:pt idx="4">
                  <c:v>0.74048897715855599</c:v>
                </c:pt>
                <c:pt idx="5">
                  <c:v>0.65352454238696323</c:v>
                </c:pt>
                <c:pt idx="6">
                  <c:v>0.55758677974987658</c:v>
                </c:pt>
                <c:pt idx="7">
                  <c:v>0.45812983142251279</c:v>
                </c:pt>
                <c:pt idx="8">
                  <c:v>0.36123996868766484</c:v>
                </c:pt>
                <c:pt idx="9">
                  <c:v>0.27254087211557076</c:v>
                </c:pt>
                <c:pt idx="10">
                  <c:v>0.19623505998450622</c:v>
                </c:pt>
                <c:pt idx="11">
                  <c:v>0.13454808473897575</c:v>
                </c:pt>
                <c:pt idx="12">
                  <c:v>8.7685463249703541E-2</c:v>
                </c:pt>
                <c:pt idx="13">
                  <c:v>5.4230797976744703E-2</c:v>
                </c:pt>
                <c:pt idx="14">
                  <c:v>3.1787663605060933E-2</c:v>
                </c:pt>
                <c:pt idx="15">
                  <c:v>1.7639284324497559E-2</c:v>
                </c:pt>
              </c:numCache>
            </c:numRef>
          </c:val>
          <c:smooth val="0"/>
          <c:extLst>
            <c:ext xmlns:c16="http://schemas.microsoft.com/office/drawing/2014/chart" uri="{C3380CC4-5D6E-409C-BE32-E72D297353CC}">
              <c16:uniqueId val="{00000000-876D-468A-9B5E-009B0543C833}"/>
            </c:ext>
          </c:extLst>
        </c:ser>
        <c:dLbls>
          <c:showLegendKey val="0"/>
          <c:showVal val="0"/>
          <c:showCatName val="0"/>
          <c:showSerName val="0"/>
          <c:showPercent val="0"/>
          <c:showBubbleSize val="0"/>
        </c:dLbls>
        <c:smooth val="0"/>
        <c:axId val="150548000"/>
        <c:axId val="149338992"/>
      </c:lineChart>
      <c:catAx>
        <c:axId val="15054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8992"/>
        <c:crosses val="autoZero"/>
        <c:auto val="1"/>
        <c:lblAlgn val="ctr"/>
        <c:lblOffset val="100"/>
        <c:noMultiLvlLbl val="0"/>
      </c:catAx>
      <c:valAx>
        <c:axId val="14933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Hypothesis!$G$21</c:f>
              <c:strCache>
                <c:ptCount val="1"/>
                <c:pt idx="0">
                  <c:v>β</c:v>
                </c:pt>
              </c:strCache>
            </c:strRef>
          </c:tx>
          <c:spPr>
            <a:ln w="28575" cap="rnd">
              <a:solidFill>
                <a:schemeClr val="accent1"/>
              </a:solidFill>
              <a:round/>
            </a:ln>
            <a:effectLst/>
          </c:spPr>
          <c:marker>
            <c:symbol val="none"/>
          </c:marker>
          <c:cat>
            <c:numRef>
              <c:f>Hypothesis!$E$22:$E$37</c:f>
              <c:numCache>
                <c:formatCode>General</c:formatCode>
                <c:ptCount val="1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numCache>
            </c:numRef>
          </c:cat>
          <c:val>
            <c:numRef>
              <c:f>Hypothesis!$G$22:$G$37</c:f>
              <c:numCache>
                <c:formatCode>General</c:formatCode>
                <c:ptCount val="16"/>
                <c:pt idx="0">
                  <c:v>0.95</c:v>
                </c:pt>
                <c:pt idx="1">
                  <c:v>0.91847000822488178</c:v>
                </c:pt>
                <c:pt idx="2">
                  <c:v>0.87386510180656973</c:v>
                </c:pt>
                <c:pt idx="3">
                  <c:v>0.81456733056922281</c:v>
                </c:pt>
                <c:pt idx="4">
                  <c:v>0.74048897715855599</c:v>
                </c:pt>
                <c:pt idx="5">
                  <c:v>0.65352454238696323</c:v>
                </c:pt>
                <c:pt idx="6">
                  <c:v>0.55758677974987658</c:v>
                </c:pt>
                <c:pt idx="7">
                  <c:v>0.45812983142251285</c:v>
                </c:pt>
                <c:pt idx="8">
                  <c:v>0.36123996868766484</c:v>
                </c:pt>
                <c:pt idx="9">
                  <c:v>0.27254087211557076</c:v>
                </c:pt>
                <c:pt idx="10">
                  <c:v>0.19623505998450619</c:v>
                </c:pt>
                <c:pt idx="11">
                  <c:v>0.13454808473897573</c:v>
                </c:pt>
                <c:pt idx="12">
                  <c:v>8.7685463249703499E-2</c:v>
                </c:pt>
                <c:pt idx="13">
                  <c:v>5.4230797976744682E-2</c:v>
                </c:pt>
                <c:pt idx="14">
                  <c:v>3.1787663605060912E-2</c:v>
                </c:pt>
                <c:pt idx="15">
                  <c:v>1.7639284324497573E-2</c:v>
                </c:pt>
              </c:numCache>
            </c:numRef>
          </c:val>
          <c:smooth val="0"/>
          <c:extLst>
            <c:ext xmlns:c16="http://schemas.microsoft.com/office/drawing/2014/chart" uri="{C3380CC4-5D6E-409C-BE32-E72D297353CC}">
              <c16:uniqueId val="{00000000-7BD3-4234-A61A-E34BFC1E1DAA}"/>
            </c:ext>
          </c:extLst>
        </c:ser>
        <c:dLbls>
          <c:showLegendKey val="0"/>
          <c:showVal val="0"/>
          <c:showCatName val="0"/>
          <c:showSerName val="0"/>
          <c:showPercent val="0"/>
          <c:showBubbleSize val="0"/>
        </c:dLbls>
        <c:smooth val="0"/>
        <c:axId val="332241792"/>
        <c:axId val="1644137200"/>
      </c:lineChart>
      <c:catAx>
        <c:axId val="3322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137200"/>
        <c:crosses val="autoZero"/>
        <c:auto val="1"/>
        <c:lblAlgn val="ctr"/>
        <c:lblOffset val="100"/>
        <c:noMultiLvlLbl val="0"/>
      </c:catAx>
      <c:valAx>
        <c:axId val="164413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1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β</a:t>
            </a:r>
            <a:r>
              <a:rPr lang="en-US"/>
              <a:t> vs. </a:t>
            </a:r>
            <a:r>
              <a:rPr lang="el-GR"/>
              <a:t>μ</a:t>
            </a:r>
            <a:r>
              <a:rPr lang="en-US"/>
              <a:t> </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Hypothesis!$I$40</c:f>
              <c:strCache>
                <c:ptCount val="1"/>
                <c:pt idx="0">
                  <c:v>β</c:v>
                </c:pt>
              </c:strCache>
            </c:strRef>
          </c:tx>
          <c:spPr>
            <a:ln w="19050" cap="rnd">
              <a:solidFill>
                <a:schemeClr val="accent1"/>
              </a:solidFill>
              <a:round/>
            </a:ln>
            <a:effectLst/>
          </c:spPr>
          <c:marker>
            <c:symbol val="none"/>
          </c:marker>
          <c:xVal>
            <c:numRef>
              <c:f>Hypothesis!$E$41:$E$53</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Hypothesis!$I$41:$I$53</c:f>
              <c:numCache>
                <c:formatCode>General</c:formatCode>
                <c:ptCount val="13"/>
                <c:pt idx="0">
                  <c:v>0.85083876832705629</c:v>
                </c:pt>
                <c:pt idx="1">
                  <c:v>0.70541800111380037</c:v>
                </c:pt>
                <c:pt idx="2">
                  <c:v>0.51600527397617491</c:v>
                </c:pt>
                <c:pt idx="3">
                  <c:v>0.32304115977680503</c:v>
                </c:pt>
                <c:pt idx="4">
                  <c:v>0.17007504575308752</c:v>
                </c:pt>
                <c:pt idx="5">
                  <c:v>7.9097534160596616E-2</c:v>
                </c:pt>
                <c:pt idx="6">
                  <c:v>5.0000000000000044E-2</c:v>
                </c:pt>
                <c:pt idx="7">
                  <c:v>7.9097534160596616E-2</c:v>
                </c:pt>
                <c:pt idx="8">
                  <c:v>0.17007504575308752</c:v>
                </c:pt>
                <c:pt idx="9">
                  <c:v>0.32304115977680503</c:v>
                </c:pt>
                <c:pt idx="10">
                  <c:v>0.51600527397617491</c:v>
                </c:pt>
                <c:pt idx="11">
                  <c:v>0.70541800111380037</c:v>
                </c:pt>
                <c:pt idx="12">
                  <c:v>0.85083876832705618</c:v>
                </c:pt>
              </c:numCache>
            </c:numRef>
          </c:yVal>
          <c:smooth val="1"/>
          <c:extLst>
            <c:ext xmlns:c16="http://schemas.microsoft.com/office/drawing/2014/chart" uri="{C3380CC4-5D6E-409C-BE32-E72D297353CC}">
              <c16:uniqueId val="{00000000-F6B5-4DDD-BAC2-52FA2922F2A4}"/>
            </c:ext>
          </c:extLst>
        </c:ser>
        <c:dLbls>
          <c:showLegendKey val="0"/>
          <c:showVal val="0"/>
          <c:showCatName val="0"/>
          <c:showSerName val="0"/>
          <c:showPercent val="0"/>
          <c:showBubbleSize val="0"/>
        </c:dLbls>
        <c:axId val="1420548767"/>
        <c:axId val="1420256495"/>
      </c:scatterChart>
      <c:valAx>
        <c:axId val="1420548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56495"/>
        <c:crosses val="autoZero"/>
        <c:crossBetween val="midCat"/>
      </c:valAx>
      <c:valAx>
        <c:axId val="14202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548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Hypothesis!$E$58:$E$87</c:f>
              <c:numCache>
                <c:formatCode>General</c:formatCode>
                <c:ptCount val="30"/>
                <c:pt idx="0">
                  <c:v>1E-3</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numCache>
            </c:numRef>
          </c:xVal>
          <c:yVal>
            <c:numRef>
              <c:f>Hypothesis!$G$58:$G$87</c:f>
              <c:numCache>
                <c:formatCode>General</c:formatCode>
                <c:ptCount val="30"/>
                <c:pt idx="0">
                  <c:v>0.5525839496365117</c:v>
                </c:pt>
                <c:pt idx="1">
                  <c:v>0.35115258444127462</c:v>
                </c:pt>
                <c:pt idx="2">
                  <c:v>0.26379407256523202</c:v>
                </c:pt>
                <c:pt idx="3">
                  <c:v>0.21536311863003421</c:v>
                </c:pt>
                <c:pt idx="4">
                  <c:v>0.18292056395986878</c:v>
                </c:pt>
                <c:pt idx="5">
                  <c:v>0.15912127601007153</c:v>
                </c:pt>
                <c:pt idx="6">
                  <c:v>0.14068512657314258</c:v>
                </c:pt>
                <c:pt idx="7">
                  <c:v>0.12587084473571852</c:v>
                </c:pt>
                <c:pt idx="8">
                  <c:v>0.11364795595622645</c:v>
                </c:pt>
                <c:pt idx="9">
                  <c:v>0.10335890077594878</c:v>
                </c:pt>
                <c:pt idx="10">
                  <c:v>9.4560095587593596E-2</c:v>
                </c:pt>
                <c:pt idx="11">
                  <c:v>8.6939212165683455E-2</c:v>
                </c:pt>
                <c:pt idx="12">
                  <c:v>8.0268722210894539E-2</c:v>
                </c:pt>
                <c:pt idx="13">
                  <c:v>7.4378207582862621E-2</c:v>
                </c:pt>
                <c:pt idx="14">
                  <c:v>6.913704464174919E-2</c:v>
                </c:pt>
              </c:numCache>
            </c:numRef>
          </c:yVal>
          <c:smooth val="0"/>
          <c:extLst>
            <c:ext xmlns:c16="http://schemas.microsoft.com/office/drawing/2014/chart" uri="{C3380CC4-5D6E-409C-BE32-E72D297353CC}">
              <c16:uniqueId val="{00000000-5948-4B3F-9DE1-3C2BF99BD16B}"/>
            </c:ext>
          </c:extLst>
        </c:ser>
        <c:dLbls>
          <c:showLegendKey val="0"/>
          <c:showVal val="0"/>
          <c:showCatName val="0"/>
          <c:showSerName val="0"/>
          <c:showPercent val="0"/>
          <c:showBubbleSize val="0"/>
        </c:dLbls>
        <c:axId val="80520272"/>
        <c:axId val="225618704"/>
      </c:scatterChart>
      <c:valAx>
        <c:axId val="80520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18704"/>
        <c:crosses val="autoZero"/>
        <c:crossBetween val="midCat"/>
      </c:valAx>
      <c:valAx>
        <c:axId val="22561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0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'ANOVA - Reject H0'!$B$3</c:f>
              <c:strCache>
                <c:ptCount val="1"/>
                <c:pt idx="0">
                  <c:v>Sample 1</c:v>
                </c:pt>
              </c:strCache>
            </c:strRef>
          </c:tx>
          <c:spPr>
            <a:ln w="25400" cap="rnd">
              <a:noFill/>
              <a:round/>
            </a:ln>
            <a:effectLst/>
          </c:spPr>
          <c:marker>
            <c:symbol val="diamond"/>
            <c:size val="6"/>
            <c:spPr>
              <a:solidFill>
                <a:schemeClr val="accent1"/>
              </a:solidFill>
              <a:ln w="9525">
                <a:solidFill>
                  <a:schemeClr val="accent1"/>
                </a:solidFill>
                <a:round/>
              </a:ln>
              <a:effectLst/>
            </c:spPr>
          </c:marker>
          <c:xVal>
            <c:numRef>
              <c:f>'ANOVA - Reject H0'!$A$4:$A$18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'ANOVA - Reject H0'!$B$4:$B$18</c:f>
              <c:numCache>
                <c:formatCode>General</c:formatCode>
                <c:ptCount val="15"/>
                <c:pt idx="0">
                  <c:v>-0.10579395997449823</c:v>
                </c:pt>
                <c:pt idx="1">
                  <c:v>0.77993231288406328</c:v>
                </c:pt>
                <c:pt idx="2">
                  <c:v>1.6589104312137253</c:v>
                </c:pt>
                <c:pt idx="3">
                  <c:v>0.17225005916344585</c:v>
                </c:pt>
                <c:pt idx="4">
                  <c:v>1.8852687535290948</c:v>
                </c:pt>
                <c:pt idx="5">
                  <c:v>-1.6689394083815698</c:v>
                </c:pt>
                <c:pt idx="6">
                  <c:v>-0.2921297604722663</c:v>
                </c:pt>
                <c:pt idx="7">
                  <c:v>0.61875222174752709</c:v>
                </c:pt>
                <c:pt idx="8">
                  <c:v>0.4777812317788892</c:v>
                </c:pt>
                <c:pt idx="9">
                  <c:v>-0.35064776708192597</c:v>
                </c:pt>
                <c:pt idx="10">
                  <c:v>-1.1377833079153092</c:v>
                </c:pt>
                <c:pt idx="11">
                  <c:v>-0.73599376549915918</c:v>
                </c:pt>
                <c:pt idx="12">
                  <c:v>0.9875411781508604</c:v>
                </c:pt>
                <c:pt idx="13">
                  <c:v>0.76974285484676164</c:v>
                </c:pt>
                <c:pt idx="14">
                  <c:v>0.51195969472090541</c:v>
                </c:pt>
              </c:numCache>
            </c:numRef>
          </c:yVal>
          <c:smooth val="0"/>
          <c:extLst>
            <c:ext xmlns:c16="http://schemas.microsoft.com/office/drawing/2014/chart" uri="{C3380CC4-5D6E-409C-BE32-E72D297353CC}">
              <c16:uniqueId val="{00000000-42A0-4448-9DDA-EDC943CE31B2}"/>
            </c:ext>
          </c:extLst>
        </c:ser>
        <c:ser>
          <c:idx val="1"/>
          <c:order val="1"/>
          <c:tx>
            <c:strRef>
              <c:f>'ANOVA - Reject H0'!$C$3</c:f>
              <c:strCache>
                <c:ptCount val="1"/>
                <c:pt idx="0">
                  <c:v>Sample 2</c:v>
                </c:pt>
              </c:strCache>
            </c:strRef>
          </c:tx>
          <c:spPr>
            <a:ln w="25400" cap="rnd">
              <a:noFill/>
              <a:round/>
            </a:ln>
            <a:effectLst/>
          </c:spPr>
          <c:marker>
            <c:symbol val="square"/>
            <c:size val="6"/>
            <c:spPr>
              <a:solidFill>
                <a:schemeClr val="accent2"/>
              </a:solidFill>
              <a:ln w="9525">
                <a:solidFill>
                  <a:schemeClr val="accent2"/>
                </a:solidFill>
                <a:round/>
              </a:ln>
              <a:effectLst/>
            </c:spPr>
          </c:marker>
          <c:xVal>
            <c:numRef>
              <c:f>'ANOVA - Reject H0'!$A$4:$A$18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'ANOVA - Reject H0'!$C$4:$C$18</c:f>
              <c:numCache>
                <c:formatCode>General</c:formatCode>
                <c:ptCount val="15"/>
                <c:pt idx="0">
                  <c:v>5.7515113054461402</c:v>
                </c:pt>
                <c:pt idx="1">
                  <c:v>5.3178223151576232</c:v>
                </c:pt>
                <c:pt idx="2">
                  <c:v>5.0446978264918911</c:v>
                </c:pt>
                <c:pt idx="3">
                  <c:v>4.4408529262505594</c:v>
                </c:pt>
                <c:pt idx="4">
                  <c:v>3.3415389041821526</c:v>
                </c:pt>
                <c:pt idx="5">
                  <c:v>5.2943936421242821</c:v>
                </c:pt>
                <c:pt idx="6">
                  <c:v>4.713825437997416</c:v>
                </c:pt>
                <c:pt idx="7">
                  <c:v>5.0847914873372142</c:v>
                </c:pt>
                <c:pt idx="8">
                  <c:v>2.6627198692254233</c:v>
                </c:pt>
                <c:pt idx="9">
                  <c:v>5.3309673095106564</c:v>
                </c:pt>
                <c:pt idx="10">
                  <c:v>5.3358744263246116</c:v>
                </c:pt>
                <c:pt idx="11">
                  <c:v>6.0054016274225841</c:v>
                </c:pt>
                <c:pt idx="12">
                  <c:v>5.6760672279677831</c:v>
                </c:pt>
              </c:numCache>
            </c:numRef>
          </c:yVal>
          <c:smooth val="0"/>
          <c:extLst>
            <c:ext xmlns:c16="http://schemas.microsoft.com/office/drawing/2014/chart" uri="{C3380CC4-5D6E-409C-BE32-E72D297353CC}">
              <c16:uniqueId val="{00000001-42A0-4448-9DDA-EDC943CE31B2}"/>
            </c:ext>
          </c:extLst>
        </c:ser>
        <c:ser>
          <c:idx val="2"/>
          <c:order val="2"/>
          <c:tx>
            <c:strRef>
              <c:f>'ANOVA - Reject H0'!$D$3</c:f>
              <c:strCache>
                <c:ptCount val="1"/>
                <c:pt idx="0">
                  <c:v>Sample 3</c:v>
                </c:pt>
              </c:strCache>
            </c:strRef>
          </c:tx>
          <c:spPr>
            <a:ln w="25400" cap="rnd">
              <a:noFill/>
              <a:round/>
            </a:ln>
            <a:effectLst/>
          </c:spPr>
          <c:marker>
            <c:symbol val="triangle"/>
            <c:size val="6"/>
            <c:spPr>
              <a:solidFill>
                <a:schemeClr val="accent3"/>
              </a:solidFill>
              <a:ln w="9525">
                <a:solidFill>
                  <a:schemeClr val="accent3"/>
                </a:solidFill>
                <a:round/>
              </a:ln>
              <a:effectLst/>
            </c:spPr>
          </c:marker>
          <c:xVal>
            <c:numRef>
              <c:f>'ANOVA - Reject H0'!$A$4:$A$18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'ANOVA - Reject H0'!$D$4:$D$18</c:f>
              <c:numCache>
                <c:formatCode>General</c:formatCode>
                <c:ptCount val="15"/>
                <c:pt idx="0">
                  <c:v>-0.96402320104931305</c:v>
                </c:pt>
                <c:pt idx="1">
                  <c:v>1.0148207372216276</c:v>
                </c:pt>
                <c:pt idx="2">
                  <c:v>-1.827989901782026</c:v>
                </c:pt>
                <c:pt idx="3">
                  <c:v>0.58874246548966536</c:v>
                </c:pt>
                <c:pt idx="4">
                  <c:v>1.1446684455134026</c:v>
                </c:pt>
                <c:pt idx="5">
                  <c:v>0.60971358989683977</c:v>
                </c:pt>
                <c:pt idx="6">
                  <c:v>-1.2950837212252846</c:v>
                </c:pt>
                <c:pt idx="7">
                  <c:v>0.37404309740970471</c:v>
                </c:pt>
                <c:pt idx="8">
                  <c:v>-1.0657161829976649</c:v>
                </c:pt>
                <c:pt idx="9">
                  <c:v>1.0446429516213014</c:v>
                </c:pt>
                <c:pt idx="10">
                  <c:v>-2.9187718812390058</c:v>
                </c:pt>
                <c:pt idx="11">
                  <c:v>0.6768831735576224</c:v>
                </c:pt>
              </c:numCache>
            </c:numRef>
          </c:yVal>
          <c:smooth val="0"/>
          <c:extLst>
            <c:ext xmlns:c16="http://schemas.microsoft.com/office/drawing/2014/chart" uri="{C3380CC4-5D6E-409C-BE32-E72D297353CC}">
              <c16:uniqueId val="{00000002-42A0-4448-9DDA-EDC943CE31B2}"/>
            </c:ext>
          </c:extLst>
        </c:ser>
        <c:ser>
          <c:idx val="3"/>
          <c:order val="3"/>
          <c:tx>
            <c:strRef>
              <c:f>'ANOVA - Reject H0'!$E$3</c:f>
              <c:strCache>
                <c:ptCount val="1"/>
                <c:pt idx="0">
                  <c:v>Sample 4</c:v>
                </c:pt>
              </c:strCache>
            </c:strRef>
          </c:tx>
          <c:spPr>
            <a:ln w="25400" cap="rnd">
              <a:noFill/>
              <a:round/>
            </a:ln>
            <a:effectLst/>
          </c:spPr>
          <c:marker>
            <c:symbol val="x"/>
            <c:size val="6"/>
            <c:spPr>
              <a:noFill/>
              <a:ln w="9525">
                <a:solidFill>
                  <a:schemeClr val="accent4"/>
                </a:solidFill>
                <a:round/>
              </a:ln>
              <a:effectLst/>
            </c:spPr>
          </c:marker>
          <c:xVal>
            <c:numRef>
              <c:f>'ANOVA - Reject H0'!$A$4:$A$18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'ANOVA - Reject H0'!$E$4:$E$18</c:f>
              <c:numCache>
                <c:formatCode>General</c:formatCode>
                <c:ptCount val="15"/>
                <c:pt idx="0">
                  <c:v>-0.10288905504675501</c:v>
                </c:pt>
                <c:pt idx="1">
                  <c:v>-4.0958931579233124E-2</c:v>
                </c:pt>
                <c:pt idx="2">
                  <c:v>0.82373777045508267</c:v>
                </c:pt>
                <c:pt idx="3">
                  <c:v>-0.47594830784189124</c:v>
                </c:pt>
                <c:pt idx="4">
                  <c:v>-0.72449570432028554</c:v>
                </c:pt>
                <c:pt idx="5">
                  <c:v>-1.2445924925585852</c:v>
                </c:pt>
                <c:pt idx="6">
                  <c:v>-0.4395071526840667</c:v>
                </c:pt>
                <c:pt idx="7">
                  <c:v>-0.42386821534244867</c:v>
                </c:pt>
                <c:pt idx="8">
                  <c:v>-1.9898651612038607</c:v>
                </c:pt>
                <c:pt idx="9">
                  <c:v>-1.2526840366996792</c:v>
                </c:pt>
                <c:pt idx="10">
                  <c:v>0.58347081325114047</c:v>
                </c:pt>
              </c:numCache>
            </c:numRef>
          </c:yVal>
          <c:smooth val="0"/>
          <c:extLst>
            <c:ext xmlns:c16="http://schemas.microsoft.com/office/drawing/2014/chart" uri="{C3380CC4-5D6E-409C-BE32-E72D297353CC}">
              <c16:uniqueId val="{00000003-42A0-4448-9DDA-EDC943CE31B2}"/>
            </c:ext>
          </c:extLst>
        </c:ser>
        <c:dLbls>
          <c:showLegendKey val="0"/>
          <c:showVal val="0"/>
          <c:showCatName val="0"/>
          <c:showSerName val="0"/>
          <c:showPercent val="0"/>
          <c:showBubbleSize val="0"/>
        </c:dLbls>
        <c:axId val="1240548656"/>
        <c:axId val="1166622496"/>
      </c:scatterChart>
      <c:valAx>
        <c:axId val="124054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166622496"/>
        <c:crosses val="autoZero"/>
        <c:crossBetween val="midCat"/>
      </c:valAx>
      <c:valAx>
        <c:axId val="116662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4865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'ANOVA - Dont Reject H0'!$B$3</c:f>
              <c:strCache>
                <c:ptCount val="1"/>
                <c:pt idx="0">
                  <c:v>Sample 1</c:v>
                </c:pt>
              </c:strCache>
            </c:strRef>
          </c:tx>
          <c:spPr>
            <a:ln w="25400" cap="rnd">
              <a:noFill/>
              <a:round/>
            </a:ln>
            <a:effectLst/>
          </c:spPr>
          <c:marker>
            <c:symbol val="diamond"/>
            <c:size val="6"/>
            <c:spPr>
              <a:solidFill>
                <a:schemeClr val="accent1"/>
              </a:solidFill>
              <a:ln w="9525">
                <a:solidFill>
                  <a:schemeClr val="accent1"/>
                </a:solidFill>
                <a:round/>
              </a:ln>
              <a:effectLst/>
            </c:spPr>
          </c:marker>
          <c:xVal>
            <c:numRef>
              <c:f>'ANOVA - Dont Reject H0'!$A$4:$A$18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'ANOVA - Dont Reject H0'!$B$4:$B$18</c:f>
              <c:numCache>
                <c:formatCode>General</c:formatCode>
                <c:ptCount val="15"/>
                <c:pt idx="0">
                  <c:v>0.88308295765702871</c:v>
                </c:pt>
                <c:pt idx="1">
                  <c:v>0.3317898107799413</c:v>
                </c:pt>
                <c:pt idx="2">
                  <c:v>-0.35527913452347576</c:v>
                </c:pt>
                <c:pt idx="3">
                  <c:v>0.34541553662838687</c:v>
                </c:pt>
                <c:pt idx="4">
                  <c:v>0.84248668020073836</c:v>
                </c:pt>
                <c:pt idx="5">
                  <c:v>0.87297805487037783</c:v>
                </c:pt>
                <c:pt idx="6">
                  <c:v>2.0001919156438923</c:v>
                </c:pt>
                <c:pt idx="7">
                  <c:v>0.42860578722450926</c:v>
                </c:pt>
                <c:pt idx="8">
                  <c:v>-0.49794925848462329</c:v>
                </c:pt>
                <c:pt idx="9">
                  <c:v>0.10418430579815666</c:v>
                </c:pt>
                <c:pt idx="10">
                  <c:v>1.37561733241392</c:v>
                </c:pt>
                <c:pt idx="11">
                  <c:v>-0.92202386760356692</c:v>
                </c:pt>
                <c:pt idx="12">
                  <c:v>1.2098280762078566</c:v>
                </c:pt>
                <c:pt idx="13">
                  <c:v>-1.5053705539314164</c:v>
                </c:pt>
                <c:pt idx="14">
                  <c:v>-0.27100522320503706</c:v>
                </c:pt>
              </c:numCache>
            </c:numRef>
          </c:yVal>
          <c:smooth val="0"/>
          <c:extLst>
            <c:ext xmlns:c16="http://schemas.microsoft.com/office/drawing/2014/chart" uri="{C3380CC4-5D6E-409C-BE32-E72D297353CC}">
              <c16:uniqueId val="{00000000-1E23-48EC-A296-15FCD8C1940C}"/>
            </c:ext>
          </c:extLst>
        </c:ser>
        <c:ser>
          <c:idx val="1"/>
          <c:order val="1"/>
          <c:tx>
            <c:strRef>
              <c:f>'ANOVA - Dont Reject H0'!$C$3</c:f>
              <c:strCache>
                <c:ptCount val="1"/>
                <c:pt idx="0">
                  <c:v>Sample 2</c:v>
                </c:pt>
              </c:strCache>
            </c:strRef>
          </c:tx>
          <c:spPr>
            <a:ln w="25400" cap="rnd">
              <a:noFill/>
              <a:round/>
            </a:ln>
            <a:effectLst/>
          </c:spPr>
          <c:marker>
            <c:symbol val="square"/>
            <c:size val="6"/>
            <c:spPr>
              <a:solidFill>
                <a:schemeClr val="accent2"/>
              </a:solidFill>
              <a:ln w="9525">
                <a:solidFill>
                  <a:schemeClr val="accent2"/>
                </a:solidFill>
                <a:round/>
              </a:ln>
              <a:effectLst/>
            </c:spPr>
          </c:marker>
          <c:xVal>
            <c:numRef>
              <c:f>'ANOVA - Dont Reject H0'!$A$4:$A$18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'ANOVA - Dont Reject H0'!$C$4:$C$18</c:f>
              <c:numCache>
                <c:formatCode>General</c:formatCode>
                <c:ptCount val="15"/>
                <c:pt idx="0">
                  <c:v>0.31651740081759133</c:v>
                </c:pt>
                <c:pt idx="1">
                  <c:v>-2.3665142142904032E-2</c:v>
                </c:pt>
                <c:pt idx="2">
                  <c:v>-0.64899767775715267</c:v>
                </c:pt>
                <c:pt idx="3">
                  <c:v>0.51789996805526806</c:v>
                </c:pt>
                <c:pt idx="4">
                  <c:v>0.10181529660021739</c:v>
                </c:pt>
                <c:pt idx="5">
                  <c:v>-1.5573932187823505</c:v>
                </c:pt>
                <c:pt idx="6">
                  <c:v>0.69480713807500505</c:v>
                </c:pt>
                <c:pt idx="7">
                  <c:v>-1.9412129507388447</c:v>
                </c:pt>
                <c:pt idx="8">
                  <c:v>-0.21341287367577641</c:v>
                </c:pt>
                <c:pt idx="9">
                  <c:v>1.4418718151845935</c:v>
                </c:pt>
                <c:pt idx="10">
                  <c:v>2.1097982077447113</c:v>
                </c:pt>
                <c:pt idx="11">
                  <c:v>0.25502634966106491</c:v>
                </c:pt>
                <c:pt idx="12">
                  <c:v>0.14196230230425036</c:v>
                </c:pt>
              </c:numCache>
            </c:numRef>
          </c:yVal>
          <c:smooth val="0"/>
          <c:extLst>
            <c:ext xmlns:c16="http://schemas.microsoft.com/office/drawing/2014/chart" uri="{C3380CC4-5D6E-409C-BE32-E72D297353CC}">
              <c16:uniqueId val="{00000001-1E23-48EC-A296-15FCD8C1940C}"/>
            </c:ext>
          </c:extLst>
        </c:ser>
        <c:ser>
          <c:idx val="2"/>
          <c:order val="2"/>
          <c:tx>
            <c:strRef>
              <c:f>'ANOVA - Dont Reject H0'!$D$3</c:f>
              <c:strCache>
                <c:ptCount val="1"/>
                <c:pt idx="0">
                  <c:v>Sample 3</c:v>
                </c:pt>
              </c:strCache>
            </c:strRef>
          </c:tx>
          <c:spPr>
            <a:ln w="25400" cap="rnd">
              <a:noFill/>
              <a:round/>
            </a:ln>
            <a:effectLst/>
          </c:spPr>
          <c:marker>
            <c:symbol val="triangle"/>
            <c:size val="6"/>
            <c:spPr>
              <a:solidFill>
                <a:schemeClr val="accent3"/>
              </a:solidFill>
              <a:ln w="9525">
                <a:solidFill>
                  <a:schemeClr val="accent3"/>
                </a:solidFill>
                <a:round/>
              </a:ln>
              <a:effectLst/>
            </c:spPr>
          </c:marker>
          <c:xVal>
            <c:numRef>
              <c:f>'ANOVA - Dont Reject H0'!$A$4:$A$18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'ANOVA - Dont Reject H0'!$D$4:$D$18</c:f>
              <c:numCache>
                <c:formatCode>General</c:formatCode>
                <c:ptCount val="15"/>
                <c:pt idx="0">
                  <c:v>-0.39899538775502924</c:v>
                </c:pt>
                <c:pt idx="1">
                  <c:v>-0.46455741015049057</c:v>
                </c:pt>
                <c:pt idx="2">
                  <c:v>0.87883114924418892</c:v>
                </c:pt>
                <c:pt idx="3">
                  <c:v>0.18083441286420709</c:v>
                </c:pt>
                <c:pt idx="4">
                  <c:v>-1.0450835786747115</c:v>
                </c:pt>
                <c:pt idx="5">
                  <c:v>0.42959994885474345</c:v>
                </c:pt>
                <c:pt idx="6">
                  <c:v>1.2665617163293694</c:v>
                </c:pt>
                <c:pt idx="7">
                  <c:v>3.8634647436464324E-2</c:v>
                </c:pt>
                <c:pt idx="8">
                  <c:v>-0.46054235996885134</c:v>
                </c:pt>
                <c:pt idx="9">
                  <c:v>-0.90777736726373037</c:v>
                </c:pt>
                <c:pt idx="10">
                  <c:v>-0.69575822288258882</c:v>
                </c:pt>
                <c:pt idx="11">
                  <c:v>-0.22870900961163584</c:v>
                </c:pt>
              </c:numCache>
            </c:numRef>
          </c:yVal>
          <c:smooth val="0"/>
          <c:extLst>
            <c:ext xmlns:c16="http://schemas.microsoft.com/office/drawing/2014/chart" uri="{C3380CC4-5D6E-409C-BE32-E72D297353CC}">
              <c16:uniqueId val="{00000002-1E23-48EC-A296-15FCD8C1940C}"/>
            </c:ext>
          </c:extLst>
        </c:ser>
        <c:ser>
          <c:idx val="3"/>
          <c:order val="3"/>
          <c:tx>
            <c:strRef>
              <c:f>'ANOVA - Dont Reject H0'!$E$3</c:f>
              <c:strCache>
                <c:ptCount val="1"/>
                <c:pt idx="0">
                  <c:v>Sample 4</c:v>
                </c:pt>
              </c:strCache>
            </c:strRef>
          </c:tx>
          <c:spPr>
            <a:ln w="25400" cap="rnd">
              <a:noFill/>
              <a:round/>
            </a:ln>
            <a:effectLst/>
          </c:spPr>
          <c:marker>
            <c:symbol val="x"/>
            <c:size val="6"/>
            <c:spPr>
              <a:noFill/>
              <a:ln w="9525">
                <a:solidFill>
                  <a:schemeClr val="accent4"/>
                </a:solidFill>
                <a:round/>
              </a:ln>
              <a:effectLst/>
            </c:spPr>
          </c:marker>
          <c:xVal>
            <c:numRef>
              <c:f>'ANOVA - Dont Reject H0'!$A$4:$A$18</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'ANOVA - Dont Reject H0'!$E$4:$E$18</c:f>
              <c:numCache>
                <c:formatCode>General</c:formatCode>
                <c:ptCount val="15"/>
                <c:pt idx="0">
                  <c:v>1.511115104539557</c:v>
                </c:pt>
                <c:pt idx="1">
                  <c:v>0.39118943661091166</c:v>
                </c:pt>
                <c:pt idx="2">
                  <c:v>-0.50153231251526686</c:v>
                </c:pt>
                <c:pt idx="3">
                  <c:v>-0.31946887747577069</c:v>
                </c:pt>
                <c:pt idx="4">
                  <c:v>0.18555675787986367</c:v>
                </c:pt>
                <c:pt idx="5">
                  <c:v>-1.0434433477136589</c:v>
                </c:pt>
                <c:pt idx="6">
                  <c:v>-0.21997064475642381</c:v>
                </c:pt>
                <c:pt idx="7">
                  <c:v>0.54075115802840246</c:v>
                </c:pt>
                <c:pt idx="8">
                  <c:v>-0.6256451573543772</c:v>
                </c:pt>
                <c:pt idx="9">
                  <c:v>-0.71634177286796308</c:v>
                </c:pt>
                <c:pt idx="10">
                  <c:v>0.409631179958375</c:v>
                </c:pt>
              </c:numCache>
            </c:numRef>
          </c:yVal>
          <c:smooth val="0"/>
          <c:extLst>
            <c:ext xmlns:c16="http://schemas.microsoft.com/office/drawing/2014/chart" uri="{C3380CC4-5D6E-409C-BE32-E72D297353CC}">
              <c16:uniqueId val="{00000003-1E23-48EC-A296-15FCD8C1940C}"/>
            </c:ext>
          </c:extLst>
        </c:ser>
        <c:dLbls>
          <c:showLegendKey val="0"/>
          <c:showVal val="0"/>
          <c:showCatName val="0"/>
          <c:showSerName val="0"/>
          <c:showPercent val="0"/>
          <c:showBubbleSize val="0"/>
        </c:dLbls>
        <c:axId val="127247824"/>
        <c:axId val="1265998032"/>
      </c:scatterChart>
      <c:valAx>
        <c:axId val="12724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265998032"/>
        <c:crosses val="autoZero"/>
        <c:crossBetween val="midCat"/>
      </c:valAx>
      <c:valAx>
        <c:axId val="126599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4782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4481</xdr:colOff>
      <xdr:row>0</xdr:row>
      <xdr:rowOff>0</xdr:rowOff>
    </xdr:from>
    <xdr:to>
      <xdr:col>16</xdr:col>
      <xdr:colOff>309281</xdr:colOff>
      <xdr:row>14</xdr:row>
      <xdr:rowOff>26894</xdr:rowOff>
    </xdr:to>
    <xdr:graphicFrame macro="">
      <xdr:nvGraphicFramePr>
        <xdr:cNvPr id="6" name="Chart 5">
          <a:extLst>
            <a:ext uri="{FF2B5EF4-FFF2-40B4-BE49-F238E27FC236}">
              <a16:creationId xmlns:a16="http://schemas.microsoft.com/office/drawing/2014/main" id="{B2BB3408-64CE-454C-AD06-856AB5684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3276</xdr:colOff>
      <xdr:row>18</xdr:row>
      <xdr:rowOff>147233</xdr:rowOff>
    </xdr:from>
    <xdr:to>
      <xdr:col>16</xdr:col>
      <xdr:colOff>308076</xdr:colOff>
      <xdr:row>32</xdr:row>
      <xdr:rowOff>128959</xdr:rowOff>
    </xdr:to>
    <xdr:graphicFrame macro="">
      <xdr:nvGraphicFramePr>
        <xdr:cNvPr id="7" name="Chart 6">
          <a:extLst>
            <a:ext uri="{FF2B5EF4-FFF2-40B4-BE49-F238E27FC236}">
              <a16:creationId xmlns:a16="http://schemas.microsoft.com/office/drawing/2014/main" id="{07D61293-527D-4CD0-8839-700BCEEDE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38</xdr:row>
      <xdr:rowOff>76205</xdr:rowOff>
    </xdr:from>
    <xdr:to>
      <xdr:col>17</xdr:col>
      <xdr:colOff>38100</xdr:colOff>
      <xdr:row>53</xdr:row>
      <xdr:rowOff>93789</xdr:rowOff>
    </xdr:to>
    <xdr:graphicFrame macro="">
      <xdr:nvGraphicFramePr>
        <xdr:cNvPr id="4" name="Chart 3">
          <a:extLst>
            <a:ext uri="{FF2B5EF4-FFF2-40B4-BE49-F238E27FC236}">
              <a16:creationId xmlns:a16="http://schemas.microsoft.com/office/drawing/2014/main" id="{E18227F5-C467-4746-AC86-FBE54D1F0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551329</xdr:colOff>
      <xdr:row>56</xdr:row>
      <xdr:rowOff>76200</xdr:rowOff>
    </xdr:from>
    <xdr:to>
      <xdr:col>17</xdr:col>
      <xdr:colOff>246529</xdr:colOff>
      <xdr:row>71</xdr:row>
      <xdr:rowOff>129988</xdr:rowOff>
    </xdr:to>
    <xdr:graphicFrame macro="">
      <xdr:nvGraphicFramePr>
        <xdr:cNvPr id="12" name="Chart 11">
          <a:extLst>
            <a:ext uri="{FF2B5EF4-FFF2-40B4-BE49-F238E27FC236}">
              <a16:creationId xmlns:a16="http://schemas.microsoft.com/office/drawing/2014/main" id="{ED96BFD3-0F70-4FDB-B3C8-FD36555C5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201706</xdr:colOff>
      <xdr:row>36</xdr:row>
      <xdr:rowOff>26895</xdr:rowOff>
    </xdr:from>
    <xdr:to>
      <xdr:col>5</xdr:col>
      <xdr:colOff>1138519</xdr:colOff>
      <xdr:row>57</xdr:row>
      <xdr:rowOff>106018</xdr:rowOff>
    </xdr:to>
    <xdr:graphicFrame macro="">
      <xdr:nvGraphicFramePr>
        <xdr:cNvPr id="5" name="Chart 4">
          <a:extLst>
            <a:ext uri="{FF2B5EF4-FFF2-40B4-BE49-F238E27FC236}">
              <a16:creationId xmlns:a16="http://schemas.microsoft.com/office/drawing/2014/main" id="{6C2E32E8-382E-462C-874C-F56F01BFB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138952</xdr:colOff>
      <xdr:row>36</xdr:row>
      <xdr:rowOff>1</xdr:rowOff>
    </xdr:from>
    <xdr:to>
      <xdr:col>4</xdr:col>
      <xdr:colOff>578223</xdr:colOff>
      <xdr:row>43</xdr:row>
      <xdr:rowOff>8965</xdr:rowOff>
    </xdr:to>
    <xdr:graphicFrame macro="">
      <xdr:nvGraphicFramePr>
        <xdr:cNvPr id="4" name="Chart 3">
          <a:extLst>
            <a:ext uri="{FF2B5EF4-FFF2-40B4-BE49-F238E27FC236}">
              <a16:creationId xmlns:a16="http://schemas.microsoft.com/office/drawing/2014/main" id="{00135CC6-3962-4F64-A27F-8D12E1598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zoomScaleNormal="100" workbookViewId="0">
      <pane ySplit="1" topLeftCell="A5" activePane="bottomLeft" state="frozen"/>
      <selection pane="bottomLeft" activeCell="E15" sqref="E15"/>
    </sheetView>
  </sheetViews>
  <sheetFormatPr defaultRowHeight="14.4" x14ac:dyDescent="0.3"/>
  <cols>
    <col min="1" max="1" width="19.5546875" customWidth="1"/>
    <col min="4" max="4" width="25.44140625" customWidth="1"/>
    <col min="5" max="5" width="11.88671875" customWidth="1"/>
  </cols>
  <sheetData>
    <row r="1" spans="1:7" x14ac:dyDescent="0.3">
      <c r="A1" s="2" t="s">
        <v>18</v>
      </c>
      <c r="D1" s="2" t="s">
        <v>31</v>
      </c>
      <c r="E1" s="10"/>
      <c r="F1" s="10"/>
      <c r="G1" s="10"/>
    </row>
    <row r="2" spans="1:7" x14ac:dyDescent="0.3">
      <c r="A2" s="1" t="s">
        <v>1</v>
      </c>
      <c r="B2" s="12">
        <v>0</v>
      </c>
      <c r="D2" s="1" t="s">
        <v>1</v>
      </c>
      <c r="E2" s="12">
        <v>0</v>
      </c>
      <c r="F2" s="11"/>
      <c r="G2" s="11"/>
    </row>
    <row r="3" spans="1:7" x14ac:dyDescent="0.3">
      <c r="A3" s="1" t="s">
        <v>19</v>
      </c>
      <c r="B3" s="12">
        <v>1</v>
      </c>
      <c r="D3" s="1" t="s">
        <v>32</v>
      </c>
      <c r="E3" s="12">
        <v>1</v>
      </c>
      <c r="F3" s="10"/>
      <c r="G3" s="10"/>
    </row>
    <row r="4" spans="1:7" x14ac:dyDescent="0.3">
      <c r="A4" s="1" t="s">
        <v>20</v>
      </c>
      <c r="B4" s="12">
        <v>1</v>
      </c>
      <c r="D4" s="1" t="s">
        <v>37</v>
      </c>
      <c r="E4" s="12">
        <v>100</v>
      </c>
      <c r="F4" s="10"/>
      <c r="G4" s="10"/>
    </row>
    <row r="5" spans="1:7" x14ac:dyDescent="0.3">
      <c r="A5" s="1" t="s">
        <v>21</v>
      </c>
      <c r="B5" s="1">
        <f>B3/SQRT(B4)</f>
        <v>1</v>
      </c>
      <c r="D5" s="1" t="s">
        <v>21</v>
      </c>
      <c r="E5" s="1">
        <f>E3/SQRT(E4)</f>
        <v>0.1</v>
      </c>
    </row>
    <row r="6" spans="1:7" x14ac:dyDescent="0.3">
      <c r="A6" s="1" t="s">
        <v>8</v>
      </c>
      <c r="B6" s="12">
        <v>0.95</v>
      </c>
      <c r="D6" s="1" t="s">
        <v>8</v>
      </c>
      <c r="E6" s="12">
        <v>0.95</v>
      </c>
    </row>
    <row r="7" spans="1:7" x14ac:dyDescent="0.3">
      <c r="A7" s="1" t="s">
        <v>22</v>
      </c>
      <c r="B7" s="1">
        <f>1-B6</f>
        <v>5.0000000000000044E-2</v>
      </c>
      <c r="D7" s="1" t="s">
        <v>22</v>
      </c>
      <c r="E7" s="1">
        <f>1-E6</f>
        <v>5.0000000000000044E-2</v>
      </c>
    </row>
    <row r="8" spans="1:7" ht="36.6" customHeight="1" x14ac:dyDescent="0.3">
      <c r="A8" s="1" t="s">
        <v>23</v>
      </c>
      <c r="B8" s="1">
        <f>ABS(_xlfn.NORM.INV(B7,0,1))</f>
        <v>1.6448536269514715</v>
      </c>
      <c r="D8" s="1" t="s">
        <v>33</v>
      </c>
      <c r="E8" s="1">
        <f>ABS(_xlfn.T.INV(E7,E4-1))</f>
        <v>1.6603911560169928</v>
      </c>
    </row>
    <row r="9" spans="1:7" ht="46.8" customHeight="1" x14ac:dyDescent="0.3">
      <c r="A9" s="1" t="s">
        <v>24</v>
      </c>
      <c r="B9" s="1">
        <f>B2+B8*B5</f>
        <v>1.6448536269514715</v>
      </c>
      <c r="D9" s="1" t="s">
        <v>24</v>
      </c>
      <c r="E9" s="1">
        <f>E2+E8*E5</f>
        <v>0.16603911560169929</v>
      </c>
    </row>
    <row r="10" spans="1:7" ht="40.200000000000003" customHeight="1" x14ac:dyDescent="0.3">
      <c r="A10" s="1" t="s">
        <v>25</v>
      </c>
      <c r="B10" s="1">
        <f>B2-B8*B5</f>
        <v>-1.6448536269514715</v>
      </c>
      <c r="D10" s="1" t="s">
        <v>25</v>
      </c>
      <c r="E10" s="1">
        <f>E2-E8*E5</f>
        <v>-0.16603911560169929</v>
      </c>
    </row>
    <row r="11" spans="1:7" x14ac:dyDescent="0.3">
      <c r="A11" s="1" t="s">
        <v>26</v>
      </c>
      <c r="B11" s="1">
        <f>ABS(_xlfn.NORM.INV(B7/2,0,1))</f>
        <v>1.9599639845400536</v>
      </c>
      <c r="D11" s="1" t="s">
        <v>34</v>
      </c>
      <c r="E11" s="1">
        <f>ABS(_xlfn.T.INV(E7/2,E4-1))</f>
        <v>1.9842169515864165</v>
      </c>
    </row>
    <row r="12" spans="1:7" x14ac:dyDescent="0.3">
      <c r="A12" s="1" t="s">
        <v>27</v>
      </c>
      <c r="B12" s="1">
        <f>B2+B11*B5</f>
        <v>1.9599639845400536</v>
      </c>
      <c r="D12" s="1" t="s">
        <v>27</v>
      </c>
      <c r="E12" s="1">
        <f>E2+E11*E5</f>
        <v>0.19842169515864166</v>
      </c>
    </row>
    <row r="13" spans="1:7" x14ac:dyDescent="0.3">
      <c r="A13" s="1" t="s">
        <v>28</v>
      </c>
      <c r="B13" s="1">
        <f>B2-B11*B5</f>
        <v>-1.9599639845400536</v>
      </c>
      <c r="D13" s="1" t="s">
        <v>28</v>
      </c>
      <c r="E13" s="1">
        <f>E2-E11*E5</f>
        <v>-0.19842169515864166</v>
      </c>
    </row>
    <row r="14" spans="1:7" x14ac:dyDescent="0.3">
      <c r="A14" s="1" t="s">
        <v>29</v>
      </c>
      <c r="B14" s="12">
        <v>0.5</v>
      </c>
      <c r="D14" s="1" t="s">
        <v>29</v>
      </c>
      <c r="E14" s="12">
        <v>0.1</v>
      </c>
    </row>
    <row r="15" spans="1:7" ht="43.2" x14ac:dyDescent="0.3">
      <c r="A15" s="13" t="s">
        <v>30</v>
      </c>
      <c r="B15" s="1">
        <f>ROUNDUP((B3*B11/B14)^2,0)</f>
        <v>16</v>
      </c>
      <c r="D15" s="13" t="s">
        <v>35</v>
      </c>
      <c r="E15" s="1">
        <f>ROUNDUP((E3*E11/E14)^2,0)</f>
        <v>394</v>
      </c>
    </row>
    <row r="16" spans="1:7" x14ac:dyDescent="0.3">
      <c r="A16" s="14" t="s">
        <v>36</v>
      </c>
      <c r="B16">
        <f>(B12-B13)/2</f>
        <v>1.9599639845400536</v>
      </c>
      <c r="D16" s="14" t="s">
        <v>36</v>
      </c>
      <c r="E16">
        <f>(E12-E13)/2</f>
        <v>0.19842169515864166</v>
      </c>
    </row>
    <row r="17" spans="1:1" x14ac:dyDescent="0.3">
      <c r="A17"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9537-D3E3-47D2-A4BC-FB1C8614A7C5}">
  <dimension ref="A1:I72"/>
  <sheetViews>
    <sheetView topLeftCell="A13" zoomScale="85" zoomScaleNormal="85" workbookViewId="0">
      <selection activeCell="A20" sqref="A20:C23"/>
    </sheetView>
  </sheetViews>
  <sheetFormatPr defaultRowHeight="14.4" x14ac:dyDescent="0.3"/>
  <cols>
    <col min="1" max="1" width="22.77734375" style="10" customWidth="1"/>
    <col min="2" max="2" width="16.33203125" style="22" customWidth="1"/>
    <col min="3" max="6" width="8.88671875" style="10"/>
    <col min="7" max="7" width="12.44140625" style="10" customWidth="1"/>
    <col min="8" max="16384" width="8.88671875" style="10"/>
  </cols>
  <sheetData>
    <row r="1" spans="1:8" customFormat="1" ht="30" customHeight="1" x14ac:dyDescent="0.3">
      <c r="B1" s="4"/>
      <c r="D1" s="79" t="s">
        <v>11</v>
      </c>
      <c r="E1" s="79"/>
      <c r="F1" s="79"/>
      <c r="G1" s="79"/>
      <c r="H1" s="5">
        <f>B2+B3/SQRT(B4)*B7</f>
        <v>1.6448536269514726</v>
      </c>
    </row>
    <row r="2" spans="1:8" customFormat="1" x14ac:dyDescent="0.3">
      <c r="A2" s="2" t="s">
        <v>9</v>
      </c>
      <c r="B2" s="9">
        <v>0</v>
      </c>
      <c r="D2" s="2" t="s">
        <v>6</v>
      </c>
      <c r="E2" s="3" t="s">
        <v>0</v>
      </c>
      <c r="F2" s="3" t="s">
        <v>7</v>
      </c>
      <c r="G2" s="3" t="s">
        <v>5</v>
      </c>
    </row>
    <row r="3" spans="1:8" customFormat="1" x14ac:dyDescent="0.3">
      <c r="A3" s="2" t="s">
        <v>10</v>
      </c>
      <c r="B3" s="9">
        <v>1</v>
      </c>
      <c r="D3" s="1">
        <v>0</v>
      </c>
      <c r="E3" s="1">
        <f>$B$2+D3*0.25</f>
        <v>0</v>
      </c>
      <c r="F3" s="1">
        <f>($H$1-E3)/($B$3/SQRT($B$4))</f>
        <v>1.6448536269514726</v>
      </c>
      <c r="G3" s="1">
        <f>_xlfn.NORM.DIST(F3,0,1,1)</f>
        <v>0.95</v>
      </c>
    </row>
    <row r="4" spans="1:8" customFormat="1" x14ac:dyDescent="0.3">
      <c r="A4" s="2" t="s">
        <v>4</v>
      </c>
      <c r="B4" s="9">
        <v>1</v>
      </c>
      <c r="D4" s="1">
        <v>1</v>
      </c>
      <c r="E4" s="1">
        <f t="shared" ref="E4:E18" si="0">$B$2+D4*0.25</f>
        <v>0.25</v>
      </c>
      <c r="F4" s="1">
        <f t="shared" ref="F4:F18" si="1">($H$1-E4)/($B$3/SQRT($B$4))</f>
        <v>1.3948536269514726</v>
      </c>
      <c r="G4" s="1">
        <f t="shared" ref="G4:G18" si="2">_xlfn.NORM.DIST(F4,0,1,1)</f>
        <v>0.91847000822488178</v>
      </c>
    </row>
    <row r="5" spans="1:8" customFormat="1" x14ac:dyDescent="0.3">
      <c r="A5" s="2" t="s">
        <v>1</v>
      </c>
      <c r="B5" s="5">
        <v>0</v>
      </c>
      <c r="D5" s="1">
        <v>2</v>
      </c>
      <c r="E5" s="1">
        <f t="shared" si="0"/>
        <v>0.5</v>
      </c>
      <c r="F5" s="1">
        <f t="shared" si="1"/>
        <v>1.1448536269514726</v>
      </c>
      <c r="G5" s="1">
        <f t="shared" si="2"/>
        <v>0.87386510180656973</v>
      </c>
    </row>
    <row r="6" spans="1:8" customFormat="1" x14ac:dyDescent="0.3">
      <c r="A6" s="3" t="s">
        <v>2</v>
      </c>
      <c r="B6" s="9">
        <v>0.05</v>
      </c>
      <c r="D6" s="1">
        <v>3</v>
      </c>
      <c r="E6" s="1">
        <f t="shared" si="0"/>
        <v>0.75</v>
      </c>
      <c r="F6" s="1">
        <f t="shared" si="1"/>
        <v>0.89485362695147264</v>
      </c>
      <c r="G6" s="1">
        <f t="shared" si="2"/>
        <v>0.81456733056922281</v>
      </c>
    </row>
    <row r="7" spans="1:8" customFormat="1" x14ac:dyDescent="0.3">
      <c r="A7" s="3" t="s">
        <v>3</v>
      </c>
      <c r="B7" s="5">
        <f>ABS(_xlfn.NORM.INV(B6,0,1))</f>
        <v>1.6448536269514726</v>
      </c>
      <c r="D7" s="1">
        <v>4</v>
      </c>
      <c r="E7" s="1">
        <f t="shared" si="0"/>
        <v>1</v>
      </c>
      <c r="F7" s="1">
        <f t="shared" si="1"/>
        <v>0.64485362695147264</v>
      </c>
      <c r="G7" s="1">
        <f t="shared" si="2"/>
        <v>0.74048897715855599</v>
      </c>
    </row>
    <row r="8" spans="1:8" customFormat="1" ht="28.8" x14ac:dyDescent="0.3">
      <c r="A8" s="6" t="s">
        <v>11</v>
      </c>
      <c r="B8" s="5">
        <f>B2+B3/SQRT(B4)*B7</f>
        <v>1.6448536269514726</v>
      </c>
      <c r="D8" s="1">
        <v>5</v>
      </c>
      <c r="E8" s="1">
        <f t="shared" si="0"/>
        <v>1.25</v>
      </c>
      <c r="F8" s="1">
        <f t="shared" si="1"/>
        <v>0.39485362695147264</v>
      </c>
      <c r="G8" s="1">
        <f t="shared" si="2"/>
        <v>0.65352454238696323</v>
      </c>
    </row>
    <row r="9" spans="1:8" customFormat="1" ht="28.8" x14ac:dyDescent="0.3">
      <c r="A9" s="6" t="s">
        <v>12</v>
      </c>
      <c r="B9" s="5">
        <f>B2-B3/SQRT(B4)*B7</f>
        <v>-1.6448536269514726</v>
      </c>
      <c r="D9" s="1">
        <v>6</v>
      </c>
      <c r="E9" s="1">
        <f t="shared" si="0"/>
        <v>1.5</v>
      </c>
      <c r="F9" s="1">
        <f t="shared" si="1"/>
        <v>0.14485362695147264</v>
      </c>
      <c r="G9" s="1">
        <f t="shared" si="2"/>
        <v>0.55758677974987658</v>
      </c>
    </row>
    <row r="10" spans="1:8" customFormat="1" x14ac:dyDescent="0.3">
      <c r="A10" s="7" t="s">
        <v>14</v>
      </c>
      <c r="B10" s="5">
        <f>ABS(_xlfn.NORM.INV(B6/2,0,1))</f>
        <v>1.9599639845400538</v>
      </c>
      <c r="D10" s="1">
        <v>7</v>
      </c>
      <c r="E10" s="1">
        <f t="shared" si="0"/>
        <v>1.75</v>
      </c>
      <c r="F10" s="1">
        <f t="shared" si="1"/>
        <v>-0.10514637304852736</v>
      </c>
      <c r="G10" s="1">
        <f t="shared" si="2"/>
        <v>0.45812983142251279</v>
      </c>
    </row>
    <row r="11" spans="1:8" customFormat="1" ht="28.8" x14ac:dyDescent="0.3">
      <c r="A11" s="8" t="s">
        <v>13</v>
      </c>
      <c r="B11" s="9">
        <f>B2-B10*B3/SQRT(B4)</f>
        <v>-1.9599639845400538</v>
      </c>
      <c r="D11" s="1">
        <v>8</v>
      </c>
      <c r="E11" s="1">
        <f t="shared" si="0"/>
        <v>2</v>
      </c>
      <c r="F11" s="1">
        <f t="shared" si="1"/>
        <v>-0.35514637304852736</v>
      </c>
      <c r="G11" s="1">
        <f t="shared" si="2"/>
        <v>0.36123996868766484</v>
      </c>
    </row>
    <row r="12" spans="1:8" customFormat="1" ht="28.8" x14ac:dyDescent="0.3">
      <c r="A12" s="8" t="s">
        <v>15</v>
      </c>
      <c r="B12" s="9">
        <f>B2+B10*B3/SQRT(B4)</f>
        <v>1.9599639845400538</v>
      </c>
      <c r="D12" s="1">
        <v>9</v>
      </c>
      <c r="E12" s="1">
        <f t="shared" si="0"/>
        <v>2.25</v>
      </c>
      <c r="F12" s="1">
        <f t="shared" si="1"/>
        <v>-0.60514637304852736</v>
      </c>
      <c r="G12" s="1">
        <f t="shared" si="2"/>
        <v>0.27254087211557076</v>
      </c>
    </row>
    <row r="13" spans="1:8" customFormat="1" ht="28.8" x14ac:dyDescent="0.3">
      <c r="A13" s="7" t="s">
        <v>46</v>
      </c>
      <c r="B13" s="26">
        <v>4.99E-2</v>
      </c>
      <c r="D13" s="1">
        <v>10</v>
      </c>
      <c r="E13" s="1">
        <f t="shared" si="0"/>
        <v>2.5</v>
      </c>
      <c r="F13" s="1">
        <f t="shared" si="1"/>
        <v>-0.85514637304852736</v>
      </c>
      <c r="G13" s="1">
        <f t="shared" si="2"/>
        <v>0.19623505998450622</v>
      </c>
    </row>
    <row r="14" spans="1:8" customFormat="1" x14ac:dyDescent="0.3">
      <c r="A14" s="7" t="s">
        <v>45</v>
      </c>
      <c r="B14" s="10">
        <f>_xlfn.NORM.INV(B13,B2,B3/SQRT(B4))</f>
        <v>-1.6458239980325582</v>
      </c>
      <c r="C14" s="24"/>
      <c r="D14" s="23">
        <v>11</v>
      </c>
      <c r="E14" s="1">
        <f t="shared" si="0"/>
        <v>2.75</v>
      </c>
      <c r="F14" s="1">
        <f t="shared" si="1"/>
        <v>-1.1051463730485274</v>
      </c>
      <c r="G14" s="1">
        <f t="shared" si="2"/>
        <v>0.13454808473897575</v>
      </c>
    </row>
    <row r="15" spans="1:8" customFormat="1" x14ac:dyDescent="0.3">
      <c r="A15" s="7" t="s">
        <v>47</v>
      </c>
      <c r="B15" s="11">
        <f>_xlfn.NORM.DIST(B5,B2,B3/SQRT(B4),1)</f>
        <v>0.5</v>
      </c>
      <c r="C15" s="25"/>
      <c r="D15" s="23">
        <v>12</v>
      </c>
      <c r="E15" s="1">
        <f t="shared" si="0"/>
        <v>3</v>
      </c>
      <c r="F15" s="1">
        <f t="shared" si="1"/>
        <v>-1.3551463730485274</v>
      </c>
      <c r="G15" s="1">
        <f t="shared" si="2"/>
        <v>8.7685463249703541E-2</v>
      </c>
    </row>
    <row r="16" spans="1:8" customFormat="1" x14ac:dyDescent="0.3">
      <c r="A16" s="10"/>
      <c r="B16" s="10"/>
      <c r="C16" s="24"/>
      <c r="D16" s="23">
        <v>13</v>
      </c>
      <c r="E16" s="1">
        <f t="shared" si="0"/>
        <v>3.25</v>
      </c>
      <c r="F16" s="1">
        <f t="shared" si="1"/>
        <v>-1.6051463730485274</v>
      </c>
      <c r="G16" s="1">
        <f t="shared" si="2"/>
        <v>5.4230797976744703E-2</v>
      </c>
    </row>
    <row r="17" spans="1:8" customFormat="1" x14ac:dyDescent="0.3">
      <c r="A17" s="10"/>
      <c r="B17" s="10"/>
      <c r="C17" s="24"/>
      <c r="D17" s="23">
        <v>14</v>
      </c>
      <c r="E17" s="1">
        <f t="shared" si="0"/>
        <v>3.5</v>
      </c>
      <c r="F17" s="1">
        <f t="shared" si="1"/>
        <v>-1.8551463730485274</v>
      </c>
      <c r="G17" s="1">
        <f t="shared" si="2"/>
        <v>3.1787663605060933E-2</v>
      </c>
    </row>
    <row r="18" spans="1:8" customFormat="1" x14ac:dyDescent="0.3">
      <c r="B18" s="4"/>
      <c r="D18" s="1">
        <v>15</v>
      </c>
      <c r="E18" s="1">
        <f t="shared" si="0"/>
        <v>3.75</v>
      </c>
      <c r="F18" s="1">
        <f t="shared" si="1"/>
        <v>-2.1051463730485276</v>
      </c>
      <c r="G18" s="1">
        <f t="shared" si="2"/>
        <v>1.7639284324497559E-2</v>
      </c>
    </row>
    <row r="19" spans="1:8" customFormat="1" ht="15" thickBot="1" x14ac:dyDescent="0.35">
      <c r="B19" s="4"/>
    </row>
    <row r="20" spans="1:8" customFormat="1" ht="31.2" customHeight="1" x14ac:dyDescent="0.3">
      <c r="B20" s="28" t="s">
        <v>48</v>
      </c>
      <c r="C20" s="29" t="s">
        <v>49</v>
      </c>
      <c r="D20" s="80" t="s">
        <v>12</v>
      </c>
      <c r="E20" s="79"/>
      <c r="F20" s="79"/>
      <c r="G20" s="79"/>
      <c r="H20" s="5">
        <f>B2-B3/SQRT(B4)*B7</f>
        <v>-1.6448536269514726</v>
      </c>
    </row>
    <row r="21" spans="1:8" customFormat="1" ht="15" thickBot="1" x14ac:dyDescent="0.35">
      <c r="B21" s="30"/>
      <c r="C21" s="31"/>
      <c r="D21" s="27" t="s">
        <v>6</v>
      </c>
      <c r="E21" s="3" t="s">
        <v>0</v>
      </c>
      <c r="F21" s="3" t="s">
        <v>7</v>
      </c>
      <c r="G21" s="3" t="s">
        <v>5</v>
      </c>
    </row>
    <row r="22" spans="1:8" customFormat="1" x14ac:dyDescent="0.3">
      <c r="A22" s="34" t="s">
        <v>51</v>
      </c>
      <c r="B22" s="30"/>
      <c r="C22" s="31"/>
      <c r="D22" s="23">
        <v>0</v>
      </c>
      <c r="E22" s="1">
        <f>$B$2-D22*0.25</f>
        <v>0</v>
      </c>
      <c r="F22" s="1">
        <f>($H$20-E22)/($B$3/SQRT($B$4))</f>
        <v>-1.6448536269514726</v>
      </c>
      <c r="G22" s="1">
        <f>1-_xlfn.NORM.DIST(F22,0,1,1)</f>
        <v>0.95</v>
      </c>
    </row>
    <row r="23" spans="1:8" customFormat="1" ht="15" thickBot="1" x14ac:dyDescent="0.35">
      <c r="A23" s="35" t="s">
        <v>50</v>
      </c>
      <c r="B23" s="32"/>
      <c r="C23" s="33"/>
      <c r="D23" s="23">
        <v>1</v>
      </c>
      <c r="E23" s="1">
        <f t="shared" ref="E23:E37" si="3">$B$2-D23*0.25</f>
        <v>-0.25</v>
      </c>
      <c r="F23" s="1">
        <f t="shared" ref="F23:F37" si="4">($H$20-E23)/($B$3/SQRT($B$4))</f>
        <v>-1.3948536269514726</v>
      </c>
      <c r="G23" s="1">
        <f t="shared" ref="G23:G37" si="5">1-_xlfn.NORM.DIST(F23,0,1,1)</f>
        <v>0.91847000822488178</v>
      </c>
    </row>
    <row r="24" spans="1:8" customFormat="1" x14ac:dyDescent="0.3">
      <c r="B24" s="4"/>
      <c r="D24" s="1">
        <v>2</v>
      </c>
      <c r="E24" s="1">
        <f t="shared" si="3"/>
        <v>-0.5</v>
      </c>
      <c r="F24" s="1">
        <f t="shared" si="4"/>
        <v>-1.1448536269514726</v>
      </c>
      <c r="G24" s="1">
        <f t="shared" si="5"/>
        <v>0.87386510180656973</v>
      </c>
    </row>
    <row r="25" spans="1:8" customFormat="1" x14ac:dyDescent="0.3">
      <c r="B25" s="4"/>
      <c r="D25" s="1">
        <v>3</v>
      </c>
      <c r="E25" s="1">
        <f t="shared" si="3"/>
        <v>-0.75</v>
      </c>
      <c r="F25" s="1">
        <f t="shared" si="4"/>
        <v>-0.89485362695147264</v>
      </c>
      <c r="G25" s="1">
        <f t="shared" si="5"/>
        <v>0.81456733056922281</v>
      </c>
    </row>
    <row r="26" spans="1:8" customFormat="1" x14ac:dyDescent="0.3">
      <c r="B26" s="4"/>
      <c r="D26" s="1">
        <v>4</v>
      </c>
      <c r="E26" s="1">
        <f t="shared" si="3"/>
        <v>-1</v>
      </c>
      <c r="F26" s="1">
        <f t="shared" si="4"/>
        <v>-0.64485362695147264</v>
      </c>
      <c r="G26" s="1">
        <f t="shared" si="5"/>
        <v>0.74048897715855599</v>
      </c>
    </row>
    <row r="27" spans="1:8" customFormat="1" x14ac:dyDescent="0.3">
      <c r="B27" s="4"/>
      <c r="D27" s="1">
        <v>5</v>
      </c>
      <c r="E27" s="1">
        <f t="shared" si="3"/>
        <v>-1.25</v>
      </c>
      <c r="F27" s="1">
        <f t="shared" si="4"/>
        <v>-0.39485362695147264</v>
      </c>
      <c r="G27" s="1">
        <f t="shared" si="5"/>
        <v>0.65352454238696323</v>
      </c>
    </row>
    <row r="28" spans="1:8" customFormat="1" x14ac:dyDescent="0.3">
      <c r="B28" s="4"/>
      <c r="D28" s="1">
        <v>6</v>
      </c>
      <c r="E28" s="1">
        <f t="shared" si="3"/>
        <v>-1.5</v>
      </c>
      <c r="F28" s="1">
        <f t="shared" si="4"/>
        <v>-0.14485362695147264</v>
      </c>
      <c r="G28" s="1">
        <f t="shared" si="5"/>
        <v>0.55758677974987658</v>
      </c>
    </row>
    <row r="29" spans="1:8" customFormat="1" x14ac:dyDescent="0.3">
      <c r="B29" s="4"/>
      <c r="D29" s="1">
        <v>7</v>
      </c>
      <c r="E29" s="1">
        <f t="shared" si="3"/>
        <v>-1.75</v>
      </c>
      <c r="F29" s="1">
        <f t="shared" si="4"/>
        <v>0.10514637304852736</v>
      </c>
      <c r="G29" s="1">
        <f t="shared" si="5"/>
        <v>0.45812983142251285</v>
      </c>
    </row>
    <row r="30" spans="1:8" customFormat="1" x14ac:dyDescent="0.3">
      <c r="B30" s="4"/>
      <c r="D30" s="1">
        <v>8</v>
      </c>
      <c r="E30" s="1">
        <f t="shared" si="3"/>
        <v>-2</v>
      </c>
      <c r="F30" s="1">
        <f t="shared" si="4"/>
        <v>0.35514637304852736</v>
      </c>
      <c r="G30" s="1">
        <f t="shared" si="5"/>
        <v>0.36123996868766484</v>
      </c>
    </row>
    <row r="31" spans="1:8" customFormat="1" x14ac:dyDescent="0.3">
      <c r="B31" s="4"/>
      <c r="D31" s="1">
        <v>9</v>
      </c>
      <c r="E31" s="1">
        <f t="shared" si="3"/>
        <v>-2.25</v>
      </c>
      <c r="F31" s="1">
        <f t="shared" si="4"/>
        <v>0.60514637304852736</v>
      </c>
      <c r="G31" s="1">
        <f t="shared" si="5"/>
        <v>0.27254087211557076</v>
      </c>
    </row>
    <row r="32" spans="1:8" customFormat="1" x14ac:dyDescent="0.3">
      <c r="B32" s="4"/>
      <c r="D32" s="1">
        <v>10</v>
      </c>
      <c r="E32" s="1">
        <f t="shared" si="3"/>
        <v>-2.5</v>
      </c>
      <c r="F32" s="1">
        <f t="shared" si="4"/>
        <v>0.85514637304852736</v>
      </c>
      <c r="G32" s="1">
        <f t="shared" si="5"/>
        <v>0.19623505998450619</v>
      </c>
    </row>
    <row r="33" spans="2:9" customFormat="1" x14ac:dyDescent="0.3">
      <c r="B33" s="4"/>
      <c r="D33" s="1">
        <v>11</v>
      </c>
      <c r="E33" s="1">
        <f t="shared" si="3"/>
        <v>-2.75</v>
      </c>
      <c r="F33" s="1">
        <f t="shared" si="4"/>
        <v>1.1051463730485274</v>
      </c>
      <c r="G33" s="1">
        <f t="shared" si="5"/>
        <v>0.13454808473897573</v>
      </c>
    </row>
    <row r="34" spans="2:9" customFormat="1" x14ac:dyDescent="0.3">
      <c r="B34" s="4"/>
      <c r="D34" s="1">
        <v>12</v>
      </c>
      <c r="E34" s="1">
        <f t="shared" si="3"/>
        <v>-3</v>
      </c>
      <c r="F34" s="1">
        <f t="shared" si="4"/>
        <v>1.3551463730485274</v>
      </c>
      <c r="G34" s="1">
        <f t="shared" si="5"/>
        <v>8.7685463249703499E-2</v>
      </c>
    </row>
    <row r="35" spans="2:9" customFormat="1" x14ac:dyDescent="0.3">
      <c r="B35" s="4"/>
      <c r="D35" s="1">
        <v>13</v>
      </c>
      <c r="E35" s="1">
        <f t="shared" si="3"/>
        <v>-3.25</v>
      </c>
      <c r="F35" s="1">
        <f t="shared" si="4"/>
        <v>1.6051463730485274</v>
      </c>
      <c r="G35" s="1">
        <f t="shared" si="5"/>
        <v>5.4230797976744682E-2</v>
      </c>
    </row>
    <row r="36" spans="2:9" customFormat="1" x14ac:dyDescent="0.3">
      <c r="B36" s="4"/>
      <c r="D36" s="1">
        <v>14</v>
      </c>
      <c r="E36" s="1">
        <f t="shared" si="3"/>
        <v>-3.5</v>
      </c>
      <c r="F36" s="1">
        <f t="shared" si="4"/>
        <v>1.8551463730485274</v>
      </c>
      <c r="G36" s="1">
        <f t="shared" si="5"/>
        <v>3.1787663605060912E-2</v>
      </c>
    </row>
    <row r="37" spans="2:9" customFormat="1" x14ac:dyDescent="0.3">
      <c r="B37" s="4"/>
      <c r="D37" s="1">
        <v>15</v>
      </c>
      <c r="E37" s="1">
        <f t="shared" si="3"/>
        <v>-3.75</v>
      </c>
      <c r="F37" s="1">
        <f t="shared" si="4"/>
        <v>2.1051463730485276</v>
      </c>
      <c r="G37" s="1">
        <f t="shared" si="5"/>
        <v>1.7639284324497573E-2</v>
      </c>
    </row>
    <row r="38" spans="2:9" customFormat="1" x14ac:dyDescent="0.3">
      <c r="B38" s="4"/>
    </row>
    <row r="39" spans="2:9" customFormat="1" x14ac:dyDescent="0.3">
      <c r="B39" s="4"/>
    </row>
    <row r="40" spans="2:9" customFormat="1" x14ac:dyDescent="0.3">
      <c r="B40" s="4"/>
      <c r="D40" s="2" t="s">
        <v>6</v>
      </c>
      <c r="E40" s="3" t="s">
        <v>0</v>
      </c>
      <c r="F40" s="3" t="s">
        <v>17</v>
      </c>
      <c r="G40" s="3" t="s">
        <v>16</v>
      </c>
      <c r="H40" s="3" t="s">
        <v>8</v>
      </c>
      <c r="I40" s="3" t="s">
        <v>5</v>
      </c>
    </row>
    <row r="41" spans="2:9" customFormat="1" x14ac:dyDescent="0.3">
      <c r="B41" s="4"/>
      <c r="D41" s="1">
        <v>-6</v>
      </c>
      <c r="E41" s="1">
        <f>$B$2+D41*0.5</f>
        <v>-3</v>
      </c>
      <c r="F41" s="1">
        <f>($B$11-E41)/(B$3/SQRT(B$4))</f>
        <v>1.0400360154599462</v>
      </c>
      <c r="G41" s="1">
        <f t="shared" ref="G41:G53" si="6">($B$12-E41)/(B$3/SQRT(B$4))</f>
        <v>4.959963984540054</v>
      </c>
      <c r="H41" s="1">
        <f>_xlfn.NORM.DIST(G41,0,1,1) - _xlfn.NORM.DIST(F41,0,1,1)</f>
        <v>0.14916123167294371</v>
      </c>
      <c r="I41" s="1">
        <f>1-H41</f>
        <v>0.85083876832705629</v>
      </c>
    </row>
    <row r="42" spans="2:9" customFormat="1" x14ac:dyDescent="0.3">
      <c r="B42" s="4"/>
      <c r="D42" s="1">
        <v>-5</v>
      </c>
      <c r="E42" s="1">
        <f t="shared" ref="E42:E53" si="7">$B$2+D42*0.5</f>
        <v>-2.5</v>
      </c>
      <c r="F42" s="1">
        <f t="shared" ref="F42:F53" si="8">($B$11-E42)/(B$3/SQRT(B$4))</f>
        <v>0.54003601545994617</v>
      </c>
      <c r="G42" s="1">
        <f t="shared" si="6"/>
        <v>4.459963984540054</v>
      </c>
      <c r="H42" s="1">
        <f t="shared" ref="H42:H53" si="9">_xlfn.NORM.DIST(G42,0,1,1) - _xlfn.NORM.DIST(F42,0,1,1)</f>
        <v>0.29458199888619963</v>
      </c>
      <c r="I42" s="1">
        <f t="shared" ref="I42:I53" si="10">1-H42</f>
        <v>0.70541800111380037</v>
      </c>
    </row>
    <row r="43" spans="2:9" customFormat="1" x14ac:dyDescent="0.3">
      <c r="B43" s="4"/>
      <c r="D43" s="1">
        <v>-4</v>
      </c>
      <c r="E43" s="1">
        <f t="shared" si="7"/>
        <v>-2</v>
      </c>
      <c r="F43" s="1">
        <f t="shared" si="8"/>
        <v>4.0036015459946173E-2</v>
      </c>
      <c r="G43" s="1">
        <f t="shared" si="6"/>
        <v>3.959963984540054</v>
      </c>
      <c r="H43" s="1">
        <f t="shared" si="9"/>
        <v>0.48399472602382509</v>
      </c>
      <c r="I43" s="1">
        <f t="shared" si="10"/>
        <v>0.51600527397617491</v>
      </c>
    </row>
    <row r="44" spans="2:9" customFormat="1" x14ac:dyDescent="0.3">
      <c r="B44" s="4"/>
      <c r="D44" s="1">
        <v>-3</v>
      </c>
      <c r="E44" s="1">
        <f t="shared" si="7"/>
        <v>-1.5</v>
      </c>
      <c r="F44" s="1">
        <f t="shared" si="8"/>
        <v>-0.45996398454005383</v>
      </c>
      <c r="G44" s="1">
        <f t="shared" si="6"/>
        <v>3.459963984540054</v>
      </c>
      <c r="H44" s="1">
        <f t="shared" si="9"/>
        <v>0.67695884022319497</v>
      </c>
      <c r="I44" s="1">
        <f t="shared" si="10"/>
        <v>0.32304115977680503</v>
      </c>
    </row>
    <row r="45" spans="2:9" customFormat="1" x14ac:dyDescent="0.3">
      <c r="B45" s="4"/>
      <c r="D45" s="1">
        <v>-2</v>
      </c>
      <c r="E45" s="1">
        <f t="shared" si="7"/>
        <v>-1</v>
      </c>
      <c r="F45" s="1">
        <f t="shared" si="8"/>
        <v>-0.95996398454005383</v>
      </c>
      <c r="G45" s="1">
        <f t="shared" si="6"/>
        <v>2.959963984540054</v>
      </c>
      <c r="H45" s="1">
        <f t="shared" si="9"/>
        <v>0.82992495424691248</v>
      </c>
      <c r="I45" s="1">
        <f t="shared" si="10"/>
        <v>0.17007504575308752</v>
      </c>
    </row>
    <row r="46" spans="2:9" customFormat="1" x14ac:dyDescent="0.3">
      <c r="B46" s="4"/>
      <c r="D46" s="1">
        <v>-1</v>
      </c>
      <c r="E46" s="1">
        <f t="shared" si="7"/>
        <v>-0.5</v>
      </c>
      <c r="F46" s="1">
        <f t="shared" si="8"/>
        <v>-1.4599639845400538</v>
      </c>
      <c r="G46" s="1">
        <f t="shared" si="6"/>
        <v>2.459963984540054</v>
      </c>
      <c r="H46" s="1">
        <f t="shared" si="9"/>
        <v>0.92090246583940338</v>
      </c>
      <c r="I46" s="1">
        <f t="shared" si="10"/>
        <v>7.9097534160596616E-2</v>
      </c>
    </row>
    <row r="47" spans="2:9" customFormat="1" x14ac:dyDescent="0.3">
      <c r="B47" s="4"/>
      <c r="D47" s="1">
        <v>0</v>
      </c>
      <c r="E47" s="1">
        <f t="shared" si="7"/>
        <v>0</v>
      </c>
      <c r="F47" s="1">
        <f t="shared" si="8"/>
        <v>-1.9599639845400538</v>
      </c>
      <c r="G47" s="1">
        <f t="shared" si="6"/>
        <v>1.9599639845400538</v>
      </c>
      <c r="H47" s="1">
        <f t="shared" si="9"/>
        <v>0.95</v>
      </c>
      <c r="I47" s="1">
        <f t="shared" si="10"/>
        <v>5.0000000000000044E-2</v>
      </c>
    </row>
    <row r="48" spans="2:9" customFormat="1" x14ac:dyDescent="0.3">
      <c r="B48" s="4"/>
      <c r="D48" s="1">
        <v>1</v>
      </c>
      <c r="E48" s="1">
        <f t="shared" si="7"/>
        <v>0.5</v>
      </c>
      <c r="F48" s="1">
        <f t="shared" si="8"/>
        <v>-2.459963984540054</v>
      </c>
      <c r="G48" s="1">
        <f t="shared" si="6"/>
        <v>1.4599639845400538</v>
      </c>
      <c r="H48" s="1">
        <f t="shared" si="9"/>
        <v>0.92090246583940338</v>
      </c>
      <c r="I48" s="1">
        <f t="shared" si="10"/>
        <v>7.9097534160596616E-2</v>
      </c>
    </row>
    <row r="49" spans="2:9" customFormat="1" x14ac:dyDescent="0.3">
      <c r="B49" s="4"/>
      <c r="D49" s="1">
        <v>2</v>
      </c>
      <c r="E49" s="1">
        <f t="shared" si="7"/>
        <v>1</v>
      </c>
      <c r="F49" s="1">
        <f t="shared" si="8"/>
        <v>-2.959963984540054</v>
      </c>
      <c r="G49" s="1">
        <f t="shared" si="6"/>
        <v>0.95996398454005383</v>
      </c>
      <c r="H49" s="1">
        <f t="shared" si="9"/>
        <v>0.82992495424691248</v>
      </c>
      <c r="I49" s="1">
        <f t="shared" si="10"/>
        <v>0.17007504575308752</v>
      </c>
    </row>
    <row r="50" spans="2:9" customFormat="1" x14ac:dyDescent="0.3">
      <c r="B50" s="4"/>
      <c r="D50" s="1">
        <v>3</v>
      </c>
      <c r="E50" s="1">
        <f t="shared" si="7"/>
        <v>1.5</v>
      </c>
      <c r="F50" s="1">
        <f t="shared" si="8"/>
        <v>-3.459963984540054</v>
      </c>
      <c r="G50" s="1">
        <f t="shared" si="6"/>
        <v>0.45996398454005383</v>
      </c>
      <c r="H50" s="1">
        <f t="shared" si="9"/>
        <v>0.67695884022319497</v>
      </c>
      <c r="I50" s="1">
        <f t="shared" si="10"/>
        <v>0.32304115977680503</v>
      </c>
    </row>
    <row r="51" spans="2:9" customFormat="1" x14ac:dyDescent="0.3">
      <c r="B51" s="4"/>
      <c r="D51" s="1">
        <v>4</v>
      </c>
      <c r="E51" s="1">
        <f t="shared" si="7"/>
        <v>2</v>
      </c>
      <c r="F51" s="1">
        <f t="shared" si="8"/>
        <v>-3.959963984540054</v>
      </c>
      <c r="G51" s="1">
        <f t="shared" si="6"/>
        <v>-4.0036015459946173E-2</v>
      </c>
      <c r="H51" s="1">
        <f t="shared" si="9"/>
        <v>0.48399472602382509</v>
      </c>
      <c r="I51" s="1">
        <f t="shared" si="10"/>
        <v>0.51600527397617491</v>
      </c>
    </row>
    <row r="52" spans="2:9" customFormat="1" x14ac:dyDescent="0.3">
      <c r="B52" s="4"/>
      <c r="D52" s="1">
        <v>5</v>
      </c>
      <c r="E52" s="1">
        <f t="shared" si="7"/>
        <v>2.5</v>
      </c>
      <c r="F52" s="1">
        <f t="shared" si="8"/>
        <v>-4.459963984540054</v>
      </c>
      <c r="G52" s="1">
        <f t="shared" si="6"/>
        <v>-0.54003601545994617</v>
      </c>
      <c r="H52" s="1">
        <f t="shared" si="9"/>
        <v>0.29458199888619963</v>
      </c>
      <c r="I52" s="1">
        <f t="shared" si="10"/>
        <v>0.70541800111380037</v>
      </c>
    </row>
    <row r="53" spans="2:9" customFormat="1" x14ac:dyDescent="0.3">
      <c r="B53" s="4"/>
      <c r="D53" s="15">
        <v>6</v>
      </c>
      <c r="E53" s="15">
        <f t="shared" si="7"/>
        <v>3</v>
      </c>
      <c r="F53" s="1">
        <f t="shared" si="8"/>
        <v>-4.959963984540054</v>
      </c>
      <c r="G53" s="1">
        <f t="shared" si="6"/>
        <v>-1.0400360154599462</v>
      </c>
      <c r="H53" s="1">
        <f t="shared" si="9"/>
        <v>0.14916123167294379</v>
      </c>
      <c r="I53" s="1">
        <f t="shared" si="10"/>
        <v>0.85083876832705618</v>
      </c>
    </row>
    <row r="54" spans="2:9" customFormat="1" x14ac:dyDescent="0.3">
      <c r="B54" s="4"/>
      <c r="D54" s="16"/>
      <c r="E54" s="16"/>
    </row>
    <row r="55" spans="2:9" customFormat="1" x14ac:dyDescent="0.3">
      <c r="B55" s="4"/>
      <c r="D55" s="10"/>
      <c r="E55" s="10"/>
    </row>
    <row r="56" spans="2:9" customFormat="1" ht="33.6" customHeight="1" x14ac:dyDescent="0.3">
      <c r="B56" s="4"/>
      <c r="E56" s="79" t="s">
        <v>40</v>
      </c>
      <c r="F56" s="79"/>
      <c r="G56" s="79"/>
      <c r="H56" s="18"/>
      <c r="I56" s="18"/>
    </row>
    <row r="57" spans="2:9" customFormat="1" x14ac:dyDescent="0.3">
      <c r="B57" s="4"/>
      <c r="E57" s="19" t="s">
        <v>2</v>
      </c>
      <c r="F57" s="20" t="s">
        <v>38</v>
      </c>
      <c r="G57" s="20" t="s">
        <v>5</v>
      </c>
      <c r="H57" s="17" t="s">
        <v>4</v>
      </c>
      <c r="I57" s="17"/>
    </row>
    <row r="58" spans="2:9" customFormat="1" x14ac:dyDescent="0.3">
      <c r="B58" s="4"/>
      <c r="E58" s="1">
        <v>1E-3</v>
      </c>
      <c r="F58" s="1">
        <f>_xlfn.NORM.INV(E58,$C$61,$C$62/SQRT(H58))</f>
        <v>98.955310807337099</v>
      </c>
      <c r="G58" s="1">
        <f>1-_xlfn.NORM.DIST(F58,$C$64,$C$62/SQRT(H58),1)</f>
        <v>0.5525839496365117</v>
      </c>
      <c r="H58">
        <f>$C$63</f>
        <v>35</v>
      </c>
    </row>
    <row r="59" spans="2:9" customFormat="1" x14ac:dyDescent="0.3">
      <c r="B59" s="4"/>
      <c r="D59" s="10"/>
      <c r="E59" s="1">
        <v>5.0000000000000001E-3</v>
      </c>
      <c r="F59" s="1">
        <f t="shared" ref="F59:F72" si="11">_xlfn.NORM.INV(E59,$C$61,$C$62/SQRT(H59))</f>
        <v>99.129210761860506</v>
      </c>
      <c r="G59" s="1">
        <f t="shared" ref="G59:G72" si="12">1-_xlfn.NORM.DIST(F59,$C$64,$C$62/SQRT($C$63),1)</f>
        <v>0.35115258444127462</v>
      </c>
      <c r="H59">
        <f t="shared" ref="H59:H72" si="13">$C$63</f>
        <v>35</v>
      </c>
    </row>
    <row r="60" spans="2:9" customFormat="1" x14ac:dyDescent="0.3">
      <c r="B60" s="4"/>
      <c r="D60" s="10"/>
      <c r="E60" s="1">
        <v>0.01</v>
      </c>
      <c r="F60" s="1">
        <f t="shared" si="11"/>
        <v>99.213550878510304</v>
      </c>
      <c r="G60" s="1">
        <f t="shared" si="12"/>
        <v>0.26379407256523202</v>
      </c>
      <c r="H60">
        <f t="shared" si="13"/>
        <v>35</v>
      </c>
    </row>
    <row r="61" spans="2:9" customFormat="1" x14ac:dyDescent="0.3">
      <c r="B61" s="1" t="s">
        <v>41</v>
      </c>
      <c r="C61" s="12">
        <v>100</v>
      </c>
      <c r="D61" s="10"/>
      <c r="E61" s="1">
        <v>1.4999999999999999E-2</v>
      </c>
      <c r="F61" s="1">
        <f t="shared" si="11"/>
        <v>99.266375553695596</v>
      </c>
      <c r="G61" s="1">
        <f t="shared" si="12"/>
        <v>0.21536311863003421</v>
      </c>
      <c r="H61">
        <f t="shared" si="13"/>
        <v>35</v>
      </c>
    </row>
    <row r="62" spans="2:9" customFormat="1" x14ac:dyDescent="0.3">
      <c r="B62" s="19" t="s">
        <v>39</v>
      </c>
      <c r="C62" s="12">
        <v>2</v>
      </c>
      <c r="D62" s="10"/>
      <c r="E62" s="1">
        <v>0.02</v>
      </c>
      <c r="F62" s="1">
        <f t="shared" si="11"/>
        <v>99.305706148014181</v>
      </c>
      <c r="G62" s="1">
        <f t="shared" si="12"/>
        <v>0.18292056395986878</v>
      </c>
      <c r="H62">
        <f t="shared" si="13"/>
        <v>35</v>
      </c>
    </row>
    <row r="63" spans="2:9" customFormat="1" x14ac:dyDescent="0.3">
      <c r="B63" s="1" t="s">
        <v>4</v>
      </c>
      <c r="C63" s="12">
        <v>35</v>
      </c>
      <c r="D63" s="10"/>
      <c r="E63" s="1">
        <v>2.5000000000000001E-2</v>
      </c>
      <c r="F63" s="1">
        <f t="shared" si="11"/>
        <v>99.337411239740533</v>
      </c>
      <c r="G63" s="1">
        <f t="shared" si="12"/>
        <v>0.15912127601007153</v>
      </c>
      <c r="H63">
        <f t="shared" si="13"/>
        <v>35</v>
      </c>
    </row>
    <row r="64" spans="2:9" customFormat="1" x14ac:dyDescent="0.3">
      <c r="B64" s="21" t="s">
        <v>42</v>
      </c>
      <c r="C64" s="12">
        <v>99</v>
      </c>
      <c r="D64" s="10"/>
      <c r="E64" s="1">
        <v>0.03</v>
      </c>
      <c r="F64" s="1">
        <f t="shared" si="11"/>
        <v>99.364175711921902</v>
      </c>
      <c r="G64" s="1">
        <f t="shared" si="12"/>
        <v>0.14068512657314258</v>
      </c>
      <c r="H64">
        <f t="shared" si="13"/>
        <v>35</v>
      </c>
    </row>
    <row r="65" spans="2:8" customFormat="1" x14ac:dyDescent="0.3">
      <c r="B65" s="4"/>
      <c r="D65" s="10"/>
      <c r="E65" s="1">
        <v>3.5000000000000003E-2</v>
      </c>
      <c r="F65" s="1">
        <f t="shared" si="11"/>
        <v>99.387462394226446</v>
      </c>
      <c r="G65" s="1">
        <f t="shared" si="12"/>
        <v>0.12587084473571852</v>
      </c>
      <c r="H65">
        <f t="shared" si="13"/>
        <v>35</v>
      </c>
    </row>
    <row r="66" spans="2:8" customFormat="1" x14ac:dyDescent="0.3">
      <c r="B66" s="4"/>
      <c r="E66" s="1">
        <v>0.04</v>
      </c>
      <c r="F66" s="1">
        <f t="shared" si="11"/>
        <v>99.408160087274908</v>
      </c>
      <c r="G66" s="1">
        <f t="shared" si="12"/>
        <v>0.11364795595622645</v>
      </c>
      <c r="H66">
        <f t="shared" si="13"/>
        <v>35</v>
      </c>
    </row>
    <row r="67" spans="2:8" customFormat="1" x14ac:dyDescent="0.3">
      <c r="B67" s="4"/>
      <c r="E67" s="1">
        <v>4.4999999999999998E-2</v>
      </c>
      <c r="F67" s="1">
        <f t="shared" si="11"/>
        <v>99.426850964682615</v>
      </c>
      <c r="G67" s="1">
        <f t="shared" si="12"/>
        <v>0.10335890077594878</v>
      </c>
      <c r="H67">
        <f t="shared" si="13"/>
        <v>35</v>
      </c>
    </row>
    <row r="68" spans="2:8" customFormat="1" x14ac:dyDescent="0.3">
      <c r="B68" s="4"/>
      <c r="E68" s="1">
        <v>0.05</v>
      </c>
      <c r="F68" s="1">
        <f t="shared" si="11"/>
        <v>99.443937983510537</v>
      </c>
      <c r="G68" s="1">
        <f t="shared" si="12"/>
        <v>9.4560095587593596E-2</v>
      </c>
      <c r="H68">
        <f t="shared" si="13"/>
        <v>35</v>
      </c>
    </row>
    <row r="69" spans="2:8" customFormat="1" x14ac:dyDescent="0.3">
      <c r="B69" s="4"/>
      <c r="E69" s="1">
        <v>5.5E-2</v>
      </c>
      <c r="F69" s="1">
        <f t="shared" si="11"/>
        <v>99.459712107166524</v>
      </c>
      <c r="G69" s="1">
        <f t="shared" si="12"/>
        <v>8.6939212165683455E-2</v>
      </c>
      <c r="H69">
        <f t="shared" si="13"/>
        <v>35</v>
      </c>
    </row>
    <row r="70" spans="2:8" customFormat="1" x14ac:dyDescent="0.3">
      <c r="B70" s="4"/>
      <c r="E70" s="1">
        <v>0.06</v>
      </c>
      <c r="F70" s="1">
        <f t="shared" si="11"/>
        <v>99.474390592554769</v>
      </c>
      <c r="G70" s="1">
        <f t="shared" si="12"/>
        <v>8.0268722210894539E-2</v>
      </c>
      <c r="H70">
        <f t="shared" si="13"/>
        <v>35</v>
      </c>
    </row>
    <row r="71" spans="2:8" customFormat="1" x14ac:dyDescent="0.3">
      <c r="B71" s="4"/>
      <c r="E71" s="1">
        <v>6.5000000000000002E-2</v>
      </c>
      <c r="F71" s="1">
        <f t="shared" si="11"/>
        <v>99.488140139034428</v>
      </c>
      <c r="G71" s="1">
        <f t="shared" si="12"/>
        <v>7.4378207582862621E-2</v>
      </c>
      <c r="H71">
        <f t="shared" si="13"/>
        <v>35</v>
      </c>
    </row>
    <row r="72" spans="2:8" customFormat="1" x14ac:dyDescent="0.3">
      <c r="B72" s="4"/>
      <c r="E72" s="15">
        <v>7.0000000000000007E-2</v>
      </c>
      <c r="F72" s="15">
        <f t="shared" si="11"/>
        <v>99.501091573377678</v>
      </c>
      <c r="G72" s="15">
        <f t="shared" si="12"/>
        <v>6.913704464174919E-2</v>
      </c>
      <c r="H72">
        <f t="shared" si="13"/>
        <v>35</v>
      </c>
    </row>
  </sheetData>
  <mergeCells count="3">
    <mergeCell ref="D1:G1"/>
    <mergeCell ref="D20:G20"/>
    <mergeCell ref="E56:G56"/>
  </mergeCells>
  <phoneticPr fontId="4"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07575-5700-4AC3-AE34-54FC8E0FB48F}">
  <dimension ref="A1:D13"/>
  <sheetViews>
    <sheetView workbookViewId="0">
      <selection activeCell="B13" sqref="B13"/>
    </sheetView>
  </sheetViews>
  <sheetFormatPr defaultRowHeight="14.4" x14ac:dyDescent="0.3"/>
  <cols>
    <col min="1" max="1" width="22.77734375" customWidth="1"/>
    <col min="2" max="2" width="16.33203125" customWidth="1"/>
  </cols>
  <sheetData>
    <row r="1" spans="1:4" x14ac:dyDescent="0.3">
      <c r="A1" t="s">
        <v>44</v>
      </c>
    </row>
    <row r="2" spans="1:4" x14ac:dyDescent="0.3">
      <c r="A2" s="2" t="s">
        <v>9</v>
      </c>
      <c r="B2" s="9">
        <v>60</v>
      </c>
      <c r="D2">
        <f>_xlfn.NORM.DIST(17,15,6,1)</f>
        <v>0.63055865981823644</v>
      </c>
    </row>
    <row r="3" spans="1:4" x14ac:dyDescent="0.3">
      <c r="A3" s="2" t="s">
        <v>10</v>
      </c>
      <c r="B3" s="9">
        <v>23</v>
      </c>
      <c r="D3">
        <f>1-D2</f>
        <v>0.36944134018176356</v>
      </c>
    </row>
    <row r="4" spans="1:4" x14ac:dyDescent="0.3">
      <c r="A4" s="2" t="s">
        <v>4</v>
      </c>
      <c r="B4" s="9">
        <v>25</v>
      </c>
      <c r="D4">
        <f>25*D3</f>
        <v>9.2360335045440891</v>
      </c>
    </row>
    <row r="5" spans="1:4" x14ac:dyDescent="0.3">
      <c r="A5" s="2" t="s">
        <v>1</v>
      </c>
      <c r="B5" s="5">
        <v>53.415999999999997</v>
      </c>
      <c r="D5">
        <f>10000*D4</f>
        <v>92360.335045440894</v>
      </c>
    </row>
    <row r="6" spans="1:4" x14ac:dyDescent="0.3">
      <c r="A6" s="3" t="s">
        <v>2</v>
      </c>
      <c r="B6" s="9">
        <v>0.05</v>
      </c>
      <c r="D6">
        <f>_xlfn.NORM.INV(0.85,0,1)</f>
        <v>1.0364333894937898</v>
      </c>
    </row>
    <row r="7" spans="1:4" x14ac:dyDescent="0.3">
      <c r="A7" s="3" t="s">
        <v>52</v>
      </c>
      <c r="B7" s="5">
        <f>ABS(_xlfn.T.INV(B6,B4-1))</f>
        <v>1.7108820799094284</v>
      </c>
      <c r="D7">
        <f>_xlfn.NORM.INV(0.218,0,1)</f>
        <v>-0.77896556434754571</v>
      </c>
    </row>
    <row r="8" spans="1:4" ht="28.8" x14ac:dyDescent="0.3">
      <c r="A8" s="6" t="s">
        <v>11</v>
      </c>
      <c r="B8" s="5">
        <f>B2+B3/SQRT(B4)*B7</f>
        <v>67.870057567583373</v>
      </c>
      <c r="D8">
        <f>115/(1-0.078)</f>
        <v>124.72885032537961</v>
      </c>
    </row>
    <row r="9" spans="1:4" ht="28.8" x14ac:dyDescent="0.3">
      <c r="A9" s="6" t="s">
        <v>12</v>
      </c>
      <c r="B9" s="5">
        <f>B2-B3/SQRT(B4)*B7</f>
        <v>52.129942432416627</v>
      </c>
      <c r="D9">
        <f>(22.2+12.8)/2</f>
        <v>17.5</v>
      </c>
    </row>
    <row r="10" spans="1:4" x14ac:dyDescent="0.3">
      <c r="A10" s="7" t="s">
        <v>53</v>
      </c>
      <c r="B10" s="5">
        <f>ABS(_xlfn.T.INV(B6/2,B4-1))</f>
        <v>2.0638985616280254</v>
      </c>
      <c r="D10">
        <f>_xlfn.NORM.INV(0.05/2,0,1)</f>
        <v>-1.9599639845400538</v>
      </c>
    </row>
    <row r="11" spans="1:4" ht="28.8" x14ac:dyDescent="0.3">
      <c r="A11" s="8" t="s">
        <v>13</v>
      </c>
      <c r="B11" s="9">
        <f>B2-B10*B3/SQRT(B4)</f>
        <v>50.506066616511085</v>
      </c>
      <c r="D11">
        <f>4.7/(2*1.9599)</f>
        <v>1.1990407673860912</v>
      </c>
    </row>
    <row r="12" spans="1:4" ht="28.8" x14ac:dyDescent="0.3">
      <c r="A12" s="8" t="s">
        <v>15</v>
      </c>
      <c r="B12" s="9">
        <f>B2+B10*B3/SQRT(B4)</f>
        <v>69.493933383488923</v>
      </c>
    </row>
    <row r="13" spans="1:4" x14ac:dyDescent="0.3">
      <c r="A13" s="7" t="s">
        <v>43</v>
      </c>
      <c r="B13" s="4">
        <f>_xlfn.NORM.DIST(B5,B2,B3/SQRT(B4),1)</f>
        <v>7.6171504198280546E-2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12A3-9288-4C9A-9870-AA35607A1ABA}">
  <dimension ref="A1:R31"/>
  <sheetViews>
    <sheetView topLeftCell="F1" workbookViewId="0">
      <selection activeCell="Q18" sqref="Q18"/>
    </sheetView>
  </sheetViews>
  <sheetFormatPr defaultRowHeight="14.4" x14ac:dyDescent="0.3"/>
  <cols>
    <col min="1" max="1" width="23.21875" customWidth="1"/>
    <col min="5" max="5" width="13.109375" customWidth="1"/>
    <col min="11" max="11" width="37.5546875" customWidth="1"/>
    <col min="14" max="14" width="37.5546875" customWidth="1"/>
    <col min="16" max="16" width="20.44140625" customWidth="1"/>
    <col min="17" max="17" width="19.44140625" customWidth="1"/>
  </cols>
  <sheetData>
    <row r="1" spans="1:18" x14ac:dyDescent="0.3">
      <c r="A1" s="81" t="s">
        <v>54</v>
      </c>
      <c r="B1" s="81"/>
      <c r="C1" s="81"/>
      <c r="D1" s="81"/>
      <c r="E1" s="81"/>
      <c r="F1" s="81"/>
      <c r="K1" s="82" t="s">
        <v>73</v>
      </c>
      <c r="L1" s="82"/>
      <c r="M1" s="82"/>
      <c r="N1" s="82"/>
      <c r="O1" s="82"/>
      <c r="Q1" t="s">
        <v>100</v>
      </c>
    </row>
    <row r="2" spans="1:18" ht="14.4" customHeight="1" x14ac:dyDescent="0.3">
      <c r="A2" s="38"/>
      <c r="B2" s="79" t="s">
        <v>57</v>
      </c>
      <c r="C2" s="79"/>
      <c r="D2" s="79" t="s">
        <v>58</v>
      </c>
      <c r="E2" s="79"/>
      <c r="F2" s="79" t="s">
        <v>59</v>
      </c>
      <c r="G2" s="79" t="s">
        <v>60</v>
      </c>
      <c r="K2" s="82" t="s">
        <v>18</v>
      </c>
      <c r="L2" s="82"/>
      <c r="N2" s="39" t="s">
        <v>91</v>
      </c>
      <c r="Q2" s="39" t="s">
        <v>101</v>
      </c>
    </row>
    <row r="3" spans="1:18" x14ac:dyDescent="0.3">
      <c r="A3" s="13" t="s">
        <v>61</v>
      </c>
      <c r="B3" s="13" t="s">
        <v>62</v>
      </c>
      <c r="C3" s="13" t="s">
        <v>63</v>
      </c>
      <c r="D3" s="13" t="s">
        <v>62</v>
      </c>
      <c r="E3" s="13" t="s">
        <v>63</v>
      </c>
      <c r="F3" s="79"/>
      <c r="G3" s="79"/>
      <c r="K3" s="39" t="s">
        <v>75</v>
      </c>
      <c r="N3" s="39" t="s">
        <v>75</v>
      </c>
      <c r="Q3" s="39" t="s">
        <v>75</v>
      </c>
    </row>
    <row r="4" spans="1:18" x14ac:dyDescent="0.3">
      <c r="A4" s="13">
        <v>1</v>
      </c>
      <c r="B4" s="13">
        <v>72</v>
      </c>
      <c r="C4" s="13">
        <v>68</v>
      </c>
      <c r="D4" s="13">
        <v>98</v>
      </c>
      <c r="E4" s="13">
        <v>92</v>
      </c>
      <c r="F4" s="13">
        <f>B4-C4</f>
        <v>4</v>
      </c>
      <c r="G4" s="13">
        <f>D4-E4</f>
        <v>6</v>
      </c>
      <c r="K4" t="s">
        <v>83</v>
      </c>
      <c r="L4" s="37">
        <v>0</v>
      </c>
      <c r="N4" t="s">
        <v>83</v>
      </c>
      <c r="O4" s="37">
        <v>0</v>
      </c>
      <c r="Q4" t="s">
        <v>102</v>
      </c>
      <c r="R4" s="37">
        <v>5.1242000000000001</v>
      </c>
    </row>
    <row r="5" spans="1:18" x14ac:dyDescent="0.3">
      <c r="A5" s="13">
        <v>2</v>
      </c>
      <c r="B5" s="13">
        <v>84</v>
      </c>
      <c r="C5" s="13">
        <v>78</v>
      </c>
      <c r="D5" s="13">
        <v>89</v>
      </c>
      <c r="E5" s="13">
        <v>84</v>
      </c>
      <c r="F5" s="13">
        <f t="shared" ref="F5:F18" si="0">B5-C5</f>
        <v>6</v>
      </c>
      <c r="G5" s="13">
        <f t="shared" ref="G5:G18" si="1">D5-E5</f>
        <v>5</v>
      </c>
      <c r="K5" s="36" t="s">
        <v>1</v>
      </c>
      <c r="L5" s="37">
        <v>138.43</v>
      </c>
      <c r="N5" s="36" t="s">
        <v>1</v>
      </c>
      <c r="O5" s="37">
        <v>2.4</v>
      </c>
      <c r="Q5" t="s">
        <v>104</v>
      </c>
      <c r="R5" s="37">
        <f>R4^2</f>
        <v>26.257425640000001</v>
      </c>
    </row>
    <row r="6" spans="1:18" x14ac:dyDescent="0.3">
      <c r="A6" s="13">
        <v>3</v>
      </c>
      <c r="B6" s="13">
        <v>83</v>
      </c>
      <c r="C6" s="13">
        <v>75</v>
      </c>
      <c r="D6" s="13">
        <v>76</v>
      </c>
      <c r="E6" s="13">
        <v>65</v>
      </c>
      <c r="F6" s="13">
        <f t="shared" si="0"/>
        <v>8</v>
      </c>
      <c r="G6" s="13">
        <f t="shared" si="1"/>
        <v>11</v>
      </c>
      <c r="K6" s="36" t="s">
        <v>74</v>
      </c>
      <c r="L6" s="37">
        <v>35.200000000000003</v>
      </c>
      <c r="N6" s="36" t="s">
        <v>92</v>
      </c>
      <c r="O6" s="37">
        <v>5.1242000000000001</v>
      </c>
      <c r="Q6" t="s">
        <v>55</v>
      </c>
      <c r="R6" s="37">
        <v>15</v>
      </c>
    </row>
    <row r="7" spans="1:18" x14ac:dyDescent="0.3">
      <c r="A7" s="13">
        <v>4</v>
      </c>
      <c r="B7" s="13">
        <v>96</v>
      </c>
      <c r="C7" s="13">
        <v>92</v>
      </c>
      <c r="D7" s="13">
        <v>84</v>
      </c>
      <c r="E7" s="13">
        <v>77</v>
      </c>
      <c r="F7" s="13">
        <f t="shared" si="0"/>
        <v>4</v>
      </c>
      <c r="G7" s="13">
        <f t="shared" si="1"/>
        <v>7</v>
      </c>
      <c r="K7" s="36" t="s">
        <v>55</v>
      </c>
      <c r="L7" s="37">
        <v>40</v>
      </c>
      <c r="N7" s="36" t="s">
        <v>55</v>
      </c>
      <c r="O7" s="37">
        <v>15</v>
      </c>
      <c r="Q7" t="s">
        <v>105</v>
      </c>
      <c r="R7">
        <f>R6-1</f>
        <v>14</v>
      </c>
    </row>
    <row r="8" spans="1:18" x14ac:dyDescent="0.3">
      <c r="A8" s="13">
        <v>5</v>
      </c>
      <c r="B8" s="13">
        <v>78</v>
      </c>
      <c r="C8" s="13">
        <v>86</v>
      </c>
      <c r="D8" s="13">
        <v>87</v>
      </c>
      <c r="E8" s="13">
        <v>95</v>
      </c>
      <c r="F8" s="13">
        <f t="shared" si="0"/>
        <v>-8</v>
      </c>
      <c r="G8" s="13">
        <f t="shared" si="1"/>
        <v>-8</v>
      </c>
      <c r="K8" s="36" t="s">
        <v>76</v>
      </c>
      <c r="L8">
        <f>L6^2/L7</f>
        <v>30.976000000000006</v>
      </c>
      <c r="N8" s="36"/>
    </row>
    <row r="9" spans="1:18" x14ac:dyDescent="0.3">
      <c r="A9" s="13">
        <v>6</v>
      </c>
      <c r="B9" s="13">
        <v>83</v>
      </c>
      <c r="C9" s="13">
        <v>79</v>
      </c>
      <c r="D9" s="13">
        <v>93</v>
      </c>
      <c r="E9" s="13">
        <v>88</v>
      </c>
      <c r="F9" s="13">
        <f t="shared" si="0"/>
        <v>4</v>
      </c>
      <c r="G9" s="13">
        <f t="shared" si="1"/>
        <v>5</v>
      </c>
      <c r="K9" s="39" t="s">
        <v>77</v>
      </c>
      <c r="N9" s="39" t="s">
        <v>77</v>
      </c>
      <c r="Q9" s="39" t="s">
        <v>77</v>
      </c>
    </row>
    <row r="10" spans="1:18" x14ac:dyDescent="0.3">
      <c r="A10" s="13">
        <v>7</v>
      </c>
      <c r="B10" s="13">
        <v>102</v>
      </c>
      <c r="C10" s="13">
        <v>95</v>
      </c>
      <c r="D10" s="13">
        <v>90</v>
      </c>
      <c r="E10" s="13">
        <v>84</v>
      </c>
      <c r="F10" s="13">
        <f t="shared" si="0"/>
        <v>7</v>
      </c>
      <c r="G10" s="13">
        <f t="shared" si="1"/>
        <v>6</v>
      </c>
      <c r="K10" s="36" t="s">
        <v>83</v>
      </c>
      <c r="L10" s="37">
        <v>0</v>
      </c>
      <c r="N10" s="36" t="s">
        <v>83</v>
      </c>
      <c r="O10" s="37">
        <v>0</v>
      </c>
      <c r="Q10" s="36" t="s">
        <v>92</v>
      </c>
      <c r="R10" s="37">
        <v>6.2106000000000003</v>
      </c>
    </row>
    <row r="11" spans="1:18" x14ac:dyDescent="0.3">
      <c r="A11" s="13">
        <v>8</v>
      </c>
      <c r="B11" s="13">
        <v>74</v>
      </c>
      <c r="C11" s="13">
        <v>72</v>
      </c>
      <c r="D11" s="13">
        <v>79</v>
      </c>
      <c r="E11" s="13">
        <v>76</v>
      </c>
      <c r="F11" s="13">
        <f t="shared" si="0"/>
        <v>2</v>
      </c>
      <c r="G11" s="13">
        <f t="shared" si="1"/>
        <v>3</v>
      </c>
      <c r="K11" s="36" t="s">
        <v>1</v>
      </c>
      <c r="L11" s="37">
        <v>122.81</v>
      </c>
      <c r="N11" s="36" t="s">
        <v>1</v>
      </c>
      <c r="O11" s="37">
        <v>3</v>
      </c>
      <c r="Q11" t="s">
        <v>104</v>
      </c>
      <c r="R11" s="37">
        <f>R10^2</f>
        <v>38.571552360000005</v>
      </c>
    </row>
    <row r="12" spans="1:18" x14ac:dyDescent="0.3">
      <c r="A12" s="13">
        <v>9</v>
      </c>
      <c r="B12" s="13">
        <v>82</v>
      </c>
      <c r="C12" s="13">
        <v>81</v>
      </c>
      <c r="D12" s="13">
        <v>81</v>
      </c>
      <c r="E12" s="13">
        <v>77</v>
      </c>
      <c r="F12" s="13">
        <f t="shared" si="0"/>
        <v>1</v>
      </c>
      <c r="G12" s="13">
        <f t="shared" si="1"/>
        <v>4</v>
      </c>
      <c r="K12" s="36" t="s">
        <v>78</v>
      </c>
      <c r="L12" s="37">
        <v>20.8</v>
      </c>
      <c r="N12" s="36" t="s">
        <v>92</v>
      </c>
      <c r="O12" s="37">
        <v>6.2106000000000003</v>
      </c>
      <c r="Q12" t="s">
        <v>56</v>
      </c>
      <c r="R12" s="37">
        <v>15</v>
      </c>
    </row>
    <row r="13" spans="1:18" x14ac:dyDescent="0.3">
      <c r="A13" s="13">
        <v>10</v>
      </c>
      <c r="B13" s="13">
        <v>80</v>
      </c>
      <c r="C13" s="13">
        <v>87</v>
      </c>
      <c r="D13" s="13">
        <v>68</v>
      </c>
      <c r="E13" s="13">
        <v>77</v>
      </c>
      <c r="F13" s="13">
        <f t="shared" si="0"/>
        <v>-7</v>
      </c>
      <c r="G13" s="13">
        <f t="shared" si="1"/>
        <v>-9</v>
      </c>
      <c r="K13" s="36" t="s">
        <v>56</v>
      </c>
      <c r="L13" s="37">
        <v>36</v>
      </c>
      <c r="N13" s="36" t="s">
        <v>56</v>
      </c>
      <c r="O13" s="37">
        <v>15</v>
      </c>
      <c r="Q13" t="s">
        <v>106</v>
      </c>
      <c r="R13">
        <f>R12-1</f>
        <v>14</v>
      </c>
    </row>
    <row r="14" spans="1:18" x14ac:dyDescent="0.3">
      <c r="A14" s="13">
        <v>11</v>
      </c>
      <c r="B14" s="13">
        <v>88</v>
      </c>
      <c r="C14" s="13">
        <v>83</v>
      </c>
      <c r="D14" s="13">
        <v>74</v>
      </c>
      <c r="E14" s="13">
        <v>70</v>
      </c>
      <c r="F14" s="13">
        <f t="shared" si="0"/>
        <v>5</v>
      </c>
      <c r="G14" s="13">
        <f t="shared" si="1"/>
        <v>4</v>
      </c>
      <c r="K14" s="36" t="s">
        <v>76</v>
      </c>
      <c r="L14">
        <f>L12^2/L13</f>
        <v>12.017777777777779</v>
      </c>
      <c r="N14" s="36" t="s">
        <v>93</v>
      </c>
      <c r="O14">
        <f>((O7-1)*O6^2 + (O13-1)*O12^2)/(O7+O13-2)</f>
        <v>32.414489000000003</v>
      </c>
    </row>
    <row r="15" spans="1:18" x14ac:dyDescent="0.3">
      <c r="A15" s="13">
        <v>12</v>
      </c>
      <c r="B15" s="13">
        <v>76</v>
      </c>
      <c r="C15" s="13">
        <v>74</v>
      </c>
      <c r="D15" s="13">
        <v>70</v>
      </c>
      <c r="E15" s="13">
        <v>66</v>
      </c>
      <c r="F15" s="13">
        <f t="shared" si="0"/>
        <v>2</v>
      </c>
      <c r="G15" s="13">
        <f t="shared" si="1"/>
        <v>4</v>
      </c>
      <c r="K15" s="36" t="s">
        <v>84</v>
      </c>
      <c r="L15">
        <f>SQRT(L8+L14)</f>
        <v>6.5569640671409655</v>
      </c>
      <c r="N15" s="36" t="s">
        <v>95</v>
      </c>
      <c r="O15">
        <f>SQRT(O14*(1/O7 + 1/O13))</f>
        <v>2.0789256520295925</v>
      </c>
      <c r="Q15" t="s">
        <v>103</v>
      </c>
      <c r="R15">
        <f>R5/R11</f>
        <v>0.68074588740768005</v>
      </c>
    </row>
    <row r="16" spans="1:18" x14ac:dyDescent="0.3">
      <c r="A16" s="13">
        <v>13</v>
      </c>
      <c r="B16" s="13">
        <v>79</v>
      </c>
      <c r="C16" s="13">
        <v>72</v>
      </c>
      <c r="D16" s="13">
        <v>103</v>
      </c>
      <c r="E16" s="13">
        <v>94</v>
      </c>
      <c r="F16" s="13">
        <f t="shared" si="0"/>
        <v>7</v>
      </c>
      <c r="G16" s="13">
        <f t="shared" si="1"/>
        <v>9</v>
      </c>
      <c r="K16" s="36" t="s">
        <v>8</v>
      </c>
      <c r="L16" s="37">
        <v>0.9</v>
      </c>
      <c r="N16" s="36" t="s">
        <v>8</v>
      </c>
      <c r="O16" s="37">
        <v>0.9</v>
      </c>
      <c r="Q16" t="s">
        <v>101</v>
      </c>
      <c r="R16">
        <f>_xlfn.F.DIST(R15,R7,R13,1)</f>
        <v>0.24052494208863781</v>
      </c>
    </row>
    <row r="17" spans="1:18" x14ac:dyDescent="0.3">
      <c r="A17" s="13">
        <v>14</v>
      </c>
      <c r="B17" s="13">
        <v>70</v>
      </c>
      <c r="C17" s="13">
        <v>75</v>
      </c>
      <c r="D17" s="13">
        <v>72</v>
      </c>
      <c r="E17" s="13">
        <v>80</v>
      </c>
      <c r="F17" s="13">
        <f t="shared" si="0"/>
        <v>-5</v>
      </c>
      <c r="G17" s="13">
        <f t="shared" si="1"/>
        <v>-8</v>
      </c>
      <c r="K17" s="36" t="s">
        <v>79</v>
      </c>
      <c r="L17">
        <f>(1-L16)/2</f>
        <v>4.9999999999999989E-2</v>
      </c>
      <c r="N17" s="36" t="s">
        <v>79</v>
      </c>
      <c r="O17">
        <f>(1-O16)/2</f>
        <v>4.9999999999999989E-2</v>
      </c>
      <c r="Q17" t="s">
        <v>87</v>
      </c>
      <c r="R17">
        <f>R16*2</f>
        <v>0.48104988417727562</v>
      </c>
    </row>
    <row r="18" spans="1:18" x14ac:dyDescent="0.3">
      <c r="A18" s="13">
        <v>15</v>
      </c>
      <c r="B18" s="13">
        <v>91</v>
      </c>
      <c r="C18" s="13">
        <v>85</v>
      </c>
      <c r="D18" s="13">
        <v>79</v>
      </c>
      <c r="E18" s="13">
        <v>73</v>
      </c>
      <c r="F18" s="13">
        <f t="shared" si="0"/>
        <v>6</v>
      </c>
      <c r="G18" s="13">
        <f t="shared" si="1"/>
        <v>6</v>
      </c>
      <c r="K18" s="36" t="s">
        <v>80</v>
      </c>
      <c r="L18">
        <f>ABS(_xlfn.NORM.INV(L17,0,1))</f>
        <v>1.6448536269514726</v>
      </c>
      <c r="N18" s="36" t="s">
        <v>96</v>
      </c>
      <c r="O18">
        <f>(O7+O13-2)</f>
        <v>28</v>
      </c>
    </row>
    <row r="19" spans="1:18" x14ac:dyDescent="0.3">
      <c r="K19" s="36" t="s">
        <v>82</v>
      </c>
      <c r="L19">
        <f>L4-L10</f>
        <v>0</v>
      </c>
      <c r="N19" s="36" t="s">
        <v>97</v>
      </c>
      <c r="O19">
        <f>ABS(_xlfn.T.INV(O17,O18))</f>
        <v>1.7011309342659326</v>
      </c>
    </row>
    <row r="20" spans="1:18" x14ac:dyDescent="0.3">
      <c r="A20" s="13"/>
      <c r="B20" s="1" t="s">
        <v>57</v>
      </c>
      <c r="C20" s="1" t="s">
        <v>58</v>
      </c>
      <c r="K20" s="36" t="s">
        <v>81</v>
      </c>
      <c r="L20">
        <f>L19+L18*L15</f>
        <v>10.785246127627296</v>
      </c>
      <c r="N20" s="36" t="s">
        <v>82</v>
      </c>
      <c r="O20">
        <f>O4-O10</f>
        <v>0</v>
      </c>
    </row>
    <row r="21" spans="1:18" x14ac:dyDescent="0.3">
      <c r="A21" s="1" t="s">
        <v>64</v>
      </c>
      <c r="B21" s="1">
        <f>AVERAGE(F4:F18)</f>
        <v>2.4</v>
      </c>
      <c r="C21" s="1">
        <f>AVERAGE(G4:G18)</f>
        <v>3</v>
      </c>
      <c r="K21" s="36" t="s">
        <v>85</v>
      </c>
      <c r="L21">
        <f>L19-L18*L15</f>
        <v>-10.785246127627296</v>
      </c>
      <c r="N21" s="36" t="s">
        <v>81</v>
      </c>
      <c r="O21">
        <f>O20+O19*O15</f>
        <v>3.536524736706514</v>
      </c>
    </row>
    <row r="22" spans="1:18" x14ac:dyDescent="0.3">
      <c r="A22" s="1" t="s">
        <v>65</v>
      </c>
      <c r="B22" s="1">
        <f>COUNT(F4:F18)</f>
        <v>15</v>
      </c>
      <c r="C22" s="1">
        <f>COUNT(G4:G18)</f>
        <v>15</v>
      </c>
      <c r="K22" s="36" t="s">
        <v>86</v>
      </c>
      <c r="L22">
        <f>L5-L11</f>
        <v>15.620000000000005</v>
      </c>
      <c r="N22" s="36" t="s">
        <v>85</v>
      </c>
      <c r="O22">
        <f>O20-O19*O15</f>
        <v>-3.536524736706514</v>
      </c>
    </row>
    <row r="23" spans="1:18" x14ac:dyDescent="0.3">
      <c r="A23" s="1" t="s">
        <v>66</v>
      </c>
      <c r="B23" s="1">
        <f>_xlfn.STDEV.S(F4:F18)</f>
        <v>5.1241724070470989</v>
      </c>
      <c r="C23" s="1">
        <f>_xlfn.STDEV.S(G4:G18)</f>
        <v>6.2105900340811875</v>
      </c>
      <c r="K23" s="36" t="s">
        <v>88</v>
      </c>
      <c r="L23">
        <f>(L22-L19)/L15</f>
        <v>2.3822000303885753</v>
      </c>
      <c r="N23" s="36" t="s">
        <v>86</v>
      </c>
      <c r="O23">
        <f>O5-O11</f>
        <v>-0.60000000000000009</v>
      </c>
    </row>
    <row r="24" spans="1:18" x14ac:dyDescent="0.3">
      <c r="A24" s="1" t="s">
        <v>67</v>
      </c>
      <c r="B24" s="1">
        <v>0.95</v>
      </c>
      <c r="C24" s="1">
        <v>0.95</v>
      </c>
      <c r="K24" s="36" t="s">
        <v>89</v>
      </c>
      <c r="L24">
        <f>1-_xlfn.NORM.DIST(L23,0,1,1)</f>
        <v>8.6047732519727305E-3</v>
      </c>
      <c r="N24" s="36" t="s">
        <v>98</v>
      </c>
      <c r="O24">
        <f>(O23-O20)/O15</f>
        <v>-0.28861060972249691</v>
      </c>
    </row>
    <row r="25" spans="1:18" x14ac:dyDescent="0.3">
      <c r="A25" s="1" t="s">
        <v>22</v>
      </c>
      <c r="B25" s="1">
        <f>1-B24</f>
        <v>5.0000000000000044E-2</v>
      </c>
      <c r="C25" s="1">
        <f>1-C24</f>
        <v>5.0000000000000044E-2</v>
      </c>
      <c r="K25" s="36" t="s">
        <v>90</v>
      </c>
      <c r="L25">
        <f>L24*2</f>
        <v>1.7209546503945461E-2</v>
      </c>
      <c r="N25" s="36" t="s">
        <v>99</v>
      </c>
      <c r="O25">
        <f>_xlfn.T.DIST(O24,O18,1)</f>
        <v>0.38750263691983644</v>
      </c>
    </row>
    <row r="26" spans="1:18" x14ac:dyDescent="0.3">
      <c r="A26" s="1" t="s">
        <v>68</v>
      </c>
      <c r="B26" s="1">
        <f>ABS(_xlfn.T.INV(B25/1,B22-1))</f>
        <v>1.7613101357748921</v>
      </c>
      <c r="C26" s="1">
        <f>ABS(_xlfn.T.INV(C25/1,C22-1))</f>
        <v>1.7613101357748921</v>
      </c>
      <c r="N26" s="36" t="s">
        <v>90</v>
      </c>
      <c r="O26">
        <f>O25*2</f>
        <v>0.77500527383967288</v>
      </c>
    </row>
    <row r="27" spans="1:18" x14ac:dyDescent="0.3">
      <c r="A27" s="1" t="s">
        <v>69</v>
      </c>
      <c r="B27" s="1">
        <v>0</v>
      </c>
      <c r="C27" s="1">
        <v>0</v>
      </c>
    </row>
    <row r="28" spans="1:18" x14ac:dyDescent="0.3">
      <c r="A28" s="1" t="s">
        <v>70</v>
      </c>
      <c r="B28" s="1">
        <f>B27+B23/SQRT(B22)*B26</f>
        <v>2.3303112849240573</v>
      </c>
      <c r="C28" s="1">
        <f>C27+C23/SQRT(C22)*C26</f>
        <v>2.8243796056808308</v>
      </c>
    </row>
    <row r="29" spans="1:18" x14ac:dyDescent="0.3">
      <c r="A29" s="14" t="s">
        <v>94</v>
      </c>
      <c r="B29">
        <f>B27-B23/SQRT(B22)*B26</f>
        <v>-2.3303112849240573</v>
      </c>
      <c r="C29">
        <f>C27-C23/SQRT(C22)*C26</f>
        <v>-2.8243796056808308</v>
      </c>
    </row>
    <row r="30" spans="1:18" x14ac:dyDescent="0.3">
      <c r="A30" s="1" t="s">
        <v>71</v>
      </c>
      <c r="B30" s="1">
        <f>(B21-B27)/(B23/SQRT(B22))</f>
        <v>1.8139826868655875</v>
      </c>
      <c r="C30" s="1">
        <f>(C21-C27)/(C23/SQRT(C22))</f>
        <v>1.8708286933869709</v>
      </c>
    </row>
    <row r="31" spans="1:18" x14ac:dyDescent="0.3">
      <c r="A31" s="1" t="s">
        <v>72</v>
      </c>
      <c r="B31" s="1">
        <f>1-_xlfn.T.DIST(B30,B22-1,1)</f>
        <v>4.5582714908602884E-2</v>
      </c>
      <c r="C31" s="1">
        <f>1-_xlfn.T.DIST(C30,C22-1,1)</f>
        <v>4.1208938939739204E-2</v>
      </c>
    </row>
  </sheetData>
  <mergeCells count="7">
    <mergeCell ref="F2:F3"/>
    <mergeCell ref="A1:F1"/>
    <mergeCell ref="K2:L2"/>
    <mergeCell ref="K1:O1"/>
    <mergeCell ref="B2:C2"/>
    <mergeCell ref="D2:E2"/>
    <mergeCell ref="G2: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76353-9072-4BB7-87B4-FCEB17BE2974}">
  <dimension ref="A1:S43"/>
  <sheetViews>
    <sheetView topLeftCell="A28" zoomScale="85" zoomScaleNormal="85" workbookViewId="0">
      <selection activeCell="H33" sqref="H33"/>
    </sheetView>
  </sheetViews>
  <sheetFormatPr defaultRowHeight="14.4" x14ac:dyDescent="0.3"/>
  <cols>
    <col min="1" max="1" width="31.109375" style="18" customWidth="1"/>
    <col min="2" max="2" width="11.33203125" style="10" bestFit="1" customWidth="1"/>
    <col min="3" max="5" width="8.88671875" style="10"/>
    <col min="6" max="6" width="17.44140625" style="10" customWidth="1"/>
    <col min="7" max="7" width="15.33203125" style="10" customWidth="1"/>
    <col min="8" max="8" width="14" style="10" customWidth="1"/>
    <col min="9" max="9" width="15.44140625" style="10" customWidth="1"/>
    <col min="10" max="13" width="19.77734375" style="10" customWidth="1"/>
    <col min="14" max="14" width="15.88671875" style="10" customWidth="1"/>
    <col min="15" max="15" width="8.88671875" style="10"/>
    <col min="16" max="19" width="17.44140625" style="10" customWidth="1"/>
    <col min="20" max="16384" width="8.88671875" style="10"/>
  </cols>
  <sheetData>
    <row r="1" spans="1:19" customFormat="1" ht="43.2" x14ac:dyDescent="0.3">
      <c r="A1" s="42" t="s">
        <v>107</v>
      </c>
      <c r="B1" s="15"/>
      <c r="C1" s="15"/>
      <c r="D1" s="15"/>
    </row>
    <row r="2" spans="1:19" ht="87" thickBot="1" x14ac:dyDescent="0.35">
      <c r="A2" s="18" t="s">
        <v>148</v>
      </c>
    </row>
    <row r="3" spans="1:19" s="41" customFormat="1" ht="93" customHeight="1" x14ac:dyDescent="0.3">
      <c r="A3" s="41" t="s">
        <v>151</v>
      </c>
      <c r="B3" s="44" t="s">
        <v>75</v>
      </c>
      <c r="C3" s="45" t="s">
        <v>77</v>
      </c>
      <c r="D3" s="45" t="s">
        <v>108</v>
      </c>
      <c r="E3" s="54" t="s">
        <v>109</v>
      </c>
      <c r="F3" s="57" t="s">
        <v>114</v>
      </c>
      <c r="G3" s="58" t="s">
        <v>115</v>
      </c>
      <c r="H3" s="58" t="s">
        <v>116</v>
      </c>
      <c r="I3" s="59" t="s">
        <v>117</v>
      </c>
      <c r="J3" s="57" t="s">
        <v>118</v>
      </c>
      <c r="K3" s="58" t="s">
        <v>119</v>
      </c>
      <c r="L3" s="58" t="s">
        <v>120</v>
      </c>
      <c r="M3" s="59" t="s">
        <v>121</v>
      </c>
      <c r="P3" s="41" t="s">
        <v>144</v>
      </c>
      <c r="Q3" s="41" t="s">
        <v>145</v>
      </c>
      <c r="R3" s="41" t="s">
        <v>146</v>
      </c>
      <c r="S3" s="41" t="s">
        <v>147</v>
      </c>
    </row>
    <row r="4" spans="1:19" x14ac:dyDescent="0.3">
      <c r="A4" s="18">
        <v>1</v>
      </c>
      <c r="B4" s="46">
        <v>-0.10579395997449823</v>
      </c>
      <c r="C4" s="1">
        <v>5.7515113054461402</v>
      </c>
      <c r="D4" s="1">
        <v>-0.96402320104931305</v>
      </c>
      <c r="E4" s="55">
        <v>-0.10288905504675501</v>
      </c>
      <c r="F4" s="60">
        <f>(B4-B$19)^2</f>
        <v>0.11823328868440472</v>
      </c>
      <c r="G4" s="1">
        <f t="shared" ref="G4:I16" si="0">(C4-C$19)^2</f>
        <v>0.68624435076877222</v>
      </c>
      <c r="H4" s="1">
        <f t="shared" si="0"/>
        <v>0.55629321510355678</v>
      </c>
      <c r="I4" s="61">
        <f t="shared" si="0"/>
        <v>0.1427342734493556</v>
      </c>
      <c r="J4" s="65">
        <f>(B4-$B$20)^2</f>
        <v>1.6274323086301019</v>
      </c>
      <c r="K4" s="43">
        <f t="shared" ref="K4:M16" si="1">(C4-$B$20)^2</f>
        <v>20.991028448075078</v>
      </c>
      <c r="L4" s="43">
        <f t="shared" si="1"/>
        <v>4.5536905030137769</v>
      </c>
      <c r="M4" s="66">
        <f t="shared" si="1"/>
        <v>1.6200291229869164</v>
      </c>
      <c r="P4" s="46">
        <f ca="1">_xlfn.NORM.INV(RAND(),0,1)</f>
        <v>-1.695877800585762</v>
      </c>
      <c r="Q4" s="1">
        <f ca="1">_xlfn.NORM.INV(RAND(),5,1)</f>
        <v>4.8805357520693562</v>
      </c>
      <c r="R4" s="1">
        <f ca="1">_xlfn.NORM.INV(RAND(),0,1)</f>
        <v>0.14106685350488585</v>
      </c>
      <c r="S4" s="55">
        <f ca="1">_xlfn.NORM.INV(RAND(),0,1)</f>
        <v>-1.7545278396499827E-2</v>
      </c>
    </row>
    <row r="5" spans="1:19" x14ac:dyDescent="0.3">
      <c r="A5" s="18">
        <v>2</v>
      </c>
      <c r="B5" s="46">
        <v>0.77993231288406328</v>
      </c>
      <c r="C5" s="1">
        <v>5.3178223151576232</v>
      </c>
      <c r="D5" s="1">
        <v>1.0148207372216276</v>
      </c>
      <c r="E5" s="55">
        <v>-4.0958931579233124E-2</v>
      </c>
      <c r="F5" s="60">
        <f t="shared" ref="F5:F18" si="2">(B5-B$19)^2</f>
        <v>0.29362916042412063</v>
      </c>
      <c r="G5" s="1">
        <f t="shared" si="0"/>
        <v>0.1557957285472876</v>
      </c>
      <c r="H5" s="1">
        <f t="shared" si="0"/>
        <v>1.5202724109021213</v>
      </c>
      <c r="I5" s="61">
        <f t="shared" si="0"/>
        <v>0.19336424990889975</v>
      </c>
      <c r="J5" s="65">
        <f t="shared" ref="J5:J18" si="3">(B5-$B$20)^2</f>
        <v>0.15208617773381169</v>
      </c>
      <c r="K5" s="43">
        <f t="shared" si="1"/>
        <v>17.205138482922042</v>
      </c>
      <c r="L5" s="43">
        <f t="shared" si="1"/>
        <v>2.405410367442546E-2</v>
      </c>
      <c r="M5" s="66">
        <f t="shared" si="1"/>
        <v>1.4662146892027395</v>
      </c>
      <c r="P5" s="46">
        <f t="shared" ref="P5:P18" ca="1" si="4">_xlfn.NORM.INV(RAND(),0,1)</f>
        <v>-1.258748102456382</v>
      </c>
      <c r="Q5" s="1">
        <f t="shared" ref="Q5:Q16" ca="1" si="5">_xlfn.NORM.INV(RAND(),5,1)</f>
        <v>5.3692768664575263</v>
      </c>
      <c r="R5" s="1">
        <f t="shared" ref="R5:S15" ca="1" si="6">_xlfn.NORM.INV(RAND(),0,1)</f>
        <v>-0.18696794290908342</v>
      </c>
      <c r="S5" s="55">
        <f t="shared" ca="1" si="6"/>
        <v>-0.1752427184662092</v>
      </c>
    </row>
    <row r="6" spans="1:19" x14ac:dyDescent="0.3">
      <c r="A6" s="18">
        <v>3</v>
      </c>
      <c r="B6" s="46">
        <v>1.6589104312137253</v>
      </c>
      <c r="C6" s="1">
        <v>5.0446978264918911</v>
      </c>
      <c r="D6" s="1">
        <v>-1.827989901782026</v>
      </c>
      <c r="E6" s="55">
        <v>0.82373777045508267</v>
      </c>
      <c r="F6" s="60">
        <f t="shared" si="2"/>
        <v>2.018825274597515</v>
      </c>
      <c r="G6" s="1">
        <f t="shared" si="0"/>
        <v>1.4782957846650041E-2</v>
      </c>
      <c r="H6" s="1">
        <f t="shared" si="0"/>
        <v>2.5915119523584402</v>
      </c>
      <c r="I6" s="61">
        <f t="shared" si="0"/>
        <v>1.7015342923382921</v>
      </c>
      <c r="J6" s="65">
        <f t="shared" si="3"/>
        <v>0.23911693113277765</v>
      </c>
      <c r="K6" s="43">
        <f t="shared" si="1"/>
        <v>15.013945117187269</v>
      </c>
      <c r="L6" s="43">
        <f t="shared" si="1"/>
        <v>8.9874313516041688</v>
      </c>
      <c r="M6" s="66">
        <f t="shared" si="1"/>
        <v>0.11983839151694049</v>
      </c>
      <c r="P6" s="46">
        <f t="shared" ca="1" si="4"/>
        <v>-1.1799857028762148</v>
      </c>
      <c r="Q6" s="1">
        <f t="shared" ca="1" si="5"/>
        <v>4.2686210983172632</v>
      </c>
      <c r="R6" s="1">
        <f t="shared" ca="1" si="6"/>
        <v>1.2802711354356113</v>
      </c>
      <c r="S6" s="55">
        <f t="shared" ca="1" si="6"/>
        <v>-2.0025931646205803</v>
      </c>
    </row>
    <row r="7" spans="1:19" x14ac:dyDescent="0.3">
      <c r="A7" s="18">
        <v>4</v>
      </c>
      <c r="B7" s="46">
        <v>0.17225005916344585</v>
      </c>
      <c r="C7" s="1">
        <v>4.4408529262505594</v>
      </c>
      <c r="D7" s="1">
        <v>0.58874246548966536</v>
      </c>
      <c r="E7" s="55">
        <v>-0.47594830784189124</v>
      </c>
      <c r="F7" s="60">
        <f t="shared" si="2"/>
        <v>4.3305163359166655E-3</v>
      </c>
      <c r="G7" s="1">
        <f t="shared" si="0"/>
        <v>0.23257443042530659</v>
      </c>
      <c r="H7" s="1">
        <f t="shared" si="0"/>
        <v>0.65111181903506021</v>
      </c>
      <c r="I7" s="61">
        <f t="shared" si="0"/>
        <v>2.249267496475437E-5</v>
      </c>
      <c r="J7" s="65">
        <f t="shared" si="3"/>
        <v>0.99533451933643358</v>
      </c>
      <c r="K7" s="43">
        <f t="shared" si="1"/>
        <v>10.699037588907613</v>
      </c>
      <c r="L7" s="43">
        <f t="shared" si="1"/>
        <v>0.33776104019940445</v>
      </c>
      <c r="M7" s="66">
        <f t="shared" si="1"/>
        <v>2.7088646838493191</v>
      </c>
      <c r="P7" s="46">
        <f t="shared" ca="1" si="4"/>
        <v>0.47061501955091845</v>
      </c>
      <c r="Q7" s="1">
        <f t="shared" ca="1" si="5"/>
        <v>4.3334420459793899</v>
      </c>
      <c r="R7" s="1">
        <f t="shared" ca="1" si="6"/>
        <v>-1.0117712119663806</v>
      </c>
      <c r="S7" s="55">
        <f t="shared" ca="1" si="6"/>
        <v>-0.54324862099788773</v>
      </c>
    </row>
    <row r="8" spans="1:19" x14ac:dyDescent="0.3">
      <c r="A8" s="18">
        <v>5</v>
      </c>
      <c r="B8" s="46">
        <v>1.8852687535290948</v>
      </c>
      <c r="C8" s="1">
        <v>3.3415389041821526</v>
      </c>
      <c r="D8" s="1">
        <v>1.1446684455134026</v>
      </c>
      <c r="E8" s="55">
        <v>-0.72449570432028554</v>
      </c>
      <c r="F8" s="60">
        <f t="shared" si="2"/>
        <v>2.7133074902751049</v>
      </c>
      <c r="G8" s="1">
        <f t="shared" si="0"/>
        <v>2.5013754782856901</v>
      </c>
      <c r="H8" s="1">
        <f t="shared" si="0"/>
        <v>1.8573355398891662</v>
      </c>
      <c r="I8" s="61">
        <f t="shared" si="0"/>
        <v>5.9440757184334801E-2</v>
      </c>
      <c r="J8" s="65">
        <f t="shared" si="3"/>
        <v>0.51173157695013838</v>
      </c>
      <c r="K8" s="43">
        <f t="shared" si="1"/>
        <v>4.7159521548790897</v>
      </c>
      <c r="L8" s="43">
        <f t="shared" si="1"/>
        <v>6.3736789360711095E-4</v>
      </c>
      <c r="M8" s="66">
        <f t="shared" si="1"/>
        <v>3.588790369392433</v>
      </c>
      <c r="P8" s="46">
        <f t="shared" ca="1" si="4"/>
        <v>0.26746478291549802</v>
      </c>
      <c r="Q8" s="1">
        <f t="shared" ca="1" si="5"/>
        <v>5.6566749367553681</v>
      </c>
      <c r="R8" s="1">
        <f t="shared" ca="1" si="6"/>
        <v>0.53555632471898984</v>
      </c>
      <c r="S8" s="55">
        <f t="shared" ca="1" si="6"/>
        <v>-0.3205589442764894</v>
      </c>
    </row>
    <row r="9" spans="1:19" x14ac:dyDescent="0.3">
      <c r="A9" s="18">
        <v>6</v>
      </c>
      <c r="B9" s="46">
        <v>-1.6689394083815698</v>
      </c>
      <c r="C9" s="1">
        <v>5.2943936421242821</v>
      </c>
      <c r="D9" s="1">
        <v>0.60971358989683977</v>
      </c>
      <c r="E9" s="55">
        <v>-1.2445924925585852</v>
      </c>
      <c r="F9" s="60">
        <f t="shared" si="2"/>
        <v>3.6366342257064472</v>
      </c>
      <c r="G9" s="1">
        <f t="shared" si="0"/>
        <v>0.13784958337017611</v>
      </c>
      <c r="H9" s="1">
        <f t="shared" si="0"/>
        <v>0.68539543684303383</v>
      </c>
      <c r="I9" s="61">
        <f t="shared" si="0"/>
        <v>0.5835455634496397</v>
      </c>
      <c r="J9" s="65">
        <f t="shared" si="3"/>
        <v>8.0590920333666833</v>
      </c>
      <c r="K9" s="43">
        <f t="shared" si="1"/>
        <v>17.011327437988022</v>
      </c>
      <c r="L9" s="43">
        <f t="shared" si="1"/>
        <v>0.31382516233987445</v>
      </c>
      <c r="M9" s="66">
        <f t="shared" si="1"/>
        <v>5.8298444595840984</v>
      </c>
      <c r="P9" s="46">
        <f t="shared" ca="1" si="4"/>
        <v>1.81240236607298</v>
      </c>
      <c r="Q9" s="1">
        <f t="shared" ca="1" si="5"/>
        <v>3.8925772016320774</v>
      </c>
      <c r="R9" s="1">
        <f t="shared" ca="1" si="6"/>
        <v>-0.24044926656340074</v>
      </c>
      <c r="S9" s="55">
        <f t="shared" ca="1" si="6"/>
        <v>-1.1999629731256956</v>
      </c>
    </row>
    <row r="10" spans="1:19" x14ac:dyDescent="0.3">
      <c r="A10" s="18">
        <v>7</v>
      </c>
      <c r="B10" s="46">
        <v>-0.2921297604722663</v>
      </c>
      <c r="C10" s="1">
        <v>4.713825437997416</v>
      </c>
      <c r="D10" s="1">
        <v>-1.2950837212252846</v>
      </c>
      <c r="E10" s="55">
        <v>-0.4395071526840667</v>
      </c>
      <c r="F10" s="60">
        <f t="shared" si="2"/>
        <v>0.28109770186366934</v>
      </c>
      <c r="G10" s="1">
        <f t="shared" si="0"/>
        <v>4.3801132453213217E-2</v>
      </c>
      <c r="H10" s="1">
        <f t="shared" si="0"/>
        <v>1.1597377016560899</v>
      </c>
      <c r="I10" s="61">
        <f t="shared" si="0"/>
        <v>1.6961053378555285E-3</v>
      </c>
      <c r="J10" s="65">
        <f t="shared" si="3"/>
        <v>2.1375736875064062</v>
      </c>
      <c r="K10" s="43">
        <f t="shared" si="1"/>
        <v>12.559304087019353</v>
      </c>
      <c r="L10" s="43">
        <f t="shared" si="1"/>
        <v>6.0762166823663675</v>
      </c>
      <c r="M10" s="66">
        <f t="shared" si="1"/>
        <v>2.5902383510624247</v>
      </c>
      <c r="P10" s="46">
        <f t="shared" ca="1" si="4"/>
        <v>0.2096734658838349</v>
      </c>
      <c r="Q10" s="1">
        <f t="shared" ca="1" si="5"/>
        <v>5.2092624130565177</v>
      </c>
      <c r="R10" s="1">
        <f t="shared" ca="1" si="6"/>
        <v>0.56066203722968166</v>
      </c>
      <c r="S10" s="55">
        <f t="shared" ca="1" si="6"/>
        <v>0.68753516481568677</v>
      </c>
    </row>
    <row r="11" spans="1:19" x14ac:dyDescent="0.3">
      <c r="A11" s="18">
        <v>8</v>
      </c>
      <c r="B11" s="46">
        <v>0.61875222174752709</v>
      </c>
      <c r="C11" s="1">
        <v>5.0847914873372142</v>
      </c>
      <c r="D11" s="1">
        <v>0.37404309740970471</v>
      </c>
      <c r="E11" s="55">
        <v>-0.42386821534244867</v>
      </c>
      <c r="F11" s="60">
        <f t="shared" si="2"/>
        <v>0.14492906663903538</v>
      </c>
      <c r="G11" s="1">
        <f t="shared" si="0"/>
        <v>2.6140050038492423E-2</v>
      </c>
      <c r="H11" s="1">
        <f t="shared" si="0"/>
        <v>0.35071935601890114</v>
      </c>
      <c r="I11" s="61">
        <f t="shared" si="0"/>
        <v>3.2288234174797487E-3</v>
      </c>
      <c r="J11" s="65">
        <f t="shared" si="3"/>
        <v>0.30377995797154994</v>
      </c>
      <c r="K11" s="43">
        <f t="shared" si="1"/>
        <v>15.326261108562854</v>
      </c>
      <c r="L11" s="43">
        <f t="shared" si="1"/>
        <v>0.63341143530823796</v>
      </c>
      <c r="M11" s="66">
        <f t="shared" si="1"/>
        <v>2.5401436357925515</v>
      </c>
      <c r="P11" s="46">
        <f t="shared" ca="1" si="4"/>
        <v>1.7823983353328079</v>
      </c>
      <c r="Q11" s="1">
        <f t="shared" ca="1" si="5"/>
        <v>4.2385077066091199</v>
      </c>
      <c r="R11" s="1">
        <f t="shared" ca="1" si="6"/>
        <v>1.2846863504607493</v>
      </c>
      <c r="S11" s="55">
        <f t="shared" ca="1" si="6"/>
        <v>-1.5065884480917633</v>
      </c>
    </row>
    <row r="12" spans="1:19" x14ac:dyDescent="0.3">
      <c r="A12" s="18">
        <v>9</v>
      </c>
      <c r="B12" s="46">
        <v>0.4777812317788892</v>
      </c>
      <c r="C12" s="1">
        <v>2.6627198692254233</v>
      </c>
      <c r="D12" s="1">
        <v>-1.0657161829976649</v>
      </c>
      <c r="E12" s="55">
        <v>-1.9898651612038607</v>
      </c>
      <c r="F12" s="60">
        <f t="shared" si="2"/>
        <v>5.7467842547740046E-2</v>
      </c>
      <c r="G12" s="1">
        <f t="shared" si="0"/>
        <v>5.1093754731061072</v>
      </c>
      <c r="H12" s="1">
        <f t="shared" si="0"/>
        <v>0.7183302341900174</v>
      </c>
      <c r="I12" s="61">
        <f t="shared" si="0"/>
        <v>2.2776067932951376</v>
      </c>
      <c r="J12" s="65">
        <f t="shared" si="3"/>
        <v>0.47904858781512799</v>
      </c>
      <c r="K12" s="43">
        <f t="shared" si="1"/>
        <v>2.228467596824641</v>
      </c>
      <c r="L12" s="43">
        <f t="shared" si="1"/>
        <v>4.9980449604504731</v>
      </c>
      <c r="M12" s="66">
        <f t="shared" si="1"/>
        <v>9.9842080864021092</v>
      </c>
      <c r="P12" s="46">
        <f t="shared" ca="1" si="4"/>
        <v>-0.10293671734833458</v>
      </c>
      <c r="Q12" s="1">
        <f t="shared" ca="1" si="5"/>
        <v>5.510214524170018</v>
      </c>
      <c r="R12" s="1">
        <f t="shared" ca="1" si="6"/>
        <v>-0.25478931156466739</v>
      </c>
      <c r="S12" s="55">
        <f t="shared" ca="1" si="6"/>
        <v>-1.0911132596864521</v>
      </c>
    </row>
    <row r="13" spans="1:19" x14ac:dyDescent="0.3">
      <c r="A13" s="18">
        <v>10</v>
      </c>
      <c r="B13" s="46">
        <v>-0.35064776708192597</v>
      </c>
      <c r="C13" s="1">
        <v>5.3309673095106564</v>
      </c>
      <c r="D13" s="1">
        <v>1.0446429516213014</v>
      </c>
      <c r="E13" s="55">
        <v>-1.2526840366996792</v>
      </c>
      <c r="F13" s="60">
        <f t="shared" si="2"/>
        <v>0.34657297065436116</v>
      </c>
      <c r="G13" s="1">
        <f t="shared" si="0"/>
        <v>0.16634543235534616</v>
      </c>
      <c r="H13" s="1">
        <f t="shared" si="0"/>
        <v>1.5947029548466098</v>
      </c>
      <c r="I13" s="61">
        <f t="shared" si="0"/>
        <v>0.5959733226036753</v>
      </c>
      <c r="J13" s="65">
        <f t="shared" si="3"/>
        <v>2.3121098867235368</v>
      </c>
      <c r="K13" s="43">
        <f t="shared" si="1"/>
        <v>17.314359721003999</v>
      </c>
      <c r="L13" s="43">
        <f t="shared" si="1"/>
        <v>1.5692983789806682E-2</v>
      </c>
      <c r="M13" s="66">
        <f t="shared" si="1"/>
        <v>5.8689841139720338</v>
      </c>
      <c r="P13" s="46">
        <f t="shared" ca="1" si="4"/>
        <v>-0.18817487666319213</v>
      </c>
      <c r="Q13" s="1">
        <f t="shared" ca="1" si="5"/>
        <v>4.1422214647714011</v>
      </c>
      <c r="R13" s="1">
        <f t="shared" ca="1" si="6"/>
        <v>0.39627415394123239</v>
      </c>
      <c r="S13" s="55">
        <f t="shared" ca="1" si="6"/>
        <v>-0.59665416019069373</v>
      </c>
    </row>
    <row r="14" spans="1:19" x14ac:dyDescent="0.3">
      <c r="A14" s="18">
        <v>11</v>
      </c>
      <c r="B14" s="46">
        <v>-1.1377833079153092</v>
      </c>
      <c r="C14" s="1">
        <v>5.3358744263246116</v>
      </c>
      <c r="D14" s="1">
        <v>-2.9187718812390058</v>
      </c>
      <c r="E14" s="55">
        <v>0.58347081325114047</v>
      </c>
      <c r="F14" s="60">
        <f t="shared" si="2"/>
        <v>1.8929357766740942</v>
      </c>
      <c r="G14" s="1">
        <f t="shared" si="0"/>
        <v>0.17037229317457692</v>
      </c>
      <c r="H14" s="1">
        <f t="shared" si="0"/>
        <v>7.2932368254933806</v>
      </c>
      <c r="I14" s="61">
        <f t="shared" si="0"/>
        <v>1.1324402629263057</v>
      </c>
      <c r="J14" s="65">
        <f t="shared" si="3"/>
        <v>5.3254695955536313</v>
      </c>
      <c r="K14" s="43">
        <f t="shared" si="1"/>
        <v>17.355221344310781</v>
      </c>
      <c r="L14" s="43">
        <f t="shared" si="1"/>
        <v>16.717357073400372</v>
      </c>
      <c r="M14" s="66">
        <f t="shared" si="1"/>
        <v>0.34391630519617244</v>
      </c>
      <c r="P14" s="46">
        <f t="shared" ca="1" si="4"/>
        <v>1.5458985743847871</v>
      </c>
      <c r="Q14" s="1">
        <f t="shared" ca="1" si="5"/>
        <v>4.1824244408201379</v>
      </c>
      <c r="R14" s="1">
        <f t="shared" ca="1" si="6"/>
        <v>2.0971320647694434</v>
      </c>
      <c r="S14" s="55">
        <f t="shared" ca="1" si="6"/>
        <v>9.4078610202236387E-2</v>
      </c>
    </row>
    <row r="15" spans="1:19" x14ac:dyDescent="0.3">
      <c r="A15" s="18">
        <v>12</v>
      </c>
      <c r="B15" s="46">
        <v>-0.73599376549915918</v>
      </c>
      <c r="C15" s="1">
        <v>6.0054016274225841</v>
      </c>
      <c r="D15" s="1">
        <v>0.6768831735576224</v>
      </c>
      <c r="E15" s="55"/>
      <c r="F15" s="60">
        <f t="shared" si="2"/>
        <v>0.94877434423747997</v>
      </c>
      <c r="G15" s="1">
        <f t="shared" si="0"/>
        <v>1.1713494547208081</v>
      </c>
      <c r="H15" s="1">
        <f t="shared" si="0"/>
        <v>0.80112472255280809</v>
      </c>
      <c r="I15" s="61"/>
      <c r="J15" s="65">
        <f t="shared" si="3"/>
        <v>3.6324866657646937</v>
      </c>
      <c r="K15" s="43">
        <f t="shared" si="1"/>
        <v>23.381934873343717</v>
      </c>
      <c r="L15" s="43">
        <f t="shared" si="1"/>
        <v>0.24307997920385299</v>
      </c>
      <c r="M15" s="66"/>
      <c r="P15" s="46">
        <f t="shared" ca="1" si="4"/>
        <v>1.6248759145805092</v>
      </c>
      <c r="Q15" s="1">
        <f t="shared" ca="1" si="5"/>
        <v>3.8054078719568478</v>
      </c>
      <c r="R15" s="1">
        <f t="shared" ca="1" si="6"/>
        <v>-0.33251329707075783</v>
      </c>
      <c r="S15" s="55"/>
    </row>
    <row r="16" spans="1:19" x14ac:dyDescent="0.3">
      <c r="A16" s="18">
        <v>13</v>
      </c>
      <c r="B16" s="46">
        <v>0.9875411781508604</v>
      </c>
      <c r="C16" s="1">
        <v>5.6760672279677831</v>
      </c>
      <c r="D16" s="1"/>
      <c r="E16" s="55"/>
      <c r="F16" s="60">
        <f t="shared" si="2"/>
        <v>0.56172695613648349</v>
      </c>
      <c r="G16" s="1">
        <f t="shared" si="0"/>
        <v>0.56694061322854594</v>
      </c>
      <c r="H16" s="1"/>
      <c r="I16" s="61"/>
      <c r="J16" s="65">
        <f t="shared" si="3"/>
        <v>3.3260061943069033E-2</v>
      </c>
      <c r="K16" s="43">
        <f t="shared" si="1"/>
        <v>20.305411581997777</v>
      </c>
      <c r="L16" s="43"/>
      <c r="M16" s="66"/>
      <c r="P16" s="46">
        <f t="shared" ca="1" si="4"/>
        <v>1.2079599272800352</v>
      </c>
      <c r="Q16" s="1">
        <f t="shared" ca="1" si="5"/>
        <v>3.9373126676286661</v>
      </c>
      <c r="R16" s="1"/>
      <c r="S16" s="55"/>
    </row>
    <row r="17" spans="1:19" x14ac:dyDescent="0.3">
      <c r="A17" s="18">
        <v>14</v>
      </c>
      <c r="B17" s="46">
        <v>0.76974285484676164</v>
      </c>
      <c r="C17" s="1"/>
      <c r="D17" s="1"/>
      <c r="E17" s="55"/>
      <c r="F17" s="60">
        <f t="shared" si="2"/>
        <v>0.28269014820644467</v>
      </c>
      <c r="G17" s="1"/>
      <c r="H17" s="1"/>
      <c r="I17" s="61"/>
      <c r="J17" s="65">
        <f t="shared" si="3"/>
        <v>0.16013741891799774</v>
      </c>
      <c r="K17" s="43"/>
      <c r="L17" s="43"/>
      <c r="M17" s="66"/>
      <c r="P17" s="46">
        <f t="shared" ca="1" si="4"/>
        <v>1.0311880140442371</v>
      </c>
      <c r="Q17" s="1"/>
      <c r="R17" s="1"/>
      <c r="S17" s="55"/>
    </row>
    <row r="18" spans="1:19" ht="15" thickBot="1" x14ac:dyDescent="0.35">
      <c r="A18" s="18">
        <v>15</v>
      </c>
      <c r="B18" s="48">
        <v>0.51195969472090541</v>
      </c>
      <c r="C18" s="15"/>
      <c r="D18" s="15"/>
      <c r="E18" s="56"/>
      <c r="F18" s="62">
        <f t="shared" si="2"/>
        <v>7.5022840703664273E-2</v>
      </c>
      <c r="G18" s="63"/>
      <c r="H18" s="63"/>
      <c r="I18" s="64"/>
      <c r="J18" s="67">
        <f t="shared" si="3"/>
        <v>0.43290464636317877</v>
      </c>
      <c r="K18" s="68"/>
      <c r="L18" s="68"/>
      <c r="M18" s="69"/>
      <c r="P18" s="46">
        <f t="shared" ca="1" si="4"/>
        <v>-0.56698894791173304</v>
      </c>
      <c r="Q18" s="15"/>
      <c r="R18" s="15"/>
      <c r="S18" s="56"/>
    </row>
    <row r="19" spans="1:19" x14ac:dyDescent="0.3">
      <c r="A19" s="44" t="s">
        <v>110</v>
      </c>
      <c r="B19" s="49">
        <f>AVERAGE(B4:B18)</f>
        <v>0.23805671791403632</v>
      </c>
      <c r="C19" s="49">
        <f t="shared" ref="C19:E19" si="7">AVERAGE(C4:C18)</f>
        <v>4.9231126388798714</v>
      </c>
      <c r="D19" s="49">
        <f t="shared" si="7"/>
        <v>-0.21817253563192751</v>
      </c>
      <c r="E19" s="29">
        <f t="shared" si="7"/>
        <v>-0.48069095214278018</v>
      </c>
      <c r="J19" s="40"/>
      <c r="K19" s="40"/>
      <c r="L19" s="40"/>
      <c r="M19" s="40"/>
    </row>
    <row r="20" spans="1:19" x14ac:dyDescent="0.3">
      <c r="A20" s="50" t="s">
        <v>111</v>
      </c>
      <c r="B20" s="1">
        <f>AVERAGE(B4:E18)</f>
        <v>1.1699145916273566</v>
      </c>
      <c r="C20" s="1"/>
      <c r="D20" s="1"/>
      <c r="E20" s="31"/>
      <c r="J20" s="40"/>
      <c r="K20" s="40"/>
      <c r="L20" s="40"/>
      <c r="M20" s="40"/>
    </row>
    <row r="21" spans="1:19" ht="28.8" x14ac:dyDescent="0.3">
      <c r="A21" s="50" t="s">
        <v>123</v>
      </c>
      <c r="B21" s="74">
        <f>SUM(F4:I18)</f>
        <v>50.830483687482598</v>
      </c>
      <c r="C21" s="1"/>
      <c r="D21" s="1"/>
      <c r="E21" s="31"/>
      <c r="G21" t="s">
        <v>126</v>
      </c>
      <c r="H21"/>
      <c r="I21"/>
      <c r="J21"/>
      <c r="K21"/>
      <c r="L21"/>
      <c r="M21"/>
    </row>
    <row r="22" spans="1:19" ht="28.8" x14ac:dyDescent="0.3">
      <c r="A22" s="51" t="s">
        <v>122</v>
      </c>
      <c r="B22" s="1">
        <f>(B19-$B$20)^2</f>
        <v>0.86835909680151036</v>
      </c>
      <c r="C22" s="1">
        <f t="shared" ref="C22:E22" si="8">(C19-$B$20)^2</f>
        <v>14.086495581900092</v>
      </c>
      <c r="D22" s="1">
        <f t="shared" si="8"/>
        <v>1.9267858728629319</v>
      </c>
      <c r="E22" s="31">
        <f t="shared" si="8"/>
        <v>2.7244986611247088</v>
      </c>
      <c r="G22"/>
      <c r="H22"/>
      <c r="I22"/>
      <c r="J22"/>
      <c r="K22"/>
      <c r="L22"/>
      <c r="M22"/>
    </row>
    <row r="23" spans="1:19" ht="29.4" thickBot="1" x14ac:dyDescent="0.35">
      <c r="A23" s="51" t="s">
        <v>113</v>
      </c>
      <c r="B23" s="1">
        <f>COUNT(B4:B18)*B22</f>
        <v>13.025386452022655</v>
      </c>
      <c r="C23" s="1">
        <f t="shared" ref="C23:E23" si="9">COUNT(C4:C18)*C22</f>
        <v>183.12444256470118</v>
      </c>
      <c r="D23" s="1">
        <f t="shared" si="9"/>
        <v>23.121430474355183</v>
      </c>
      <c r="E23" s="31">
        <f t="shared" si="9"/>
        <v>29.969485272371799</v>
      </c>
      <c r="G23" t="s">
        <v>127</v>
      </c>
      <c r="H23"/>
      <c r="I23"/>
      <c r="J23"/>
      <c r="K23"/>
      <c r="L23"/>
      <c r="M23"/>
    </row>
    <row r="24" spans="1:19" ht="28.8" x14ac:dyDescent="0.3">
      <c r="A24" s="51" t="s">
        <v>112</v>
      </c>
      <c r="B24" s="73">
        <f>SUM(B23:E23)</f>
        <v>249.24074476345081</v>
      </c>
      <c r="C24" s="1"/>
      <c r="D24" s="1"/>
      <c r="E24" s="31"/>
      <c r="G24" s="72" t="s">
        <v>128</v>
      </c>
      <c r="H24" s="72" t="s">
        <v>129</v>
      </c>
      <c r="I24" s="72" t="s">
        <v>130</v>
      </c>
      <c r="J24" s="72" t="s">
        <v>131</v>
      </c>
      <c r="K24" s="72" t="s">
        <v>132</v>
      </c>
      <c r="L24"/>
      <c r="M24"/>
    </row>
    <row r="25" spans="1:19" ht="28.8" x14ac:dyDescent="0.3">
      <c r="A25" s="50" t="s">
        <v>124</v>
      </c>
      <c r="B25" s="12">
        <f>SUM(J4:M18)</f>
        <v>300.07122845093346</v>
      </c>
      <c r="C25" s="1"/>
      <c r="D25" s="1"/>
      <c r="E25" s="31"/>
      <c r="G25" s="70" t="s">
        <v>75</v>
      </c>
      <c r="H25" s="70">
        <v>15</v>
      </c>
      <c r="I25" s="70">
        <v>3.5708507687105446</v>
      </c>
      <c r="J25" s="70">
        <v>0.23805671791403632</v>
      </c>
      <c r="K25" s="70">
        <v>0.95544125740617736</v>
      </c>
      <c r="L25"/>
      <c r="M25"/>
    </row>
    <row r="26" spans="1:19" ht="15" thickBot="1" x14ac:dyDescent="0.35">
      <c r="A26" s="52" t="s">
        <v>125</v>
      </c>
      <c r="B26" s="53">
        <f>B21+B24</f>
        <v>300.0712284509334</v>
      </c>
      <c r="C26" s="47"/>
      <c r="D26" s="47"/>
      <c r="E26" s="33"/>
      <c r="G26" s="70" t="s">
        <v>77</v>
      </c>
      <c r="H26" s="70">
        <v>13</v>
      </c>
      <c r="I26" s="70">
        <v>64.000464305438328</v>
      </c>
      <c r="J26" s="70">
        <v>4.9231126388798714</v>
      </c>
      <c r="K26" s="70">
        <v>0.91524558152675206</v>
      </c>
      <c r="L26"/>
      <c r="M26"/>
    </row>
    <row r="27" spans="1:19" x14ac:dyDescent="0.3">
      <c r="G27" s="70" t="s">
        <v>108</v>
      </c>
      <c r="H27" s="70">
        <v>12</v>
      </c>
      <c r="I27" s="70">
        <v>-2.6180704275831301</v>
      </c>
      <c r="J27" s="70">
        <v>-0.21817253563192751</v>
      </c>
      <c r="K27" s="70">
        <v>1.7981611062626532</v>
      </c>
      <c r="L27"/>
      <c r="M27"/>
    </row>
    <row r="28" spans="1:19" ht="15" thickBot="1" x14ac:dyDescent="0.35">
      <c r="G28" s="71" t="s">
        <v>109</v>
      </c>
      <c r="H28" s="71">
        <v>11</v>
      </c>
      <c r="I28" s="71">
        <v>-5.2876004735705822</v>
      </c>
      <c r="J28" s="71">
        <v>-0.48069095214278018</v>
      </c>
      <c r="K28" s="71">
        <v>0.66915869365859426</v>
      </c>
      <c r="L28"/>
      <c r="M28"/>
    </row>
    <row r="29" spans="1:19" x14ac:dyDescent="0.3">
      <c r="G29"/>
      <c r="H29"/>
      <c r="I29"/>
      <c r="J29"/>
      <c r="K29"/>
      <c r="L29"/>
      <c r="M29"/>
    </row>
    <row r="30" spans="1:19" x14ac:dyDescent="0.3">
      <c r="G30"/>
      <c r="H30"/>
      <c r="I30"/>
      <c r="J30"/>
      <c r="K30"/>
      <c r="L30"/>
      <c r="M30"/>
    </row>
    <row r="31" spans="1:19" ht="15" thickBot="1" x14ac:dyDescent="0.35">
      <c r="G31" t="s">
        <v>133</v>
      </c>
      <c r="H31"/>
      <c r="I31"/>
      <c r="J31"/>
      <c r="K31"/>
      <c r="L31"/>
      <c r="M31"/>
    </row>
    <row r="32" spans="1:19" x14ac:dyDescent="0.3">
      <c r="G32" s="72" t="s">
        <v>134</v>
      </c>
      <c r="H32" s="72" t="s">
        <v>135</v>
      </c>
      <c r="I32" s="72" t="s">
        <v>136</v>
      </c>
      <c r="J32" s="72" t="s">
        <v>137</v>
      </c>
      <c r="K32" s="72" t="s">
        <v>138</v>
      </c>
      <c r="L32" s="72" t="s">
        <v>139</v>
      </c>
      <c r="M32" s="72" t="s">
        <v>140</v>
      </c>
    </row>
    <row r="33" spans="7:13" x14ac:dyDescent="0.3">
      <c r="G33" s="70" t="s">
        <v>141</v>
      </c>
      <c r="H33" s="73">
        <v>249.24074476345089</v>
      </c>
      <c r="I33" s="70">
        <v>3</v>
      </c>
      <c r="J33" s="70">
        <v>83.080248254483635</v>
      </c>
      <c r="K33" s="70">
        <v>76.819486746735649</v>
      </c>
      <c r="L33" s="75">
        <v>3.8500274666151392E-18</v>
      </c>
      <c r="M33" s="70">
        <v>2.8023551760961714</v>
      </c>
    </row>
    <row r="34" spans="7:13" x14ac:dyDescent="0.3">
      <c r="G34" s="70" t="s">
        <v>142</v>
      </c>
      <c r="H34" s="74">
        <v>50.830483687482577</v>
      </c>
      <c r="I34" s="70">
        <v>47</v>
      </c>
      <c r="J34" s="70">
        <v>1.0814996529251613</v>
      </c>
      <c r="K34" s="70"/>
      <c r="L34" s="70"/>
      <c r="M34" s="70"/>
    </row>
    <row r="35" spans="7:13" x14ac:dyDescent="0.3">
      <c r="G35" s="70"/>
      <c r="H35" s="70"/>
      <c r="I35" s="70"/>
      <c r="J35" s="70"/>
      <c r="K35" s="70"/>
      <c r="L35" s="70"/>
      <c r="M35" s="70"/>
    </row>
    <row r="36" spans="7:13" ht="15" thickBot="1" x14ac:dyDescent="0.35">
      <c r="G36" s="71" t="s">
        <v>143</v>
      </c>
      <c r="H36" s="12">
        <v>300.07122845093346</v>
      </c>
      <c r="I36" s="71">
        <v>50</v>
      </c>
      <c r="J36" s="71"/>
      <c r="K36" s="71"/>
      <c r="L36" s="71"/>
      <c r="M36" s="71"/>
    </row>
    <row r="38" spans="7:13" x14ac:dyDescent="0.3">
      <c r="G38" s="83" t="s">
        <v>152</v>
      </c>
      <c r="H38" s="84"/>
      <c r="I38" s="84"/>
      <c r="J38" s="84"/>
      <c r="K38" s="84"/>
      <c r="L38" s="84"/>
      <c r="M38" s="84"/>
    </row>
    <row r="39" spans="7:13" x14ac:dyDescent="0.3">
      <c r="G39" s="84"/>
      <c r="H39" s="84"/>
      <c r="I39" s="84"/>
      <c r="J39" s="84"/>
      <c r="K39" s="84"/>
      <c r="L39" s="84"/>
      <c r="M39" s="84"/>
    </row>
    <row r="40" spans="7:13" x14ac:dyDescent="0.3">
      <c r="G40" s="84"/>
      <c r="H40" s="84"/>
      <c r="I40" s="84"/>
      <c r="J40" s="84"/>
      <c r="K40" s="84"/>
      <c r="L40" s="84"/>
      <c r="M40" s="84"/>
    </row>
    <row r="41" spans="7:13" x14ac:dyDescent="0.3">
      <c r="G41" s="84"/>
      <c r="H41" s="84"/>
      <c r="I41" s="84"/>
      <c r="J41" s="84"/>
      <c r="K41" s="84"/>
      <c r="L41" s="84"/>
      <c r="M41" s="84"/>
    </row>
    <row r="42" spans="7:13" x14ac:dyDescent="0.3">
      <c r="G42" s="84"/>
      <c r="H42" s="84"/>
      <c r="I42" s="84"/>
      <c r="J42" s="84"/>
      <c r="K42" s="84"/>
      <c r="L42" s="84"/>
      <c r="M42" s="84"/>
    </row>
    <row r="43" spans="7:13" ht="125.4" customHeight="1" x14ac:dyDescent="0.3">
      <c r="G43" s="84"/>
      <c r="H43" s="84"/>
      <c r="I43" s="84"/>
      <c r="J43" s="84"/>
      <c r="K43" s="84"/>
      <c r="L43" s="84"/>
      <c r="M43" s="84"/>
    </row>
  </sheetData>
  <mergeCells count="1">
    <mergeCell ref="G38:M43"/>
  </mergeCells>
  <phoneticPr fontId="4"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49E2C-4374-4F6A-80C9-4EA3F3FB6AC2}">
  <dimension ref="A1:S64"/>
  <sheetViews>
    <sheetView tabSelected="1" topLeftCell="A27" zoomScale="115" zoomScaleNormal="115" workbookViewId="0">
      <selection activeCell="G33" sqref="G33"/>
    </sheetView>
  </sheetViews>
  <sheetFormatPr defaultRowHeight="14.4" x14ac:dyDescent="0.3"/>
  <cols>
    <col min="1" max="1" width="31.109375" style="18" customWidth="1"/>
    <col min="2" max="2" width="11.33203125" style="10" bestFit="1" customWidth="1"/>
    <col min="3" max="5" width="8.88671875" style="10"/>
    <col min="6" max="6" width="17.44140625" style="10" customWidth="1"/>
    <col min="7" max="7" width="15.33203125" style="10" customWidth="1"/>
    <col min="8" max="8" width="14" style="10" customWidth="1"/>
    <col min="9" max="9" width="15.44140625" style="10" customWidth="1"/>
    <col min="10" max="13" width="19.77734375" style="10" customWidth="1"/>
    <col min="14" max="15" width="8.88671875" style="10"/>
    <col min="16" max="19" width="17.44140625" style="10" customWidth="1"/>
    <col min="20" max="16384" width="8.88671875" style="10"/>
  </cols>
  <sheetData>
    <row r="1" spans="1:19" customFormat="1" ht="43.2" x14ac:dyDescent="0.3">
      <c r="A1" s="42" t="s">
        <v>107</v>
      </c>
      <c r="B1" s="15"/>
      <c r="C1" s="15"/>
      <c r="D1" s="15"/>
    </row>
    <row r="2" spans="1:19" ht="58.2" thickBot="1" x14ac:dyDescent="0.35">
      <c r="A2" s="18" t="s">
        <v>149</v>
      </c>
    </row>
    <row r="3" spans="1:19" s="41" customFormat="1" ht="93" customHeight="1" x14ac:dyDescent="0.3">
      <c r="A3" s="41" t="s">
        <v>153</v>
      </c>
      <c r="B3" s="44" t="s">
        <v>75</v>
      </c>
      <c r="C3" s="45" t="s">
        <v>77</v>
      </c>
      <c r="D3" s="45" t="s">
        <v>108</v>
      </c>
      <c r="E3" s="54" t="s">
        <v>109</v>
      </c>
      <c r="F3" s="57" t="s">
        <v>114</v>
      </c>
      <c r="G3" s="58" t="s">
        <v>115</v>
      </c>
      <c r="H3" s="58" t="s">
        <v>116</v>
      </c>
      <c r="I3" s="59" t="s">
        <v>117</v>
      </c>
      <c r="J3" s="57" t="s">
        <v>118</v>
      </c>
      <c r="K3" s="58" t="s">
        <v>119</v>
      </c>
      <c r="L3" s="58" t="s">
        <v>120</v>
      </c>
      <c r="M3" s="59" t="s">
        <v>121</v>
      </c>
      <c r="P3" s="41" t="s">
        <v>144</v>
      </c>
      <c r="Q3" s="41" t="s">
        <v>150</v>
      </c>
      <c r="R3" s="41" t="s">
        <v>146</v>
      </c>
      <c r="S3" s="41" t="s">
        <v>147</v>
      </c>
    </row>
    <row r="4" spans="1:19" x14ac:dyDescent="0.3">
      <c r="A4" s="18">
        <v>1</v>
      </c>
      <c r="B4" s="46">
        <v>0.88308295765702871</v>
      </c>
      <c r="C4" s="46">
        <v>0.31651740081759133</v>
      </c>
      <c r="D4" s="1">
        <v>-0.39899538775502924</v>
      </c>
      <c r="E4" s="55">
        <v>1.511115104539557</v>
      </c>
      <c r="F4" s="60">
        <f>(B4-B$19)^2</f>
        <v>0.31387572581983153</v>
      </c>
      <c r="G4" s="1">
        <f t="shared" ref="G4:I16" si="0">(C4-C$19)^2</f>
        <v>5.0442036217678711E-2</v>
      </c>
      <c r="H4" s="1">
        <f t="shared" si="0"/>
        <v>7.9382273201984349E-2</v>
      </c>
      <c r="I4" s="61">
        <f t="shared" si="0"/>
        <v>2.3913598838286707</v>
      </c>
      <c r="J4" s="65">
        <f>(B4-$B$20)^2</f>
        <v>0.6398363004371469</v>
      </c>
      <c r="K4" s="43">
        <f t="shared" ref="K4:M16" si="1">(C4-$B$20)^2</f>
        <v>5.4443880272617727E-2</v>
      </c>
      <c r="L4" s="43">
        <f t="shared" si="1"/>
        <v>0.23249819291104076</v>
      </c>
      <c r="M4" s="66">
        <f t="shared" si="1"/>
        <v>2.0389835940135033</v>
      </c>
      <c r="P4" s="46">
        <f ca="1">_xlfn.NORM.INV(RAND(),0,1)</f>
        <v>-7.3196884600783024E-2</v>
      </c>
      <c r="Q4" s="46">
        <f ca="1">_xlfn.NORM.INV(RAND(),0,1)</f>
        <v>-2.1000807692605594</v>
      </c>
      <c r="R4" s="1">
        <f ca="1">_xlfn.NORM.INV(RAND(),0,1)</f>
        <v>-2.0874930926500696E-3</v>
      </c>
      <c r="S4" s="55">
        <f ca="1">_xlfn.NORM.INV(RAND(),0,1)</f>
        <v>-0.56773472974367811</v>
      </c>
    </row>
    <row r="5" spans="1:19" x14ac:dyDescent="0.3">
      <c r="A5" s="18">
        <v>2</v>
      </c>
      <c r="B5" s="46">
        <v>0.3317898107799413</v>
      </c>
      <c r="C5" s="46">
        <v>-2.3665142142904032E-2</v>
      </c>
      <c r="D5" s="1">
        <v>-0.46455741015049057</v>
      </c>
      <c r="E5" s="55">
        <v>0.39118943661091166</v>
      </c>
      <c r="F5" s="60">
        <f t="shared" ref="F5:F18" si="2">(B5-B$19)^2</f>
        <v>8.0155901043873839E-5</v>
      </c>
      <c r="G5" s="1">
        <f t="shared" si="0"/>
        <v>1.3360931855896529E-2</v>
      </c>
      <c r="H5" s="1">
        <f t="shared" si="0"/>
        <v>0.12062466793567399</v>
      </c>
      <c r="I5" s="61">
        <f t="shared" si="0"/>
        <v>0.18188226540925476</v>
      </c>
      <c r="J5" s="65">
        <f t="shared" ref="J5:J18" si="3">(B5-$B$20)^2</f>
        <v>6.1804214500833538E-2</v>
      </c>
      <c r="K5" s="43">
        <f t="shared" si="1"/>
        <v>1.1417011948567663E-2</v>
      </c>
      <c r="L5" s="43">
        <f t="shared" si="1"/>
        <v>0.30002205069914739</v>
      </c>
      <c r="M5" s="66">
        <f t="shared" si="1"/>
        <v>9.4866562690585271E-2</v>
      </c>
      <c r="P5" s="46">
        <f t="shared" ref="P5:Q18" ca="1" si="4">_xlfn.NORM.INV(RAND(),0,1)</f>
        <v>0.18478782877125322</v>
      </c>
      <c r="Q5" s="46">
        <f t="shared" ca="1" si="4"/>
        <v>0.52004048841168637</v>
      </c>
      <c r="R5" s="1">
        <f t="shared" ref="R5:S15" ca="1" si="5">_xlfn.NORM.INV(RAND(),0,1)</f>
        <v>-1.7036520890363371</v>
      </c>
      <c r="S5" s="55">
        <f t="shared" ca="1" si="5"/>
        <v>0.60842417591712827</v>
      </c>
    </row>
    <row r="6" spans="1:19" x14ac:dyDescent="0.3">
      <c r="A6" s="18">
        <v>3</v>
      </c>
      <c r="B6" s="46">
        <v>-0.35527913452347576</v>
      </c>
      <c r="C6" s="46">
        <v>-0.64899767775715267</v>
      </c>
      <c r="D6" s="1">
        <v>0.87883114924418892</v>
      </c>
      <c r="E6" s="55">
        <v>-0.50153231251526686</v>
      </c>
      <c r="F6" s="60">
        <f t="shared" si="2"/>
        <v>0.45984125859990743</v>
      </c>
      <c r="G6" s="1">
        <f t="shared" si="0"/>
        <v>0.54896545866439383</v>
      </c>
      <c r="H6" s="1">
        <f t="shared" si="0"/>
        <v>0.99217125799066952</v>
      </c>
      <c r="I6" s="61">
        <f t="shared" si="0"/>
        <v>0.21738456634747344</v>
      </c>
      <c r="J6" s="65">
        <f t="shared" si="3"/>
        <v>0.19225103967016396</v>
      </c>
      <c r="K6" s="43">
        <f t="shared" si="1"/>
        <v>0.53609187839786021</v>
      </c>
      <c r="L6" s="43">
        <f t="shared" si="1"/>
        <v>0.63305235493099687</v>
      </c>
      <c r="M6" s="66">
        <f t="shared" si="1"/>
        <v>0.34189465881847947</v>
      </c>
      <c r="P6" s="46">
        <f t="shared" ca="1" si="4"/>
        <v>-0.35984663815397788</v>
      </c>
      <c r="Q6" s="46">
        <f t="shared" ca="1" si="4"/>
        <v>-0.54154885440657352</v>
      </c>
      <c r="R6" s="1">
        <f t="shared" ca="1" si="5"/>
        <v>-1.5903013037854534</v>
      </c>
      <c r="S6" s="55">
        <f t="shared" ca="1" si="5"/>
        <v>-2.0258448141254961</v>
      </c>
    </row>
    <row r="7" spans="1:19" x14ac:dyDescent="0.3">
      <c r="A7" s="18">
        <v>4</v>
      </c>
      <c r="B7" s="46">
        <v>0.34541553662838687</v>
      </c>
      <c r="C7" s="46">
        <v>0.51789996805526806</v>
      </c>
      <c r="D7" s="1">
        <v>0.18083441286420709</v>
      </c>
      <c r="E7" s="55">
        <v>-0.31946887747577069</v>
      </c>
      <c r="F7" s="60">
        <f t="shared" si="2"/>
        <v>5.0979808429892277E-4</v>
      </c>
      <c r="G7" s="1">
        <f t="shared" si="0"/>
        <v>0.18145522289515786</v>
      </c>
      <c r="H7" s="1">
        <f t="shared" si="0"/>
        <v>8.885240258576714E-2</v>
      </c>
      <c r="I7" s="61">
        <f t="shared" si="0"/>
        <v>8.0759263238829371E-2</v>
      </c>
      <c r="J7" s="65">
        <f t="shared" si="3"/>
        <v>6.8764709365277329E-2</v>
      </c>
      <c r="K7" s="43">
        <f t="shared" si="1"/>
        <v>0.18897686311744405</v>
      </c>
      <c r="L7" s="43">
        <f t="shared" si="1"/>
        <v>9.535353846928659E-3</v>
      </c>
      <c r="M7" s="66">
        <f t="shared" si="1"/>
        <v>0.16213036765517108</v>
      </c>
      <c r="P7" s="46">
        <f t="shared" ca="1" si="4"/>
        <v>1.273064949477271</v>
      </c>
      <c r="Q7" s="46">
        <f t="shared" ca="1" si="4"/>
        <v>0.95048153402068258</v>
      </c>
      <c r="R7" s="1">
        <f t="shared" ca="1" si="5"/>
        <v>-1.8881160062977287</v>
      </c>
      <c r="S7" s="55">
        <f t="shared" ca="1" si="5"/>
        <v>0.71775823525364846</v>
      </c>
    </row>
    <row r="8" spans="1:19" x14ac:dyDescent="0.3">
      <c r="A8" s="18">
        <v>5</v>
      </c>
      <c r="B8" s="46">
        <v>0.84248668020073836</v>
      </c>
      <c r="C8" s="46">
        <v>0.10181529660021739</v>
      </c>
      <c r="D8" s="1">
        <v>-1.0450835786747115</v>
      </c>
      <c r="E8" s="55">
        <v>0.18555675787986367</v>
      </c>
      <c r="F8" s="60">
        <f t="shared" si="2"/>
        <v>0.27003596891465048</v>
      </c>
      <c r="G8" s="1">
        <f t="shared" si="0"/>
        <v>9.7830725212905573E-5</v>
      </c>
      <c r="H8" s="1">
        <f t="shared" si="0"/>
        <v>0.86088110926695938</v>
      </c>
      <c r="I8" s="61">
        <f t="shared" si="0"/>
        <v>4.8772024647554632E-2</v>
      </c>
      <c r="J8" s="65">
        <f t="shared" si="3"/>
        <v>0.57653862177274151</v>
      </c>
      <c r="K8" s="43">
        <f t="shared" si="1"/>
        <v>3.4707765165379473E-4</v>
      </c>
      <c r="L8" s="43">
        <f t="shared" si="1"/>
        <v>1.2729906093925689</v>
      </c>
      <c r="M8" s="66">
        <f t="shared" si="1"/>
        <v>1.0479920214850207E-2</v>
      </c>
      <c r="P8" s="46">
        <f t="shared" ca="1" si="4"/>
        <v>0.80716190502959961</v>
      </c>
      <c r="Q8" s="46">
        <f t="shared" ca="1" si="4"/>
        <v>0.72316862613287947</v>
      </c>
      <c r="R8" s="1">
        <f t="shared" ca="1" si="5"/>
        <v>0.36822980238106418</v>
      </c>
      <c r="S8" s="55">
        <f t="shared" ca="1" si="5"/>
        <v>-0.22602216413927995</v>
      </c>
    </row>
    <row r="9" spans="1:19" x14ac:dyDescent="0.3">
      <c r="A9" s="18">
        <v>6</v>
      </c>
      <c r="B9" s="46">
        <v>0.87297805487037783</v>
      </c>
      <c r="C9" s="46">
        <v>-1.5573932187823505</v>
      </c>
      <c r="D9" s="1">
        <v>0.42959994885474345</v>
      </c>
      <c r="E9" s="55">
        <v>-1.0434433477136589</v>
      </c>
      <c r="F9" s="60">
        <f t="shared" si="2"/>
        <v>0.30265536952616023</v>
      </c>
      <c r="G9" s="1">
        <f t="shared" si="0"/>
        <v>2.7202484592750107</v>
      </c>
      <c r="H9" s="1">
        <f t="shared" si="0"/>
        <v>0.29904135411707206</v>
      </c>
      <c r="I9" s="61">
        <f t="shared" si="0"/>
        <v>1.0163789509440166</v>
      </c>
      <c r="J9" s="65">
        <f t="shared" si="3"/>
        <v>0.62377263288128115</v>
      </c>
      <c r="K9" s="43">
        <f t="shared" si="1"/>
        <v>2.6914977989434381</v>
      </c>
      <c r="L9" s="43">
        <f t="shared" si="1"/>
        <v>0.12000312527320794</v>
      </c>
      <c r="M9" s="66">
        <f t="shared" si="1"/>
        <v>1.2692920567331161</v>
      </c>
      <c r="P9" s="46">
        <f t="shared" ca="1" si="4"/>
        <v>0.78134348740592607</v>
      </c>
      <c r="Q9" s="46">
        <f t="shared" ca="1" si="4"/>
        <v>0.23845077414807139</v>
      </c>
      <c r="R9" s="1">
        <f t="shared" ca="1" si="5"/>
        <v>0.44377998580287503</v>
      </c>
      <c r="S9" s="55">
        <f t="shared" ca="1" si="5"/>
        <v>-0.86720397040278718</v>
      </c>
    </row>
    <row r="10" spans="1:19" x14ac:dyDescent="0.3">
      <c r="A10" s="18">
        <v>7</v>
      </c>
      <c r="B10" s="46">
        <v>2.0001919156438923</v>
      </c>
      <c r="C10" s="46">
        <v>0.69480713807500505</v>
      </c>
      <c r="D10" s="1">
        <v>1.2665617163293694</v>
      </c>
      <c r="E10" s="55">
        <v>-0.21997064475642381</v>
      </c>
      <c r="F10" s="60">
        <f t="shared" si="2"/>
        <v>2.8135200901171573</v>
      </c>
      <c r="G10" s="1">
        <f t="shared" si="0"/>
        <v>0.36346765009620202</v>
      </c>
      <c r="H10" s="1">
        <f t="shared" si="0"/>
        <v>1.9149259779407819</v>
      </c>
      <c r="I10" s="61">
        <f t="shared" si="0"/>
        <v>3.4107999089364016E-2</v>
      </c>
      <c r="J10" s="65">
        <f t="shared" si="3"/>
        <v>3.6749144548015726</v>
      </c>
      <c r="K10" s="43">
        <f t="shared" si="1"/>
        <v>0.37408130164574871</v>
      </c>
      <c r="L10" s="43">
        <f t="shared" si="1"/>
        <v>1.4003797985159621</v>
      </c>
      <c r="M10" s="66">
        <f t="shared" si="1"/>
        <v>9.190351254858152E-2</v>
      </c>
      <c r="P10" s="46">
        <f t="shared" ca="1" si="4"/>
        <v>-0.20725073222076995</v>
      </c>
      <c r="Q10" s="46">
        <f t="shared" ca="1" si="4"/>
        <v>-0.13291240534512386</v>
      </c>
      <c r="R10" s="1">
        <f t="shared" ca="1" si="5"/>
        <v>-1.8843477871920264</v>
      </c>
      <c r="S10" s="55">
        <f t="shared" ca="1" si="5"/>
        <v>-2.1126332225441558</v>
      </c>
    </row>
    <row r="11" spans="1:19" x14ac:dyDescent="0.3">
      <c r="A11" s="18">
        <v>8</v>
      </c>
      <c r="B11" s="46">
        <v>0.42860578722450926</v>
      </c>
      <c r="C11" s="46">
        <v>-1.9412129507388447</v>
      </c>
      <c r="D11" s="1">
        <v>3.8634647436464324E-2</v>
      </c>
      <c r="E11" s="55">
        <v>0.54075115802840246</v>
      </c>
      <c r="F11" s="60">
        <f t="shared" si="2"/>
        <v>1.1187072739995429E-2</v>
      </c>
      <c r="G11" s="1">
        <f t="shared" si="0"/>
        <v>4.1336473040951329</v>
      </c>
      <c r="H11" s="1">
        <f t="shared" si="0"/>
        <v>2.4299022058652042E-2</v>
      </c>
      <c r="I11" s="61">
        <f t="shared" si="0"/>
        <v>0.33182011405752304</v>
      </c>
      <c r="J11" s="65">
        <f t="shared" si="3"/>
        <v>0.11931532927959938</v>
      </c>
      <c r="K11" s="43">
        <f t="shared" si="1"/>
        <v>4.0981881821522901</v>
      </c>
      <c r="L11" s="43">
        <f t="shared" si="1"/>
        <v>1.9847585434540128E-3</v>
      </c>
      <c r="M11" s="66">
        <f t="shared" si="1"/>
        <v>0.20936653600565167</v>
      </c>
      <c r="P11" s="46">
        <f t="shared" ca="1" si="4"/>
        <v>0.91860990764569428</v>
      </c>
      <c r="Q11" s="46">
        <f t="shared" ca="1" si="4"/>
        <v>1.419724298718956</v>
      </c>
      <c r="R11" s="1">
        <f t="shared" ca="1" si="5"/>
        <v>-1.6830220209106956</v>
      </c>
      <c r="S11" s="55">
        <f t="shared" ca="1" si="5"/>
        <v>-0.54387510401820127</v>
      </c>
    </row>
    <row r="12" spans="1:19" x14ac:dyDescent="0.3">
      <c r="A12" s="18">
        <v>9</v>
      </c>
      <c r="B12" s="46">
        <v>-0.49794925848462329</v>
      </c>
      <c r="C12" s="46">
        <v>-0.21341287367577641</v>
      </c>
      <c r="D12" s="1">
        <v>-0.46054235996885134</v>
      </c>
      <c r="E12" s="55">
        <v>-0.6256451573543772</v>
      </c>
      <c r="F12" s="60">
        <f t="shared" si="2"/>
        <v>0.67368979973136089</v>
      </c>
      <c r="G12" s="1">
        <f t="shared" si="0"/>
        <v>9.3230823231641377E-2</v>
      </c>
      <c r="H12" s="1">
        <f t="shared" si="0"/>
        <v>0.11785184941426664</v>
      </c>
      <c r="I12" s="61">
        <f t="shared" si="0"/>
        <v>0.34852259556002491</v>
      </c>
      <c r="J12" s="65">
        <f t="shared" si="3"/>
        <v>0.33771734766697037</v>
      </c>
      <c r="K12" s="43">
        <f t="shared" si="1"/>
        <v>8.7970462644400116E-2</v>
      </c>
      <c r="L12" s="43">
        <f t="shared" si="1"/>
        <v>0.29563974258063935</v>
      </c>
      <c r="M12" s="66">
        <f t="shared" si="1"/>
        <v>0.50244058385472168</v>
      </c>
      <c r="P12" s="46">
        <f t="shared" ca="1" si="4"/>
        <v>1.5811737572167139</v>
      </c>
      <c r="Q12" s="46">
        <f t="shared" ca="1" si="4"/>
        <v>0.25714314257243431</v>
      </c>
      <c r="R12" s="1">
        <f t="shared" ca="1" si="5"/>
        <v>-0.23639565329966467</v>
      </c>
      <c r="S12" s="55">
        <f t="shared" ca="1" si="5"/>
        <v>-1.0942306964747639</v>
      </c>
    </row>
    <row r="13" spans="1:19" x14ac:dyDescent="0.3">
      <c r="A13" s="18">
        <v>10</v>
      </c>
      <c r="B13" s="46">
        <v>0.10418430579815666</v>
      </c>
      <c r="C13" s="46">
        <v>1.4418718151845935</v>
      </c>
      <c r="D13" s="1">
        <v>-0.90777736726373037</v>
      </c>
      <c r="E13" s="55">
        <v>-0.71634177286796308</v>
      </c>
      <c r="F13" s="60">
        <f t="shared" si="2"/>
        <v>4.7808925455801843E-2</v>
      </c>
      <c r="G13" s="1">
        <f t="shared" si="0"/>
        <v>1.8223581451870439</v>
      </c>
      <c r="H13" s="1">
        <f t="shared" si="0"/>
        <v>0.62493859601611068</v>
      </c>
      <c r="I13" s="61">
        <f t="shared" si="0"/>
        <v>0.46383542091723051</v>
      </c>
      <c r="J13" s="65">
        <f t="shared" si="3"/>
        <v>4.4095923452991978E-4</v>
      </c>
      <c r="K13" s="43">
        <f t="shared" si="1"/>
        <v>1.8460291106010389</v>
      </c>
      <c r="L13" s="43">
        <f t="shared" si="1"/>
        <v>0.98200696119055819</v>
      </c>
      <c r="M13" s="66">
        <f t="shared" si="1"/>
        <v>0.63924350255434004</v>
      </c>
      <c r="P13" s="46">
        <f t="shared" ca="1" si="4"/>
        <v>0.6804262359705977</v>
      </c>
      <c r="Q13" s="46">
        <f t="shared" ca="1" si="4"/>
        <v>0.24508325965394748</v>
      </c>
      <c r="R13" s="1">
        <f t="shared" ca="1" si="5"/>
        <v>0.17573876434425417</v>
      </c>
      <c r="S13" s="55">
        <f t="shared" ca="1" si="5"/>
        <v>1.1865218044898969</v>
      </c>
    </row>
    <row r="14" spans="1:19" x14ac:dyDescent="0.3">
      <c r="A14" s="18">
        <v>11</v>
      </c>
      <c r="B14" s="46">
        <v>1.37561733241392</v>
      </c>
      <c r="C14" s="46">
        <v>2.1097982077447113</v>
      </c>
      <c r="D14" s="1">
        <v>-0.69575822288258882</v>
      </c>
      <c r="E14" s="55">
        <v>0.409631179958375</v>
      </c>
      <c r="F14" s="60">
        <f t="shared" si="2"/>
        <v>1.1083467905194113</v>
      </c>
      <c r="G14" s="1">
        <f t="shared" si="0"/>
        <v>4.0718148854834721</v>
      </c>
      <c r="H14" s="1">
        <f t="shared" si="0"/>
        <v>0.33467547975208278</v>
      </c>
      <c r="I14" s="61">
        <f t="shared" si="0"/>
        <v>0.19795230623036134</v>
      </c>
      <c r="J14" s="65">
        <f t="shared" si="3"/>
        <v>1.670380619342529</v>
      </c>
      <c r="K14" s="43">
        <f t="shared" si="1"/>
        <v>4.1071599733840918</v>
      </c>
      <c r="L14" s="43">
        <f t="shared" si="1"/>
        <v>0.60675297511669635</v>
      </c>
      <c r="M14" s="66">
        <f t="shared" si="1"/>
        <v>0.10656692793240367</v>
      </c>
      <c r="P14" s="46">
        <f t="shared" ca="1" si="4"/>
        <v>0.66126441275550119</v>
      </c>
      <c r="Q14" s="46">
        <f t="shared" ca="1" si="4"/>
        <v>-0.47384158160759648</v>
      </c>
      <c r="R14" s="1">
        <f t="shared" ca="1" si="5"/>
        <v>-0.87573508602219441</v>
      </c>
      <c r="S14" s="55">
        <f t="shared" ca="1" si="5"/>
        <v>-0.77058559153243522</v>
      </c>
    </row>
    <row r="15" spans="1:19" x14ac:dyDescent="0.3">
      <c r="A15" s="18">
        <v>12</v>
      </c>
      <c r="B15" s="46">
        <v>-0.92202386760356692</v>
      </c>
      <c r="C15" s="46">
        <v>0.25502634966106491</v>
      </c>
      <c r="D15" s="1">
        <v>-0.22870900961163584</v>
      </c>
      <c r="E15" s="55"/>
      <c r="F15" s="60">
        <f t="shared" si="2"/>
        <v>1.5496781514049325</v>
      </c>
      <c r="G15" s="1">
        <f t="shared" si="0"/>
        <v>2.6602260653744204E-2</v>
      </c>
      <c r="H15" s="1">
        <f t="shared" si="0"/>
        <v>1.2423826742977512E-2</v>
      </c>
      <c r="I15" s="61"/>
      <c r="J15" s="65">
        <f t="shared" si="3"/>
        <v>1.0104454232427023</v>
      </c>
      <c r="K15" s="43">
        <f t="shared" si="1"/>
        <v>2.9529354450228879E-2</v>
      </c>
      <c r="L15" s="43">
        <f t="shared" si="1"/>
        <v>9.7278045663561991E-2</v>
      </c>
      <c r="M15" s="66"/>
      <c r="P15" s="46">
        <f t="shared" ca="1" si="4"/>
        <v>-0.12477814204950892</v>
      </c>
      <c r="Q15" s="46">
        <f t="shared" ca="1" si="4"/>
        <v>-0.79164457634522989</v>
      </c>
      <c r="R15" s="1">
        <f t="shared" ca="1" si="5"/>
        <v>1.0260707636150477</v>
      </c>
      <c r="S15" s="55"/>
    </row>
    <row r="16" spans="1:19" x14ac:dyDescent="0.3">
      <c r="A16" s="18">
        <v>13</v>
      </c>
      <c r="B16" s="46">
        <v>1.2098280762078566</v>
      </c>
      <c r="C16" s="46">
        <v>0.14196230230425036</v>
      </c>
      <c r="D16" s="1"/>
      <c r="E16" s="55"/>
      <c r="F16" s="60">
        <f t="shared" si="2"/>
        <v>0.7867534744355682</v>
      </c>
      <c r="G16" s="1">
        <f t="shared" si="0"/>
        <v>2.503796167761892E-3</v>
      </c>
      <c r="H16" s="1"/>
      <c r="I16" s="61"/>
      <c r="J16" s="65">
        <f t="shared" si="3"/>
        <v>1.2693239982980054</v>
      </c>
      <c r="K16" s="43">
        <f t="shared" si="1"/>
        <v>3.4547387709727749E-3</v>
      </c>
      <c r="L16" s="43"/>
      <c r="M16" s="66"/>
      <c r="P16" s="46">
        <f t="shared" ca="1" si="4"/>
        <v>-0.2777148706369349</v>
      </c>
      <c r="Q16" s="46">
        <f t="shared" ca="1" si="4"/>
        <v>0.41252931021076084</v>
      </c>
      <c r="R16" s="1"/>
      <c r="S16" s="55"/>
    </row>
    <row r="17" spans="1:19" x14ac:dyDescent="0.3">
      <c r="A17" s="18">
        <v>14</v>
      </c>
      <c r="B17" s="46">
        <v>-1.5053705539314164</v>
      </c>
      <c r="C17" s="1"/>
      <c r="D17" s="1"/>
      <c r="E17" s="55"/>
      <c r="F17" s="60">
        <f t="shared" si="2"/>
        <v>3.3423422312697131</v>
      </c>
      <c r="G17" s="1"/>
      <c r="H17" s="1"/>
      <c r="I17" s="61"/>
      <c r="J17" s="65">
        <f t="shared" si="3"/>
        <v>2.5235096261657772</v>
      </c>
      <c r="K17" s="43"/>
      <c r="L17" s="43"/>
      <c r="M17" s="66"/>
      <c r="P17" s="46">
        <f t="shared" ca="1" si="4"/>
        <v>-0.54610224865571289</v>
      </c>
      <c r="Q17" s="1"/>
      <c r="R17" s="1"/>
      <c r="S17" s="55"/>
    </row>
    <row r="18" spans="1:19" ht="15" thickBot="1" x14ac:dyDescent="0.35">
      <c r="A18" s="18">
        <v>15</v>
      </c>
      <c r="B18" s="46">
        <v>-0.27100522320503706</v>
      </c>
      <c r="C18" s="15"/>
      <c r="D18" s="15"/>
      <c r="E18" s="56"/>
      <c r="F18" s="62">
        <f t="shared" si="2"/>
        <v>0.35264838175380631</v>
      </c>
      <c r="G18" s="63"/>
      <c r="H18" s="63"/>
      <c r="I18" s="64"/>
      <c r="J18" s="67">
        <f t="shared" si="3"/>
        <v>0.12545091002960521</v>
      </c>
      <c r="K18" s="68"/>
      <c r="L18" s="68"/>
      <c r="M18" s="69"/>
      <c r="P18" s="46">
        <f t="shared" ca="1" si="4"/>
        <v>0.81419685629921057</v>
      </c>
      <c r="Q18" s="15"/>
      <c r="R18" s="15"/>
      <c r="S18" s="56"/>
    </row>
    <row r="19" spans="1:19" x14ac:dyDescent="0.3">
      <c r="A19" s="44" t="s">
        <v>110</v>
      </c>
      <c r="B19" s="49">
        <f>AVERAGE(B4:B18)</f>
        <v>0.32283682797844582</v>
      </c>
      <c r="C19" s="49">
        <f t="shared" ref="C19:E19" si="6">AVERAGE(C4:C18)</f>
        <v>9.1924355026590257E-2</v>
      </c>
      <c r="D19" s="49">
        <f t="shared" si="6"/>
        <v>-0.1172467884648387</v>
      </c>
      <c r="E19" s="29">
        <f t="shared" si="6"/>
        <v>-3.5287134151486446E-2</v>
      </c>
      <c r="J19" s="40"/>
      <c r="K19" s="40"/>
      <c r="L19" s="40"/>
      <c r="M19" s="40"/>
    </row>
    <row r="20" spans="1:19" x14ac:dyDescent="0.3">
      <c r="A20" s="50" t="s">
        <v>111</v>
      </c>
      <c r="B20" s="1">
        <f>AVERAGE(B4:E18)</f>
        <v>8.3185276427018576E-2</v>
      </c>
      <c r="C20" s="1"/>
      <c r="D20" s="1"/>
      <c r="E20" s="31"/>
      <c r="J20" s="40"/>
      <c r="K20" s="40"/>
      <c r="L20" s="40"/>
      <c r="M20" s="40"/>
    </row>
    <row r="21" spans="1:19" ht="28.8" x14ac:dyDescent="0.3">
      <c r="A21" s="50" t="s">
        <v>123</v>
      </c>
      <c r="B21" s="74">
        <f>SUM(F4:I18)</f>
        <v>36.844011206115304</v>
      </c>
      <c r="C21" s="1"/>
      <c r="D21" s="1"/>
      <c r="E21" s="31"/>
      <c r="G21" t="s">
        <v>126</v>
      </c>
      <c r="H21"/>
      <c r="I21"/>
      <c r="J21"/>
      <c r="K21"/>
      <c r="L21"/>
      <c r="M21"/>
    </row>
    <row r="22" spans="1:19" ht="28.8" x14ac:dyDescent="0.3">
      <c r="A22" s="51" t="s">
        <v>122</v>
      </c>
      <c r="B22" s="1">
        <f>(B19-$B$20)^2</f>
        <v>5.7432866161006395E-2</v>
      </c>
      <c r="C22" s="1">
        <f t="shared" ref="C22:E22" si="7">(C19-$B$20)^2</f>
        <v>7.6371494769491739E-5</v>
      </c>
      <c r="D22" s="1">
        <f t="shared" si="7"/>
        <v>4.0173012636813686E-2</v>
      </c>
      <c r="E22" s="31">
        <f t="shared" si="7"/>
        <v>1.4035712068281869E-2</v>
      </c>
      <c r="G22"/>
      <c r="H22"/>
      <c r="I22"/>
      <c r="J22"/>
      <c r="K22"/>
      <c r="L22"/>
      <c r="M22"/>
    </row>
    <row r="23" spans="1:19" ht="29.4" thickBot="1" x14ac:dyDescent="0.35">
      <c r="A23" s="51" t="s">
        <v>113</v>
      </c>
      <c r="B23" s="1">
        <f>COUNT(B4:B18)*B22</f>
        <v>0.86149299241509592</v>
      </c>
      <c r="C23" s="1">
        <f t="shared" ref="C23:E23" si="8">COUNT(C4:C18)*C22</f>
        <v>9.9282943200339267E-4</v>
      </c>
      <c r="D23" s="1">
        <f t="shared" si="8"/>
        <v>0.48207615164176421</v>
      </c>
      <c r="E23" s="31">
        <f t="shared" si="8"/>
        <v>0.15439283275110055</v>
      </c>
      <c r="G23" t="s">
        <v>127</v>
      </c>
      <c r="H23"/>
      <c r="I23"/>
      <c r="J23"/>
      <c r="K23"/>
      <c r="L23"/>
      <c r="M23"/>
    </row>
    <row r="24" spans="1:19" ht="28.8" x14ac:dyDescent="0.3">
      <c r="A24" s="51" t="s">
        <v>112</v>
      </c>
      <c r="B24" s="73">
        <f>SUM(B23:E23)</f>
        <v>1.498954806239964</v>
      </c>
      <c r="C24" s="1"/>
      <c r="D24" s="1"/>
      <c r="E24" s="31"/>
      <c r="G24" s="72" t="s">
        <v>128</v>
      </c>
      <c r="H24" s="72" t="s">
        <v>129</v>
      </c>
      <c r="I24" s="72" t="s">
        <v>130</v>
      </c>
      <c r="J24" s="72" t="s">
        <v>131</v>
      </c>
      <c r="K24" s="72" t="s">
        <v>132</v>
      </c>
      <c r="L24"/>
      <c r="M24"/>
    </row>
    <row r="25" spans="1:19" ht="28.8" x14ac:dyDescent="0.3">
      <c r="A25" s="50" t="s">
        <v>124</v>
      </c>
      <c r="B25" s="12">
        <f>SUM(J4:M18)</f>
        <v>38.342966012355248</v>
      </c>
      <c r="C25" s="1"/>
      <c r="D25" s="1"/>
      <c r="E25" s="31"/>
      <c r="G25" s="70" t="s">
        <v>75</v>
      </c>
      <c r="H25" s="70">
        <v>15</v>
      </c>
      <c r="I25" s="70">
        <v>4.8425524196766876</v>
      </c>
      <c r="J25" s="70">
        <v>0.32283682797844582</v>
      </c>
      <c r="K25" s="70">
        <v>0.85949808530525995</v>
      </c>
      <c r="L25"/>
      <c r="M25"/>
    </row>
    <row r="26" spans="1:19" ht="15" thickBot="1" x14ac:dyDescent="0.35">
      <c r="A26" s="52" t="s">
        <v>125</v>
      </c>
      <c r="B26" s="53">
        <f>B21+B24</f>
        <v>38.342966012355269</v>
      </c>
      <c r="C26" s="47"/>
      <c r="D26" s="47"/>
      <c r="E26" s="33"/>
      <c r="G26" s="70" t="s">
        <v>77</v>
      </c>
      <c r="H26" s="70">
        <v>13</v>
      </c>
      <c r="I26" s="70">
        <v>1.1950166153456734</v>
      </c>
      <c r="J26" s="70">
        <v>9.1924355026590257E-2</v>
      </c>
      <c r="K26" s="70">
        <v>1.1690162337123624</v>
      </c>
      <c r="L26"/>
      <c r="M26"/>
    </row>
    <row r="27" spans="1:19" x14ac:dyDescent="0.3">
      <c r="G27" s="70" t="s">
        <v>108</v>
      </c>
      <c r="H27" s="70">
        <v>12</v>
      </c>
      <c r="I27" s="70">
        <v>-1.4069614615780643</v>
      </c>
      <c r="J27" s="70">
        <v>-0.1172467884648387</v>
      </c>
      <c r="K27" s="70">
        <v>0.49727889245663626</v>
      </c>
      <c r="L27"/>
      <c r="M27"/>
    </row>
    <row r="28" spans="1:19" ht="15" thickBot="1" x14ac:dyDescent="0.35">
      <c r="G28" s="71" t="s">
        <v>109</v>
      </c>
      <c r="H28" s="71">
        <v>11</v>
      </c>
      <c r="I28" s="71">
        <v>-0.38815847566635092</v>
      </c>
      <c r="J28" s="71">
        <v>-3.5287134151486446E-2</v>
      </c>
      <c r="K28" s="71">
        <v>0.53127753902703034</v>
      </c>
      <c r="L28"/>
      <c r="M28"/>
    </row>
    <row r="29" spans="1:19" x14ac:dyDescent="0.3">
      <c r="G29"/>
      <c r="H29"/>
      <c r="I29"/>
      <c r="J29"/>
      <c r="K29"/>
      <c r="L29"/>
      <c r="M29"/>
    </row>
    <row r="30" spans="1:19" x14ac:dyDescent="0.3">
      <c r="G30"/>
      <c r="H30"/>
      <c r="I30"/>
      <c r="J30"/>
      <c r="K30"/>
      <c r="L30"/>
      <c r="M30"/>
    </row>
    <row r="31" spans="1:19" ht="15" thickBot="1" x14ac:dyDescent="0.35">
      <c r="G31" t="s">
        <v>133</v>
      </c>
      <c r="H31"/>
      <c r="I31"/>
      <c r="J31"/>
      <c r="K31"/>
      <c r="L31"/>
      <c r="M31"/>
    </row>
    <row r="32" spans="1:19" x14ac:dyDescent="0.3">
      <c r="G32" s="72" t="s">
        <v>134</v>
      </c>
      <c r="H32" s="72" t="s">
        <v>135</v>
      </c>
      <c r="I32" s="72" t="s">
        <v>136</v>
      </c>
      <c r="J32" s="72" t="s">
        <v>137</v>
      </c>
      <c r="K32" s="72" t="s">
        <v>138</v>
      </c>
      <c r="L32" s="72" t="s">
        <v>139</v>
      </c>
      <c r="M32" s="72" t="s">
        <v>140</v>
      </c>
    </row>
    <row r="33" spans="7:14" x14ac:dyDescent="0.3">
      <c r="G33" s="70" t="s">
        <v>141</v>
      </c>
      <c r="H33" s="73">
        <v>1.4989548062399578</v>
      </c>
      <c r="I33" s="70">
        <v>3</v>
      </c>
      <c r="J33" s="70">
        <v>0.49965160207998593</v>
      </c>
      <c r="K33" s="70">
        <v>0.63737971325612819</v>
      </c>
      <c r="L33" s="75">
        <v>0.59470372139536709</v>
      </c>
      <c r="M33" s="70">
        <v>2.8023551760961714</v>
      </c>
    </row>
    <row r="34" spans="7:14" x14ac:dyDescent="0.3">
      <c r="G34" s="70" t="s">
        <v>142</v>
      </c>
      <c r="H34" s="74">
        <v>36.84401120611529</v>
      </c>
      <c r="I34" s="70">
        <v>47</v>
      </c>
      <c r="J34" s="70">
        <v>0.78391513204500618</v>
      </c>
      <c r="K34" s="70"/>
      <c r="L34" s="70"/>
      <c r="M34" s="70"/>
    </row>
    <row r="35" spans="7:14" x14ac:dyDescent="0.3">
      <c r="G35" s="70"/>
      <c r="H35" s="70"/>
      <c r="I35" s="70"/>
      <c r="J35" s="70"/>
      <c r="K35" s="70"/>
      <c r="L35" s="70"/>
      <c r="M35" s="70"/>
    </row>
    <row r="36" spans="7:14" ht="15" thickBot="1" x14ac:dyDescent="0.35">
      <c r="G36" s="71" t="s">
        <v>143</v>
      </c>
      <c r="H36" s="12">
        <v>38.342966012355248</v>
      </c>
      <c r="I36" s="71">
        <v>50</v>
      </c>
      <c r="J36" s="71"/>
      <c r="K36" s="71"/>
      <c r="L36" s="71"/>
      <c r="M36" s="71"/>
    </row>
    <row r="38" spans="7:14" ht="14.4" customHeight="1" x14ac:dyDescent="0.3">
      <c r="G38" s="83" t="s">
        <v>154</v>
      </c>
      <c r="H38" s="84"/>
      <c r="I38" s="84"/>
      <c r="J38" s="84"/>
      <c r="K38" s="84"/>
      <c r="L38" s="84"/>
      <c r="M38" s="84"/>
    </row>
    <row r="39" spans="7:14" x14ac:dyDescent="0.3">
      <c r="G39" s="84"/>
      <c r="H39" s="84"/>
      <c r="I39" s="84"/>
      <c r="J39" s="84"/>
      <c r="K39" s="84"/>
      <c r="L39" s="84"/>
      <c r="M39" s="84"/>
    </row>
    <row r="40" spans="7:14" x14ac:dyDescent="0.3">
      <c r="G40" s="84"/>
      <c r="H40" s="84"/>
      <c r="I40" s="84"/>
      <c r="J40" s="84"/>
      <c r="K40" s="84"/>
      <c r="L40" s="84"/>
      <c r="M40" s="84"/>
    </row>
    <row r="41" spans="7:14" x14ac:dyDescent="0.3">
      <c r="G41" s="84"/>
      <c r="H41" s="84"/>
      <c r="I41" s="84"/>
      <c r="J41" s="84"/>
      <c r="K41" s="84"/>
      <c r="L41" s="84"/>
      <c r="M41" s="84"/>
    </row>
    <row r="42" spans="7:14" x14ac:dyDescent="0.3">
      <c r="G42" s="84"/>
      <c r="H42" s="84"/>
      <c r="I42" s="84"/>
      <c r="J42" s="84"/>
      <c r="K42" s="84"/>
      <c r="L42" s="84"/>
      <c r="M42" s="84"/>
    </row>
    <row r="43" spans="7:14" ht="153.6" customHeight="1" x14ac:dyDescent="0.3">
      <c r="G43" s="84"/>
      <c r="H43" s="84"/>
      <c r="I43" s="84"/>
      <c r="J43" s="84"/>
      <c r="K43" s="84"/>
      <c r="L43" s="84"/>
      <c r="M43" s="84"/>
    </row>
    <row r="44" spans="7:14" x14ac:dyDescent="0.3">
      <c r="G44" s="78"/>
      <c r="H44" s="78"/>
      <c r="I44" s="78"/>
      <c r="J44" s="78"/>
      <c r="K44" s="78"/>
      <c r="L44" s="78"/>
      <c r="M44" s="78"/>
      <c r="N44" s="76"/>
    </row>
    <row r="46" spans="7:14" x14ac:dyDescent="0.3">
      <c r="L46" s="77"/>
    </row>
    <row r="49" spans="7:13" x14ac:dyDescent="0.3">
      <c r="G49"/>
      <c r="H49"/>
      <c r="I49"/>
      <c r="J49"/>
      <c r="K49"/>
      <c r="L49"/>
      <c r="M49"/>
    </row>
    <row r="50" spans="7:13" x14ac:dyDescent="0.3">
      <c r="G50"/>
      <c r="H50"/>
      <c r="I50"/>
      <c r="J50"/>
      <c r="K50"/>
      <c r="L50"/>
      <c r="M50"/>
    </row>
    <row r="51" spans="7:13" ht="15" thickBot="1" x14ac:dyDescent="0.35">
      <c r="G51"/>
      <c r="H51"/>
      <c r="I51"/>
      <c r="J51"/>
      <c r="K51"/>
      <c r="L51"/>
      <c r="M51"/>
    </row>
    <row r="52" spans="7:13" x14ac:dyDescent="0.3">
      <c r="G52" s="72"/>
      <c r="H52" s="72"/>
      <c r="I52" s="72"/>
      <c r="J52" s="72"/>
      <c r="K52" s="72"/>
      <c r="L52"/>
      <c r="M52"/>
    </row>
    <row r="53" spans="7:13" x14ac:dyDescent="0.3">
      <c r="G53" s="70"/>
      <c r="H53" s="70"/>
      <c r="I53" s="70"/>
      <c r="J53" s="70"/>
      <c r="K53" s="70"/>
      <c r="L53"/>
      <c r="M53"/>
    </row>
    <row r="54" spans="7:13" x14ac:dyDescent="0.3">
      <c r="G54" s="70"/>
      <c r="H54" s="70"/>
      <c r="I54" s="70"/>
      <c r="J54" s="70"/>
      <c r="K54" s="70"/>
      <c r="L54"/>
      <c r="M54"/>
    </row>
    <row r="55" spans="7:13" x14ac:dyDescent="0.3">
      <c r="G55" s="70"/>
      <c r="H55" s="70"/>
      <c r="I55" s="70"/>
      <c r="J55" s="70"/>
      <c r="K55" s="70"/>
      <c r="L55"/>
      <c r="M55"/>
    </row>
    <row r="56" spans="7:13" ht="15" thickBot="1" x14ac:dyDescent="0.35">
      <c r="G56" s="71"/>
      <c r="H56" s="71"/>
      <c r="I56" s="71"/>
      <c r="J56" s="71"/>
      <c r="K56" s="71"/>
      <c r="L56"/>
      <c r="M56"/>
    </row>
    <row r="57" spans="7:13" x14ac:dyDescent="0.3">
      <c r="G57"/>
      <c r="H57"/>
      <c r="I57"/>
      <c r="J57"/>
      <c r="K57"/>
      <c r="L57"/>
      <c r="M57"/>
    </row>
    <row r="58" spans="7:13" x14ac:dyDescent="0.3">
      <c r="G58"/>
      <c r="H58"/>
      <c r="I58"/>
      <c r="J58"/>
      <c r="K58"/>
      <c r="L58"/>
      <c r="M58"/>
    </row>
    <row r="59" spans="7:13" x14ac:dyDescent="0.3">
      <c r="G59"/>
      <c r="H59"/>
      <c r="I59"/>
      <c r="J59"/>
      <c r="K59"/>
      <c r="L59"/>
      <c r="M59"/>
    </row>
    <row r="60" spans="7:13" x14ac:dyDescent="0.3">
      <c r="G60"/>
      <c r="H60"/>
      <c r="I60"/>
      <c r="J60"/>
      <c r="K60"/>
      <c r="L60"/>
      <c r="M60"/>
    </row>
    <row r="61" spans="7:13" x14ac:dyDescent="0.3">
      <c r="G61"/>
      <c r="H61"/>
      <c r="I61"/>
      <c r="J61"/>
      <c r="K61"/>
      <c r="L61"/>
      <c r="M61"/>
    </row>
    <row r="62" spans="7:13" x14ac:dyDescent="0.3">
      <c r="G62"/>
      <c r="H62"/>
      <c r="I62"/>
      <c r="J62"/>
      <c r="K62"/>
      <c r="L62"/>
      <c r="M62"/>
    </row>
    <row r="63" spans="7:13" x14ac:dyDescent="0.3">
      <c r="G63"/>
      <c r="H63"/>
      <c r="I63"/>
      <c r="J63"/>
      <c r="K63"/>
      <c r="L63"/>
      <c r="M63"/>
    </row>
    <row r="64" spans="7:13" x14ac:dyDescent="0.3">
      <c r="G64"/>
      <c r="H64"/>
      <c r="I64"/>
      <c r="J64"/>
      <c r="K64"/>
      <c r="L64"/>
      <c r="M64"/>
    </row>
  </sheetData>
  <mergeCells count="1">
    <mergeCell ref="G38:M4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CI</vt:lpstr>
      <vt:lpstr>Hypothesis</vt:lpstr>
      <vt:lpstr>Rough works</vt:lpstr>
      <vt:lpstr>Comparison Of Two means</vt:lpstr>
      <vt:lpstr>ANOVA - Reject H0</vt:lpstr>
      <vt:lpstr>ANOVA - Dont Reject H0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Sanyal, Sandipto</dc:creator>
  <cp:lastModifiedBy>Sanyal, Sandipto</cp:lastModifiedBy>
  <dcterms:created xsi:type="dcterms:W3CDTF">2015-06-05T18:17:20Z</dcterms:created>
  <dcterms:modified xsi:type="dcterms:W3CDTF">2020-10-20T12:10:22Z</dcterms:modified>
</cp:coreProperties>
</file>