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daily_odds/"/>
    </mc:Choice>
  </mc:AlternateContent>
  <xr:revisionPtr revIDLastSave="0" documentId="13_ncr:1_{1FAAC53C-7B6F-634C-A1E4-47FFBBDC9AAB}" xr6:coauthVersionLast="47" xr6:coauthVersionMax="47" xr10:uidLastSave="{00000000-0000-0000-0000-000000000000}"/>
  <bookViews>
    <workbookView xWindow="-20" yWindow="500" windowWidth="38400" windowHeight="19620" xr2:uid="{00000000-000D-0000-FFFF-FFFF00000000}"/>
  </bookViews>
  <sheets>
    <sheet name="modelled_likelihoods_weight4_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P2" i="1"/>
  <c r="N2" i="1"/>
  <c r="M2" i="1"/>
  <c r="O30" i="1"/>
  <c r="O44" i="1"/>
  <c r="O32" i="1"/>
  <c r="O29" i="1"/>
  <c r="O41" i="1"/>
  <c r="O27" i="1"/>
  <c r="O34" i="1"/>
  <c r="O31" i="1"/>
  <c r="O40" i="1"/>
  <c r="O38" i="1"/>
  <c r="L44" i="1"/>
  <c r="M44" i="1" s="1"/>
  <c r="N44" i="1" s="1"/>
  <c r="L41" i="1"/>
  <c r="L30" i="1"/>
  <c r="L38" i="1"/>
  <c r="L33" i="1"/>
  <c r="M33" i="1" s="1"/>
  <c r="N33" i="1" s="1"/>
  <c r="L28" i="1"/>
  <c r="L34" i="1"/>
  <c r="L32" i="1"/>
  <c r="L29" i="1"/>
  <c r="L27" i="1"/>
  <c r="O42" i="1"/>
  <c r="L42" i="1"/>
  <c r="L40" i="1"/>
  <c r="O37" i="1"/>
  <c r="L37" i="1"/>
  <c r="O26" i="1"/>
  <c r="L26" i="1"/>
  <c r="O43" i="1"/>
  <c r="P43" i="1" s="1"/>
  <c r="Q43" i="1" s="1"/>
  <c r="N4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31" i="1"/>
  <c r="N35" i="1"/>
  <c r="N36" i="1"/>
  <c r="N37" i="1"/>
  <c r="N39" i="1"/>
  <c r="N42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L43" i="1"/>
  <c r="L39" i="1"/>
  <c r="O35" i="1"/>
  <c r="L35" i="1"/>
  <c r="O25" i="1"/>
  <c r="P25" i="1" s="1"/>
  <c r="Q25" i="1" s="1"/>
  <c r="L25" i="1"/>
  <c r="O36" i="1"/>
  <c r="L36" i="1"/>
  <c r="L31" i="1"/>
  <c r="O23" i="1"/>
  <c r="L23" i="1"/>
  <c r="O24" i="1"/>
  <c r="L24" i="1"/>
  <c r="O19" i="1"/>
  <c r="P19" i="1" s="1"/>
  <c r="Q19" i="1" s="1"/>
  <c r="L19" i="1"/>
  <c r="O18" i="1"/>
  <c r="L18" i="1"/>
  <c r="O10" i="1"/>
  <c r="O16" i="1"/>
  <c r="L16" i="1"/>
  <c r="O15" i="1"/>
  <c r="L15" i="1"/>
  <c r="O14" i="1"/>
  <c r="P14" i="1" s="1"/>
  <c r="Q14" i="1" s="1"/>
  <c r="L14" i="1"/>
  <c r="O13" i="1"/>
  <c r="L13" i="1"/>
  <c r="O11" i="1"/>
  <c r="L11" i="1"/>
  <c r="L10" i="1"/>
  <c r="O9" i="1"/>
  <c r="L9" i="1"/>
  <c r="O7" i="1"/>
  <c r="L7" i="1"/>
  <c r="O21" i="1"/>
  <c r="L21" i="1"/>
  <c r="L4" i="1"/>
  <c r="O4" i="1"/>
  <c r="O20" i="1"/>
  <c r="L20" i="1"/>
  <c r="O17" i="1"/>
  <c r="L17" i="1"/>
  <c r="O8" i="1"/>
  <c r="L8" i="1"/>
  <c r="O6" i="1"/>
  <c r="L6" i="1"/>
  <c r="O5" i="1"/>
  <c r="L5" i="1"/>
  <c r="O3" i="1"/>
  <c r="L3" i="1"/>
  <c r="O22" i="1"/>
  <c r="L22" i="1"/>
  <c r="O12" i="1"/>
  <c r="L12" i="1"/>
  <c r="O2" i="1"/>
  <c r="P9" i="1"/>
  <c r="Q9" i="1" s="1"/>
  <c r="P33" i="1"/>
  <c r="Q33" i="1" s="1"/>
  <c r="P40" i="1"/>
  <c r="Q40" i="1" s="1"/>
  <c r="P41" i="1"/>
  <c r="Q41" i="1" s="1"/>
  <c r="S41" i="1" s="1"/>
  <c r="P49" i="1"/>
  <c r="Q49" i="1" s="1"/>
  <c r="P56" i="1"/>
  <c r="Q56" i="1" s="1"/>
  <c r="P57" i="1"/>
  <c r="Q57" i="1" s="1"/>
  <c r="P65" i="1"/>
  <c r="Q65" i="1" s="1"/>
  <c r="P72" i="1"/>
  <c r="Q72" i="1" s="1"/>
  <c r="P73" i="1"/>
  <c r="Q73" i="1" s="1"/>
  <c r="P81" i="1"/>
  <c r="Q81" i="1" s="1"/>
  <c r="P89" i="1"/>
  <c r="Q89" i="1" s="1"/>
  <c r="P96" i="1"/>
  <c r="Q96" i="1" s="1"/>
  <c r="P105" i="1"/>
  <c r="Q105" i="1" s="1"/>
  <c r="P113" i="1"/>
  <c r="Q113" i="1" s="1"/>
  <c r="P120" i="1"/>
  <c r="Q120" i="1" s="1"/>
  <c r="P121" i="1"/>
  <c r="Q121" i="1" s="1"/>
  <c r="P129" i="1"/>
  <c r="Q129" i="1" s="1"/>
  <c r="P137" i="1"/>
  <c r="Q137" i="1" s="1"/>
  <c r="P145" i="1"/>
  <c r="Q145" i="1" s="1"/>
  <c r="P152" i="1"/>
  <c r="Q152" i="1" s="1"/>
  <c r="P153" i="1"/>
  <c r="Q153" i="1" s="1"/>
  <c r="P161" i="1"/>
  <c r="Q161" i="1" s="1"/>
  <c r="P168" i="1"/>
  <c r="Q168" i="1" s="1"/>
  <c r="P169" i="1"/>
  <c r="Q169" i="1" s="1"/>
  <c r="P177" i="1"/>
  <c r="Q177" i="1" s="1"/>
  <c r="P185" i="1"/>
  <c r="Q185" i="1" s="1"/>
  <c r="L2" i="1"/>
  <c r="M9" i="1"/>
  <c r="M24" i="1"/>
  <c r="M25" i="1"/>
  <c r="M32" i="1"/>
  <c r="N32" i="1" s="1"/>
  <c r="M40" i="1"/>
  <c r="N40" i="1" s="1"/>
  <c r="M41" i="1"/>
  <c r="N41" i="1" s="1"/>
  <c r="M48" i="1"/>
  <c r="M49" i="1"/>
  <c r="M56" i="1"/>
  <c r="M57" i="1"/>
  <c r="M65" i="1"/>
  <c r="M72" i="1"/>
  <c r="M73" i="1"/>
  <c r="M80" i="1"/>
  <c r="M81" i="1"/>
  <c r="M89" i="1"/>
  <c r="M96" i="1"/>
  <c r="M104" i="1"/>
  <c r="M105" i="1"/>
  <c r="M112" i="1"/>
  <c r="M113" i="1"/>
  <c r="M120" i="1"/>
  <c r="M121" i="1"/>
  <c r="M128" i="1"/>
  <c r="M129" i="1"/>
  <c r="M137" i="1"/>
  <c r="M144" i="1"/>
  <c r="M145" i="1"/>
  <c r="M152" i="1"/>
  <c r="M153" i="1"/>
  <c r="M160" i="1"/>
  <c r="M161" i="1"/>
  <c r="M168" i="1"/>
  <c r="M169" i="1"/>
  <c r="M176" i="1"/>
  <c r="M177" i="1"/>
  <c r="M184" i="1"/>
  <c r="M185" i="1"/>
  <c r="Q55" i="1"/>
  <c r="Q71" i="1"/>
  <c r="Q95" i="1"/>
  <c r="Q111" i="1"/>
  <c r="Q143" i="1"/>
  <c r="Q158" i="1"/>
  <c r="Q175" i="1"/>
  <c r="V1" i="1"/>
  <c r="S87" i="1"/>
  <c r="S115" i="1"/>
  <c r="S130" i="1"/>
  <c r="S39" i="1"/>
  <c r="S139" i="1"/>
  <c r="S56" i="1"/>
  <c r="S147" i="1"/>
  <c r="S25" i="1"/>
  <c r="S74" i="1"/>
  <c r="S126" i="1"/>
  <c r="S96" i="1"/>
  <c r="S110" i="1"/>
  <c r="S136" i="1"/>
  <c r="S35" i="1"/>
  <c r="S161" i="1"/>
  <c r="S43" i="1"/>
  <c r="S55" i="1"/>
  <c r="S138" i="1"/>
  <c r="S90" i="1"/>
  <c r="S95" i="1"/>
  <c r="S64" i="1"/>
  <c r="S140" i="1"/>
  <c r="S81" i="1"/>
  <c r="S91" i="1"/>
  <c r="S153" i="1"/>
  <c r="S46" i="1"/>
  <c r="S102" i="1"/>
  <c r="S84" i="1"/>
  <c r="S70" i="1"/>
  <c r="S113" i="1"/>
  <c r="S37" i="1"/>
  <c r="S168" i="1"/>
  <c r="S40" i="1"/>
  <c r="S155" i="1"/>
  <c r="S49" i="1"/>
  <c r="S129" i="1"/>
  <c r="S163" i="1"/>
  <c r="S22" i="1"/>
  <c r="S111" i="1"/>
  <c r="S67" i="1"/>
  <c r="S120" i="1"/>
  <c r="S78" i="1"/>
  <c r="S62" i="1"/>
  <c r="S122" i="1"/>
  <c r="S75" i="1"/>
  <c r="S93" i="1"/>
  <c r="S157" i="1"/>
  <c r="S50" i="1"/>
  <c r="S12" i="1"/>
  <c r="S158" i="1"/>
  <c r="S26" i="1"/>
  <c r="S169" i="1"/>
  <c r="S154" i="1"/>
  <c r="S42" i="1"/>
  <c r="S187" i="1"/>
  <c r="S72" i="1"/>
  <c r="S107" i="1"/>
  <c r="S28" i="1"/>
  <c r="S133" i="1"/>
  <c r="S8" i="1"/>
  <c r="S179" i="1"/>
  <c r="S3" i="1"/>
  <c r="S172" i="1"/>
  <c r="S60" i="1"/>
  <c r="S132" i="1"/>
  <c r="S20" i="1"/>
  <c r="S178" i="1"/>
  <c r="S17" i="1"/>
  <c r="S152" i="1"/>
  <c r="S38" i="1"/>
  <c r="S137" i="1"/>
  <c r="S6" i="1"/>
  <c r="S174" i="1"/>
  <c r="S71" i="1"/>
  <c r="S105" i="1"/>
  <c r="S124" i="1"/>
  <c r="S48" i="1"/>
  <c r="S5" i="1"/>
  <c r="S183" i="1"/>
  <c r="S33" i="1"/>
  <c r="S160" i="1"/>
  <c r="S145" i="1"/>
  <c r="S51" i="1"/>
  <c r="S156" i="1"/>
  <c r="S18" i="1"/>
  <c r="S121" i="1"/>
  <c r="S86" i="1"/>
  <c r="S177" i="1"/>
  <c r="S24" i="1"/>
  <c r="S117" i="1"/>
  <c r="S83" i="1"/>
  <c r="S19" i="1"/>
  <c r="S180" i="1"/>
  <c r="S82" i="1"/>
  <c r="S128" i="1"/>
  <c r="S150" i="1"/>
  <c r="S53" i="1"/>
  <c r="S76" i="1"/>
  <c r="S114" i="1"/>
  <c r="S101" i="1"/>
  <c r="S100" i="1"/>
  <c r="S89" i="1"/>
  <c r="S106" i="1"/>
  <c r="S146" i="1"/>
  <c r="S57" i="1"/>
  <c r="S186" i="1"/>
  <c r="S4" i="1"/>
  <c r="S88" i="1"/>
  <c r="S112" i="1"/>
  <c r="S131" i="1"/>
  <c r="S63" i="1"/>
  <c r="S23" i="1"/>
  <c r="S171" i="1"/>
  <c r="S73" i="1"/>
  <c r="S123" i="1"/>
  <c r="S21" i="1"/>
  <c r="S166" i="1"/>
  <c r="S59" i="1"/>
  <c r="S141" i="1"/>
  <c r="S134" i="1"/>
  <c r="S36" i="1"/>
  <c r="S68" i="1"/>
  <c r="S109" i="1"/>
  <c r="S99" i="1"/>
  <c r="S94" i="1"/>
  <c r="S98" i="1"/>
  <c r="S85" i="1"/>
  <c r="S61" i="1"/>
  <c r="S80" i="1"/>
  <c r="S148" i="1"/>
  <c r="S58" i="1"/>
  <c r="S103" i="1"/>
  <c r="S30" i="1"/>
  <c r="S176" i="1"/>
  <c r="S175" i="1"/>
  <c r="S14" i="1"/>
  <c r="S92" i="1"/>
  <c r="S116" i="1"/>
  <c r="S135" i="1"/>
  <c r="S54" i="1"/>
  <c r="S11" i="1"/>
  <c r="S164" i="1"/>
  <c r="S149" i="1"/>
  <c r="S52" i="1"/>
  <c r="S143" i="1"/>
  <c r="S151" i="1"/>
  <c r="S119" i="1"/>
  <c r="S65" i="1"/>
  <c r="S184" i="1"/>
  <c r="S15" i="1"/>
  <c r="S182" i="1"/>
  <c r="S16" i="1"/>
  <c r="S79" i="1"/>
  <c r="S108" i="1"/>
  <c r="S173" i="1"/>
  <c r="S13" i="1"/>
  <c r="S125" i="1"/>
  <c r="S66" i="1"/>
  <c r="S170" i="1"/>
  <c r="S34" i="1"/>
  <c r="S165" i="1"/>
  <c r="S9" i="1"/>
  <c r="S77" i="1"/>
  <c r="S118" i="1"/>
  <c r="S127" i="1"/>
  <c r="S69" i="1"/>
  <c r="S185" i="1"/>
  <c r="S10" i="1"/>
  <c r="S142" i="1"/>
  <c r="S162" i="1"/>
  <c r="S159" i="1"/>
  <c r="S45" i="1"/>
  <c r="S47" i="1"/>
  <c r="S167" i="1"/>
  <c r="S97" i="1"/>
  <c r="S104" i="1"/>
  <c r="S181" i="1"/>
  <c r="S7" i="1"/>
  <c r="S144" i="1"/>
  <c r="S32" i="1"/>
  <c r="P87" i="1"/>
  <c r="Q87" i="1" s="1"/>
  <c r="P115" i="1"/>
  <c r="Q115" i="1" s="1"/>
  <c r="P130" i="1"/>
  <c r="Q130" i="1" s="1"/>
  <c r="P39" i="1"/>
  <c r="Q39" i="1" s="1"/>
  <c r="P139" i="1"/>
  <c r="Q139" i="1" s="1"/>
  <c r="P147" i="1"/>
  <c r="Q147" i="1" s="1"/>
  <c r="P74" i="1"/>
  <c r="Q74" i="1" s="1"/>
  <c r="P126" i="1"/>
  <c r="Q126" i="1" s="1"/>
  <c r="P110" i="1"/>
  <c r="Q110" i="1" s="1"/>
  <c r="P136" i="1"/>
  <c r="Q136" i="1" s="1"/>
  <c r="P35" i="1"/>
  <c r="Q35" i="1" s="1"/>
  <c r="P55" i="1"/>
  <c r="P138" i="1"/>
  <c r="Q138" i="1" s="1"/>
  <c r="P90" i="1"/>
  <c r="Q90" i="1" s="1"/>
  <c r="P95" i="1"/>
  <c r="P64" i="1"/>
  <c r="Q64" i="1" s="1"/>
  <c r="P140" i="1"/>
  <c r="Q140" i="1" s="1"/>
  <c r="P91" i="1"/>
  <c r="Q91" i="1" s="1"/>
  <c r="P46" i="1"/>
  <c r="Q46" i="1" s="1"/>
  <c r="P102" i="1"/>
  <c r="Q102" i="1" s="1"/>
  <c r="P84" i="1"/>
  <c r="Q84" i="1" s="1"/>
  <c r="P70" i="1"/>
  <c r="Q70" i="1" s="1"/>
  <c r="P37" i="1"/>
  <c r="Q37" i="1" s="1"/>
  <c r="P155" i="1"/>
  <c r="Q155" i="1" s="1"/>
  <c r="P163" i="1"/>
  <c r="Q163" i="1" s="1"/>
  <c r="P22" i="1"/>
  <c r="Q22" i="1" s="1"/>
  <c r="P111" i="1"/>
  <c r="P67" i="1"/>
  <c r="Q67" i="1" s="1"/>
  <c r="P78" i="1"/>
  <c r="Q78" i="1" s="1"/>
  <c r="P62" i="1"/>
  <c r="Q62" i="1" s="1"/>
  <c r="P122" i="1"/>
  <c r="Q122" i="1" s="1"/>
  <c r="P75" i="1"/>
  <c r="Q75" i="1" s="1"/>
  <c r="P93" i="1"/>
  <c r="Q93" i="1" s="1"/>
  <c r="P157" i="1"/>
  <c r="Q157" i="1" s="1"/>
  <c r="P50" i="1"/>
  <c r="Q50" i="1" s="1"/>
  <c r="P12" i="1"/>
  <c r="Q12" i="1" s="1"/>
  <c r="P158" i="1"/>
  <c r="P26" i="1"/>
  <c r="Q26" i="1" s="1"/>
  <c r="P154" i="1"/>
  <c r="Q154" i="1" s="1"/>
  <c r="P42" i="1"/>
  <c r="Q42" i="1" s="1"/>
  <c r="P187" i="1"/>
  <c r="Q187" i="1" s="1"/>
  <c r="S2" i="1"/>
  <c r="P107" i="1"/>
  <c r="Q107" i="1" s="1"/>
  <c r="P28" i="1"/>
  <c r="Q28" i="1" s="1"/>
  <c r="P133" i="1"/>
  <c r="Q133" i="1" s="1"/>
  <c r="P8" i="1"/>
  <c r="Q8" i="1" s="1"/>
  <c r="P179" i="1"/>
  <c r="Q179" i="1" s="1"/>
  <c r="P3" i="1"/>
  <c r="Q3" i="1" s="1"/>
  <c r="P172" i="1"/>
  <c r="Q172" i="1" s="1"/>
  <c r="P60" i="1"/>
  <c r="Q60" i="1" s="1"/>
  <c r="P132" i="1"/>
  <c r="Q132" i="1" s="1"/>
  <c r="P20" i="1"/>
  <c r="Q20" i="1" s="1"/>
  <c r="P178" i="1"/>
  <c r="Q178" i="1" s="1"/>
  <c r="P17" i="1"/>
  <c r="Q17" i="1" s="1"/>
  <c r="P38" i="1"/>
  <c r="Q38" i="1" s="1"/>
  <c r="P6" i="1"/>
  <c r="Q6" i="1" s="1"/>
  <c r="P174" i="1"/>
  <c r="Q174" i="1" s="1"/>
  <c r="P71" i="1"/>
  <c r="P124" i="1"/>
  <c r="Q124" i="1" s="1"/>
  <c r="P48" i="1"/>
  <c r="Q48" i="1" s="1"/>
  <c r="P5" i="1"/>
  <c r="Q5" i="1" s="1"/>
  <c r="P183" i="1"/>
  <c r="Q183" i="1" s="1"/>
  <c r="P160" i="1"/>
  <c r="Q160" i="1" s="1"/>
  <c r="P51" i="1"/>
  <c r="Q51" i="1" s="1"/>
  <c r="P156" i="1"/>
  <c r="Q156" i="1" s="1"/>
  <c r="P18" i="1"/>
  <c r="Q18" i="1" s="1"/>
  <c r="P86" i="1"/>
  <c r="Q86" i="1" s="1"/>
  <c r="P24" i="1"/>
  <c r="Q24" i="1" s="1"/>
  <c r="P117" i="1"/>
  <c r="Q117" i="1" s="1"/>
  <c r="P83" i="1"/>
  <c r="Q83" i="1" s="1"/>
  <c r="P180" i="1"/>
  <c r="Q180" i="1" s="1"/>
  <c r="P82" i="1"/>
  <c r="Q82" i="1" s="1"/>
  <c r="P128" i="1"/>
  <c r="Q128" i="1" s="1"/>
  <c r="P150" i="1"/>
  <c r="Q150" i="1" s="1"/>
  <c r="P53" i="1"/>
  <c r="Q53" i="1" s="1"/>
  <c r="P76" i="1"/>
  <c r="Q76" i="1" s="1"/>
  <c r="P114" i="1"/>
  <c r="Q114" i="1" s="1"/>
  <c r="P101" i="1"/>
  <c r="Q101" i="1" s="1"/>
  <c r="P100" i="1"/>
  <c r="Q100" i="1" s="1"/>
  <c r="P106" i="1"/>
  <c r="Q106" i="1" s="1"/>
  <c r="P146" i="1"/>
  <c r="Q146" i="1" s="1"/>
  <c r="P186" i="1"/>
  <c r="Q186" i="1" s="1"/>
  <c r="P4" i="1"/>
  <c r="Q4" i="1" s="1"/>
  <c r="P88" i="1"/>
  <c r="Q88" i="1" s="1"/>
  <c r="P112" i="1"/>
  <c r="Q112" i="1" s="1"/>
  <c r="P131" i="1"/>
  <c r="Q131" i="1" s="1"/>
  <c r="P63" i="1"/>
  <c r="Q63" i="1" s="1"/>
  <c r="P23" i="1"/>
  <c r="Q23" i="1" s="1"/>
  <c r="P171" i="1"/>
  <c r="Q171" i="1" s="1"/>
  <c r="P123" i="1"/>
  <c r="Q123" i="1" s="1"/>
  <c r="P21" i="1"/>
  <c r="Q21" i="1" s="1"/>
  <c r="P166" i="1"/>
  <c r="Q166" i="1" s="1"/>
  <c r="P59" i="1"/>
  <c r="Q59" i="1" s="1"/>
  <c r="P141" i="1"/>
  <c r="Q141" i="1" s="1"/>
  <c r="P134" i="1"/>
  <c r="Q134" i="1" s="1"/>
  <c r="P36" i="1"/>
  <c r="Q36" i="1" s="1"/>
  <c r="P68" i="1"/>
  <c r="Q68" i="1" s="1"/>
  <c r="P109" i="1"/>
  <c r="Q109" i="1" s="1"/>
  <c r="P99" i="1"/>
  <c r="Q99" i="1" s="1"/>
  <c r="P94" i="1"/>
  <c r="Q94" i="1" s="1"/>
  <c r="P98" i="1"/>
  <c r="Q98" i="1" s="1"/>
  <c r="P85" i="1"/>
  <c r="Q85" i="1" s="1"/>
  <c r="P61" i="1"/>
  <c r="Q61" i="1" s="1"/>
  <c r="P80" i="1"/>
  <c r="Q80" i="1" s="1"/>
  <c r="P31" i="1"/>
  <c r="Q31" i="1" s="1"/>
  <c r="S31" i="1" s="1"/>
  <c r="P148" i="1"/>
  <c r="Q148" i="1" s="1"/>
  <c r="P58" i="1"/>
  <c r="Q58" i="1" s="1"/>
  <c r="P103" i="1"/>
  <c r="Q103" i="1" s="1"/>
  <c r="P30" i="1"/>
  <c r="Q30" i="1" s="1"/>
  <c r="P176" i="1"/>
  <c r="Q176" i="1" s="1"/>
  <c r="P175" i="1"/>
  <c r="P92" i="1"/>
  <c r="Q92" i="1" s="1"/>
  <c r="P116" i="1"/>
  <c r="Q116" i="1" s="1"/>
  <c r="P135" i="1"/>
  <c r="Q135" i="1" s="1"/>
  <c r="P54" i="1"/>
  <c r="Q54" i="1" s="1"/>
  <c r="P11" i="1"/>
  <c r="Q11" i="1" s="1"/>
  <c r="P164" i="1"/>
  <c r="Q164" i="1" s="1"/>
  <c r="P149" i="1"/>
  <c r="Q149" i="1" s="1"/>
  <c r="P52" i="1"/>
  <c r="Q52" i="1" s="1"/>
  <c r="P143" i="1"/>
  <c r="P44" i="1"/>
  <c r="Q44" i="1" s="1"/>
  <c r="S44" i="1" s="1"/>
  <c r="P151" i="1"/>
  <c r="Q151" i="1" s="1"/>
  <c r="P119" i="1"/>
  <c r="Q119" i="1" s="1"/>
  <c r="P184" i="1"/>
  <c r="Q184" i="1" s="1"/>
  <c r="P15" i="1"/>
  <c r="Q15" i="1" s="1"/>
  <c r="P182" i="1"/>
  <c r="Q182" i="1" s="1"/>
  <c r="P16" i="1"/>
  <c r="Q16" i="1" s="1"/>
  <c r="P79" i="1"/>
  <c r="Q79" i="1" s="1"/>
  <c r="P108" i="1"/>
  <c r="Q108" i="1" s="1"/>
  <c r="P173" i="1"/>
  <c r="Q173" i="1" s="1"/>
  <c r="P13" i="1"/>
  <c r="Q13" i="1" s="1"/>
  <c r="P125" i="1"/>
  <c r="Q125" i="1" s="1"/>
  <c r="P66" i="1"/>
  <c r="Q66" i="1" s="1"/>
  <c r="P170" i="1"/>
  <c r="Q170" i="1" s="1"/>
  <c r="P34" i="1"/>
  <c r="Q34" i="1" s="1"/>
  <c r="P165" i="1"/>
  <c r="Q165" i="1" s="1"/>
  <c r="P77" i="1"/>
  <c r="Q77" i="1" s="1"/>
  <c r="P118" i="1"/>
  <c r="Q118" i="1" s="1"/>
  <c r="P127" i="1"/>
  <c r="Q127" i="1" s="1"/>
  <c r="P69" i="1"/>
  <c r="Q69" i="1" s="1"/>
  <c r="P10" i="1"/>
  <c r="Q10" i="1" s="1"/>
  <c r="P142" i="1"/>
  <c r="Q142" i="1" s="1"/>
  <c r="P29" i="1"/>
  <c r="Q29" i="1" s="1"/>
  <c r="S29" i="1" s="1"/>
  <c r="P162" i="1"/>
  <c r="Q162" i="1" s="1"/>
  <c r="P27" i="1"/>
  <c r="Q27" i="1" s="1"/>
  <c r="S27" i="1" s="1"/>
  <c r="P159" i="1"/>
  <c r="Q159" i="1" s="1"/>
  <c r="P45" i="1"/>
  <c r="Q45" i="1" s="1"/>
  <c r="P47" i="1"/>
  <c r="Q47" i="1" s="1"/>
  <c r="P167" i="1"/>
  <c r="Q167" i="1" s="1"/>
  <c r="P97" i="1"/>
  <c r="Q97" i="1" s="1"/>
  <c r="P104" i="1"/>
  <c r="Q104" i="1" s="1"/>
  <c r="P181" i="1"/>
  <c r="Q181" i="1" s="1"/>
  <c r="P7" i="1"/>
  <c r="Q7" i="1" s="1"/>
  <c r="P144" i="1"/>
  <c r="Q144" i="1" s="1"/>
  <c r="P32" i="1"/>
  <c r="Q32" i="1" s="1"/>
  <c r="M87" i="1"/>
  <c r="M115" i="1"/>
  <c r="M130" i="1"/>
  <c r="M39" i="1"/>
  <c r="M139" i="1"/>
  <c r="M147" i="1"/>
  <c r="M74" i="1"/>
  <c r="M126" i="1"/>
  <c r="M110" i="1"/>
  <c r="M136" i="1"/>
  <c r="M35" i="1"/>
  <c r="M43" i="1"/>
  <c r="M55" i="1"/>
  <c r="M138" i="1"/>
  <c r="M90" i="1"/>
  <c r="M95" i="1"/>
  <c r="M64" i="1"/>
  <c r="M140" i="1"/>
  <c r="M91" i="1"/>
  <c r="M46" i="1"/>
  <c r="M102" i="1"/>
  <c r="M84" i="1"/>
  <c r="M70" i="1"/>
  <c r="M37" i="1"/>
  <c r="M155" i="1"/>
  <c r="M163" i="1"/>
  <c r="M22" i="1"/>
  <c r="M111" i="1"/>
  <c r="M67" i="1"/>
  <c r="M78" i="1"/>
  <c r="M62" i="1"/>
  <c r="M122" i="1"/>
  <c r="M75" i="1"/>
  <c r="M93" i="1"/>
  <c r="M157" i="1"/>
  <c r="M50" i="1"/>
  <c r="M12" i="1"/>
  <c r="M158" i="1"/>
  <c r="M26" i="1"/>
  <c r="N26" i="1" s="1"/>
  <c r="M154" i="1"/>
  <c r="M42" i="1"/>
  <c r="M187" i="1"/>
  <c r="M107" i="1"/>
  <c r="M28" i="1"/>
  <c r="N28" i="1" s="1"/>
  <c r="M133" i="1"/>
  <c r="M8" i="1"/>
  <c r="M179" i="1"/>
  <c r="M3" i="1"/>
  <c r="M172" i="1"/>
  <c r="M60" i="1"/>
  <c r="M132" i="1"/>
  <c r="M20" i="1"/>
  <c r="M178" i="1"/>
  <c r="M17" i="1"/>
  <c r="M38" i="1"/>
  <c r="N38" i="1" s="1"/>
  <c r="M6" i="1"/>
  <c r="M174" i="1"/>
  <c r="M71" i="1"/>
  <c r="M124" i="1"/>
  <c r="M5" i="1"/>
  <c r="M183" i="1"/>
  <c r="M51" i="1"/>
  <c r="M156" i="1"/>
  <c r="M18" i="1"/>
  <c r="M86" i="1"/>
  <c r="M117" i="1"/>
  <c r="M83" i="1"/>
  <c r="M19" i="1"/>
  <c r="M180" i="1"/>
  <c r="M82" i="1"/>
  <c r="M150" i="1"/>
  <c r="M53" i="1"/>
  <c r="M76" i="1"/>
  <c r="M114" i="1"/>
  <c r="M101" i="1"/>
  <c r="M100" i="1"/>
  <c r="M106" i="1"/>
  <c r="M146" i="1"/>
  <c r="M186" i="1"/>
  <c r="M4" i="1"/>
  <c r="M88" i="1"/>
  <c r="M131" i="1"/>
  <c r="M63" i="1"/>
  <c r="M23" i="1"/>
  <c r="M171" i="1"/>
  <c r="M123" i="1"/>
  <c r="M21" i="1"/>
  <c r="M166" i="1"/>
  <c r="M59" i="1"/>
  <c r="M141" i="1"/>
  <c r="M134" i="1"/>
  <c r="M36" i="1"/>
  <c r="M68" i="1"/>
  <c r="M109" i="1"/>
  <c r="M99" i="1"/>
  <c r="M94" i="1"/>
  <c r="M98" i="1"/>
  <c r="M85" i="1"/>
  <c r="M61" i="1"/>
  <c r="M31" i="1"/>
  <c r="M148" i="1"/>
  <c r="M58" i="1"/>
  <c r="M103" i="1"/>
  <c r="M30" i="1"/>
  <c r="N30" i="1" s="1"/>
  <c r="M175" i="1"/>
  <c r="M14" i="1"/>
  <c r="M92" i="1"/>
  <c r="M116" i="1"/>
  <c r="M135" i="1"/>
  <c r="M54" i="1"/>
  <c r="M11" i="1"/>
  <c r="M164" i="1"/>
  <c r="M149" i="1"/>
  <c r="M52" i="1"/>
  <c r="M143" i="1"/>
  <c r="M151" i="1"/>
  <c r="M119" i="1"/>
  <c r="M15" i="1"/>
  <c r="M182" i="1"/>
  <c r="M16" i="1"/>
  <c r="M79" i="1"/>
  <c r="M108" i="1"/>
  <c r="M173" i="1"/>
  <c r="M13" i="1"/>
  <c r="M125" i="1"/>
  <c r="M66" i="1"/>
  <c r="M170" i="1"/>
  <c r="M34" i="1"/>
  <c r="N34" i="1" s="1"/>
  <c r="M165" i="1"/>
  <c r="M77" i="1"/>
  <c r="M118" i="1"/>
  <c r="M127" i="1"/>
  <c r="M69" i="1"/>
  <c r="M10" i="1"/>
  <c r="M142" i="1"/>
  <c r="M29" i="1"/>
  <c r="N29" i="1" s="1"/>
  <c r="M162" i="1"/>
  <c r="M27" i="1"/>
  <c r="N27" i="1" s="1"/>
  <c r="M159" i="1"/>
  <c r="M45" i="1"/>
  <c r="M47" i="1"/>
  <c r="M167" i="1"/>
  <c r="M97" i="1"/>
  <c r="M181" i="1"/>
  <c r="M7" i="1"/>
  <c r="V4" i="1" l="1"/>
</calcChain>
</file>

<file path=xl/sharedStrings.xml><?xml version="1.0" encoding="utf-8"?>
<sst xmlns="http://schemas.openxmlformats.org/spreadsheetml/2006/main" count="434" uniqueCount="119">
  <si>
    <t>id</t>
  </si>
  <si>
    <t>player_name</t>
  </si>
  <si>
    <t>date</t>
  </si>
  <si>
    <t>over_under</t>
  </si>
  <si>
    <t>points</t>
  </si>
  <si>
    <t>implied_likelihood</t>
  </si>
  <si>
    <t>normal_likelihood</t>
  </si>
  <si>
    <t>poisson_likelihood</t>
  </si>
  <si>
    <t>raw_data_likelihood</t>
  </si>
  <si>
    <t>weighted_likelihood</t>
  </si>
  <si>
    <t>poisson_kelly</t>
  </si>
  <si>
    <t>Nino Niederreiter</t>
  </si>
  <si>
    <t>Over</t>
  </si>
  <si>
    <t>Under</t>
  </si>
  <si>
    <t>Alexis Lafreni√®re</t>
  </si>
  <si>
    <t>Vincent Trocheck</t>
  </si>
  <si>
    <t>Gabriel Vilardi</t>
  </si>
  <si>
    <t>Mika Zibanejad</t>
  </si>
  <si>
    <t>Mark Scheifele</t>
  </si>
  <si>
    <t>Artemi Panarin</t>
  </si>
  <si>
    <t>Nikolaj Ehlers</t>
  </si>
  <si>
    <t>Chris Kreider</t>
  </si>
  <si>
    <t>Josh Morrissey</t>
  </si>
  <si>
    <t>Filip Chytil</t>
  </si>
  <si>
    <t>Kyle Connor</t>
  </si>
  <si>
    <t>Adam Fox</t>
  </si>
  <si>
    <t>Cole Perfetti</t>
  </si>
  <si>
    <t>Morgan Rielly</t>
  </si>
  <si>
    <t>Tim St√ºtzle</t>
  </si>
  <si>
    <t>John Tavares</t>
  </si>
  <si>
    <t>Brady Tkachuk</t>
  </si>
  <si>
    <t>Mitch Marner</t>
  </si>
  <si>
    <t>Bobby McMann</t>
  </si>
  <si>
    <t>Josh Norris</t>
  </si>
  <si>
    <t>Thomas Chabot</t>
  </si>
  <si>
    <t>William Nylander</t>
  </si>
  <si>
    <t>Jake Sanderson</t>
  </si>
  <si>
    <t>Claude Giroux</t>
  </si>
  <si>
    <t>Drake Batherson</t>
  </si>
  <si>
    <t>Max Domi</t>
  </si>
  <si>
    <t>Matthew Knies</t>
  </si>
  <si>
    <t>Jesper Bratt</t>
  </si>
  <si>
    <t>Gustav Forsling</t>
  </si>
  <si>
    <t>Jack Hughes</t>
  </si>
  <si>
    <t>Matthew Tkachuk</t>
  </si>
  <si>
    <t>Anton Lundell</t>
  </si>
  <si>
    <t>Nico Hischier</t>
  </si>
  <si>
    <t>Evan Rodrigues</t>
  </si>
  <si>
    <t>Carter Verhaeghe</t>
  </si>
  <si>
    <t>Dougie Hamilton</t>
  </si>
  <si>
    <t>Aleksander Barkov</t>
  </si>
  <si>
    <t>Sam Reinhart</t>
  </si>
  <si>
    <t>Timo Meier</t>
  </si>
  <si>
    <t>Sam Bennett</t>
  </si>
  <si>
    <t>Brad Marchand</t>
  </si>
  <si>
    <t>Brayden Schenn</t>
  </si>
  <si>
    <t>Charlie Coyle</t>
  </si>
  <si>
    <t>Charlie McAvoy</t>
  </si>
  <si>
    <t>Colton Parayko</t>
  </si>
  <si>
    <t>David Pastrnak</t>
  </si>
  <si>
    <t>Elias Lindholm</t>
  </si>
  <si>
    <t>Jake Neighbours</t>
  </si>
  <si>
    <t>Jordan Kyrou</t>
  </si>
  <si>
    <t>Justin Faulk</t>
  </si>
  <si>
    <t>Pavel Buchnevich</t>
  </si>
  <si>
    <t>Pavel Zacha</t>
  </si>
  <si>
    <t>Evan Bouchard</t>
  </si>
  <si>
    <t>Anders Lee</t>
  </si>
  <si>
    <t>Kyle Palmieri</t>
  </si>
  <si>
    <t>Jeff Skinner</t>
  </si>
  <si>
    <t>Ryan Nugent-Hopkins</t>
  </si>
  <si>
    <t>Brock Nelson</t>
  </si>
  <si>
    <t>Noah Dobson</t>
  </si>
  <si>
    <t>Mattias Ekholm</t>
  </si>
  <si>
    <t>Bo Horvat</t>
  </si>
  <si>
    <t>Leon Draisaitl</t>
  </si>
  <si>
    <t>Darnell Nurse</t>
  </si>
  <si>
    <t>Zach Hyman</t>
  </si>
  <si>
    <t>Connor McDavid</t>
  </si>
  <si>
    <t>Viktor Arvidsson</t>
  </si>
  <si>
    <t>Blake Coleman</t>
  </si>
  <si>
    <t>Conor Garland</t>
  </si>
  <si>
    <t>Elias Pettersson</t>
  </si>
  <si>
    <t>J.T. Miller</t>
  </si>
  <si>
    <t>Jake DeBrusk</t>
  </si>
  <si>
    <t>Jonathan Huberdeau</t>
  </si>
  <si>
    <t>MacKenzie Weegar</t>
  </si>
  <si>
    <t>Mikael Backlund</t>
  </si>
  <si>
    <t>Nazem Kadri</t>
  </si>
  <si>
    <t>Pius Suter</t>
  </si>
  <si>
    <t>Quinn Hughes</t>
  </si>
  <si>
    <t>Rasmus Andersson</t>
  </si>
  <si>
    <t>Yegor Sharangovich</t>
  </si>
  <si>
    <t>Adam Fantilli</t>
  </si>
  <si>
    <t>Brandon Montour</t>
  </si>
  <si>
    <t>Cole Sillinger</t>
  </si>
  <si>
    <t>Dmitri Voronkov</t>
  </si>
  <si>
    <t>Jaden Schwartz</t>
  </si>
  <si>
    <t>Jared McCann</t>
  </si>
  <si>
    <t>Jordan Eberle</t>
  </si>
  <si>
    <t>Kirill Marchenko</t>
  </si>
  <si>
    <t>Matty Beniers</t>
  </si>
  <si>
    <t>Oliver Bjorkstrand</t>
  </si>
  <si>
    <t>Sean Monahan</t>
  </si>
  <si>
    <t>Yegor Chinakhov</t>
  </si>
  <si>
    <t>Zach Werenski</t>
  </si>
  <si>
    <t>365 implied</t>
  </si>
  <si>
    <t>kelly/4 365</t>
  </si>
  <si>
    <t>bet</t>
  </si>
  <si>
    <t>99/pinn implied</t>
  </si>
  <si>
    <t>kelly/4 99</t>
  </si>
  <si>
    <t>bet99/pinn</t>
  </si>
  <si>
    <t>W/L:</t>
  </si>
  <si>
    <t>del$</t>
  </si>
  <si>
    <t>bankroll</t>
  </si>
  <si>
    <t>delta:</t>
  </si>
  <si>
    <t>W</t>
  </si>
  <si>
    <t>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</si>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</sst>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44" fontId="0" fillId="0" borderId="0" xfId="1" applyFont="1"/>
    <xf numFmtId="0" fontId="0" fillId="0" borderId="0" xfId="0" applyAlignment="1">
      <alignment horizontal="left"/>
    </xf>
    <xf numFmtId="10" fontId="0" fillId="0" borderId="0" xfId="0" applyNumberFormat="1"/>
    <xf numFmtId="44" fontId="0" fillId="0" borderId="0" xfId="0" applyNumberFormat="1"/>
    <xf numFmtId="44" fontId="0" fillId="0" borderId="0" xfId="2" applyNumberFormat="1" applyFont="1"/>
    <xf numFmtId="44" fontId="0" fillId="33" borderId="0" xfId="2" applyNumberFormat="1" applyFont="1" applyFill="1"/>
    <xf numFmtId="44" fontId="0" fillId="0" borderId="0" xfId="2" applyNumberFormat="1" applyFont="1" applyFill="1"/>
    <xf numFmtId="10" fontId="0" fillId="0" borderId="0" xfId="2" applyNumberFormat="1" applyFont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4">
    <dxf>
      <numFmt numFmtId="14" formatCode="0.00%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187" totalsRowShown="0">
  <autoFilter ref="A1:S187" xr:uid="{00000000-0009-0000-0100-000001000000}"/>
  <sortState xmlns:xlrd2="http://schemas.microsoft.com/office/spreadsheetml/2017/richdata2" ref="A2:S187">
    <sortCondition descending="1" ref="K1:K187"/>
  </sortState>
  <tableColumns count="19">
    <tableColumn id="1" xr3:uid="{00000000-0010-0000-0000-000001000000}" name="id"/>
    <tableColumn id="2" xr3:uid="{00000000-0010-0000-0000-000002000000}" name="player_name"/>
    <tableColumn id="3" xr3:uid="{00000000-0010-0000-0000-000003000000}" name="date" dataDxfId="13"/>
    <tableColumn id="4" xr3:uid="{00000000-0010-0000-0000-000004000000}" name="over_under"/>
    <tableColumn id="5" xr3:uid="{00000000-0010-0000-0000-000005000000}" name="points"/>
    <tableColumn id="6" xr3:uid="{00000000-0010-0000-0000-000006000000}" name="implied_likelihood" dataDxfId="12" dataCellStyle="Percent"/>
    <tableColumn id="7" xr3:uid="{00000000-0010-0000-0000-000007000000}" name="normal_likelihood" dataDxfId="11" dataCellStyle="Percent"/>
    <tableColumn id="8" xr3:uid="{00000000-0010-0000-0000-000008000000}" name="poisson_likelihood" dataDxfId="10" dataCellStyle="Percent"/>
    <tableColumn id="9" xr3:uid="{00000000-0010-0000-0000-000009000000}" name="raw_data_likelihood" dataDxfId="9" dataCellStyle="Percent"/>
    <tableColumn id="10" xr3:uid="{00000000-0010-0000-0000-00000A000000}" name="weighted_likelihood" dataDxfId="8" dataCellStyle="Percent"/>
    <tableColumn id="11" xr3:uid="{00000000-0010-0000-0000-00000B000000}" name="poisson_kelly" dataDxfId="7" dataCellStyle="Percent"/>
    <tableColumn id="12" xr3:uid="{00000000-0010-0000-0000-00000C000000}" name="365 implied" dataDxfId="6" dataCellStyle="Percent">
      <calculatedColumnFormula>1/2.4</calculatedColumnFormula>
    </tableColumn>
    <tableColumn id="13" xr3:uid="{00000000-0010-0000-0000-00000D000000}" name="kelly/4 365" dataDxfId="5" dataCellStyle="Percent">
      <calculatedColumnFormula>(Table1[[#This Row],[poisson_likelihood]] - (1-Table1[[#This Row],[poisson_likelihood]])/(1/Table1[[#This Row],[365 implied]]-1))/4</calculatedColumnFormula>
    </tableColumn>
    <tableColumn id="14" xr3:uid="{00000000-0010-0000-0000-00000E000000}" name="bet" dataDxfId="4" dataCellStyle="Percent">
      <calculatedColumnFormula>Table1[[#This Row],[kelly/4 365]]*$U$2</calculatedColumnFormula>
    </tableColumn>
    <tableColumn id="15" xr3:uid="{00000000-0010-0000-0000-00000F000000}" name="99/pinn implied" dataDxfId="3" dataCellStyle="Percent">
      <calculatedColumnFormula>1/2.37</calculatedColumnFormula>
    </tableColumn>
    <tableColumn id="16" xr3:uid="{00000000-0010-0000-0000-000010000000}" name="kelly/4 99" dataDxfId="2" dataCellStyle="Percent">
      <calculatedColumnFormula>(Table1[[#This Row],[poisson_likelihood]] - (1-Table1[[#This Row],[poisson_likelihood]])/(1/Table1[[#This Row],[99/pinn implied]]-1))/4</calculatedColumnFormula>
    </tableColumn>
    <tableColumn id="17" xr3:uid="{00000000-0010-0000-0000-000011000000}" name="bet99/pinn" dataDxfId="1" dataCellStyle="Percent">
      <calculatedColumnFormula>Table1[[#This Row],[kelly/4 99]]*$U$2</calculatedColumnFormula>
    </tableColumn>
    <tableColumn id="18" xr3:uid="{00000000-0010-0000-0000-000012000000}" name="W/L:" dataDxfId="0" dataCellStyle="Percent"/>
    <tableColumn id="19" xr3:uid="{00000000-0010-0000-0000-000013000000}" name="del$" dataCellStyle="Currency">
      <calculatedColumnFormula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7"/>
  <sheetViews>
    <sheetView tabSelected="1" workbookViewId="0">
      <selection activeCell="R5" sqref="R5"/>
    </sheetView>
  </sheetViews>
  <sheetFormatPr baseColWidth="10" defaultRowHeight="16" x14ac:dyDescent="0.2"/>
  <cols>
    <col min="2" max="2" width="14.33203125" customWidth="1"/>
    <col min="4" max="4" width="12.83203125" customWidth="1"/>
    <col min="6" max="6" width="18.6640625" customWidth="1"/>
    <col min="7" max="7" width="18.33203125" customWidth="1"/>
    <col min="8" max="8" width="18.6640625" customWidth="1"/>
    <col min="9" max="9" width="20.33203125" customWidth="1"/>
    <col min="10" max="10" width="20.1640625" customWidth="1"/>
    <col min="11" max="11" width="14.6640625" customWidth="1"/>
    <col min="19" max="19" width="10.83203125" style="3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106</v>
      </c>
      <c r="M1" s="2" t="s">
        <v>107</v>
      </c>
      <c r="N1" s="3" t="s">
        <v>108</v>
      </c>
      <c r="O1" s="2" t="s">
        <v>109</v>
      </c>
      <c r="P1" s="2" t="s">
        <v>110</v>
      </c>
      <c r="Q1" s="3" t="s">
        <v>111</v>
      </c>
      <c r="R1" s="4" t="s">
        <v>112</v>
      </c>
      <c r="S1" s="3" t="s">
        <v>113</v>
      </c>
      <c r="U1" t="s">
        <v>114</v>
      </c>
      <c r="V1" s="5">
        <f>SUM(K2:K37)</f>
        <v>0.99056703832472204</v>
      </c>
    </row>
    <row r="2" spans="1:22" x14ac:dyDescent="0.2">
      <c r="A2">
        <v>5506</v>
      </c>
      <c r="B2" t="s">
        <v>40</v>
      </c>
      <c r="C2" s="1">
        <v>45608</v>
      </c>
      <c r="D2" t="s">
        <v>13</v>
      </c>
      <c r="E2">
        <v>1.5</v>
      </c>
      <c r="F2" s="2">
        <v>0.40322580645161199</v>
      </c>
      <c r="G2" s="2">
        <v>0.47878792618314697</v>
      </c>
      <c r="H2" s="2">
        <v>0.53463178070905104</v>
      </c>
      <c r="I2" s="2">
        <v>0.52525252525252497</v>
      </c>
      <c r="J2" s="2">
        <v>0.50226244343891402</v>
      </c>
      <c r="K2" s="2">
        <v>5.5048448675413399E-2</v>
      </c>
      <c r="L2" s="2">
        <f t="shared" ref="L2" si="0">1/2.4</f>
        <v>0.41666666666666669</v>
      </c>
      <c r="M2" s="2">
        <f>(Table1[[#This Row],[poisson_likelihood]] - (1-Table1[[#This Row],[poisson_likelihood]])/(1/Table1[[#This Row],[365 implied]]-1))/4</f>
        <v>5.0556477446736151E-2</v>
      </c>
      <c r="N2" s="8">
        <f>Table1[[#This Row],[kelly/4 365]]*$U$2</f>
        <v>40.445181957388918</v>
      </c>
      <c r="O2" s="2">
        <f t="shared" ref="O2" si="1">1/2.37</f>
        <v>0.42194092827004215</v>
      </c>
      <c r="P2" s="2">
        <f>(Table1[[#This Row],[poisson_likelihood]] - (1-Table1[[#This Row],[poisson_likelihood]])/(1/Table1[[#This Row],[99/pinn implied]]-1))/4</f>
        <v>4.8736737277454562E-2</v>
      </c>
      <c r="Q2" s="7">
        <f>Table1[[#This Row],[kelly/4 99]]*$U$2</f>
        <v>38.989389821963648</v>
      </c>
      <c r="R2" s="10" t="s">
        <v>116</v>
      </c>
      <c r="S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56.623254740344485</v>
      </c>
      <c r="U2" s="3">
        <v>800</v>
      </c>
    </row>
    <row r="3" spans="1:22" x14ac:dyDescent="0.2">
      <c r="A3">
        <v>5513</v>
      </c>
      <c r="B3" t="s">
        <v>44</v>
      </c>
      <c r="C3" s="1">
        <v>45608</v>
      </c>
      <c r="D3" t="s">
        <v>12</v>
      </c>
      <c r="E3">
        <v>2.5</v>
      </c>
      <c r="F3" s="2">
        <v>0.60240963855421603</v>
      </c>
      <c r="G3" s="2">
        <v>0.68226639348914797</v>
      </c>
      <c r="H3" s="2">
        <v>0.68674691187541104</v>
      </c>
      <c r="I3" s="2">
        <v>0.68047337278106501</v>
      </c>
      <c r="J3" s="2">
        <v>0.61078998073217705</v>
      </c>
      <c r="K3" s="2">
        <v>5.3030255194387199E-2</v>
      </c>
      <c r="L3" s="2">
        <f>1/1.58</f>
        <v>0.63291139240506322</v>
      </c>
      <c r="M3" s="2">
        <f>(Table1[[#This Row],[poisson_likelihood]] - (1-Table1[[#This Row],[poisson_likelihood]])/(1/Table1[[#This Row],[365 implied]]-1))/4</f>
        <v>3.6663845156529956E-2</v>
      </c>
      <c r="N3" s="7">
        <f>Table1[[#This Row],[kelly/4 365]]*$U$2</f>
        <v>29.331076125223966</v>
      </c>
      <c r="O3" s="2">
        <f>1/1.59</f>
        <v>0.62893081761006286</v>
      </c>
      <c r="P3" s="2">
        <f>(Table1[[#This Row],[poisson_likelihood]] - (1-Table1[[#This Row],[poisson_likelihood]])/(1/Table1[[#This Row],[99/pinn implied]]-1))/4</f>
        <v>3.8952368594026954E-2</v>
      </c>
      <c r="Q3" s="8">
        <f>Table1[[#This Row],[kelly/4 99]]*$U$2</f>
        <v>31.161894875221563</v>
      </c>
      <c r="R3" s="10" t="s">
        <v>116</v>
      </c>
      <c r="S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18.385517976380726</v>
      </c>
    </row>
    <row r="4" spans="1:22" x14ac:dyDescent="0.2">
      <c r="A4">
        <v>5558</v>
      </c>
      <c r="B4" t="s">
        <v>66</v>
      </c>
      <c r="C4" s="1">
        <v>45608</v>
      </c>
      <c r="D4" t="s">
        <v>13</v>
      </c>
      <c r="E4">
        <v>2.5</v>
      </c>
      <c r="F4" s="2">
        <v>0.43290043290043201</v>
      </c>
      <c r="G4" s="2">
        <v>0.50767961642612403</v>
      </c>
      <c r="H4" s="2">
        <v>0.55198878414348596</v>
      </c>
      <c r="I4" s="2">
        <v>0.58988764044943798</v>
      </c>
      <c r="J4" s="2">
        <v>0.551839464882943</v>
      </c>
      <c r="K4" s="2">
        <v>5.2498872399132299E-2</v>
      </c>
      <c r="L4" s="2">
        <f>1/2.4</f>
        <v>0.41666666666666669</v>
      </c>
      <c r="M4" s="2">
        <f>(Table1[[#This Row],[poisson_likelihood]] - (1-Table1[[#This Row],[poisson_likelihood]])/(1/Table1[[#This Row],[365 implied]]-1))/4</f>
        <v>5.799519320435112E-2</v>
      </c>
      <c r="N4" s="8">
        <f>Table1[[#This Row],[kelly/4 365]]*$U$2</f>
        <v>46.396154563480899</v>
      </c>
      <c r="O4" s="2">
        <f>1/2.35</f>
        <v>0.42553191489361702</v>
      </c>
      <c r="P4" s="2">
        <f>(Table1[[#This Row],[poisson_likelihood]] - (1-Table1[[#This Row],[poisson_likelihood]])/(1/Table1[[#This Row],[99/pinn implied]]-1))/4</f>
        <v>5.5032156062442966E-2</v>
      </c>
      <c r="Q4" s="7">
        <f>Table1[[#This Row],[kelly/4 99]]*$U$2</f>
        <v>44.025724849954372</v>
      </c>
      <c r="R4" s="10" t="s">
        <v>117</v>
      </c>
      <c r="S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-46.396154563480899</v>
      </c>
      <c r="U4" t="s">
        <v>115</v>
      </c>
      <c r="V4" s="6">
        <f>SUM(S:S)</f>
        <v>-29.452183027261974</v>
      </c>
    </row>
    <row r="5" spans="1:22" x14ac:dyDescent="0.2">
      <c r="A5">
        <v>5529</v>
      </c>
      <c r="B5" t="s">
        <v>52</v>
      </c>
      <c r="C5" s="1">
        <v>45608</v>
      </c>
      <c r="D5" t="s">
        <v>12</v>
      </c>
      <c r="E5">
        <v>2.5</v>
      </c>
      <c r="F5" s="2">
        <v>0.54054054054054002</v>
      </c>
      <c r="G5" s="2">
        <v>0.63809722791151402</v>
      </c>
      <c r="H5" s="2">
        <v>0.62676406310338795</v>
      </c>
      <c r="I5" s="2">
        <v>0.66666666666666596</v>
      </c>
      <c r="J5" s="2">
        <v>0.60357142857142798</v>
      </c>
      <c r="K5" s="2">
        <v>4.6915740218019898E-2</v>
      </c>
      <c r="L5" s="2">
        <f>1/1.8</f>
        <v>0.55555555555555558</v>
      </c>
      <c r="M5" s="2">
        <f>(Table1[[#This Row],[poisson_likelihood]] - (1-Table1[[#This Row],[poisson_likelihood]])/(1/Table1[[#This Row],[365 implied]]-1))/4</f>
        <v>4.0054785495655693E-2</v>
      </c>
      <c r="N5" s="8">
        <f>Table1[[#This Row],[kelly/4 365]]*$U$2</f>
        <v>32.043828396524553</v>
      </c>
      <c r="O5" s="2">
        <f>Table1[[#This Row],[365 implied]]</f>
        <v>0.55555555555555558</v>
      </c>
      <c r="P5" s="2">
        <f>(Table1[[#This Row],[poisson_likelihood]] - (1-Table1[[#This Row],[poisson_likelihood]])/(1/Table1[[#This Row],[99/pinn implied]]-1))/4</f>
        <v>4.0054785495655693E-2</v>
      </c>
      <c r="Q5" s="7">
        <f>Table1[[#This Row],[kelly/4 99]]*$U$2</f>
        <v>32.043828396524553</v>
      </c>
      <c r="R5" s="10" t="s">
        <v>116</v>
      </c>
      <c r="S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25.63506271721964</v>
      </c>
    </row>
    <row r="6" spans="1:22" x14ac:dyDescent="0.2">
      <c r="A6">
        <v>5523</v>
      </c>
      <c r="B6" t="s">
        <v>49</v>
      </c>
      <c r="C6" s="1">
        <v>45608</v>
      </c>
      <c r="D6" t="s">
        <v>12</v>
      </c>
      <c r="E6">
        <v>2.5</v>
      </c>
      <c r="F6" s="2">
        <v>0.55555555555555503</v>
      </c>
      <c r="G6" s="2">
        <v>0.66311999335643501</v>
      </c>
      <c r="H6" s="2">
        <v>0.63536452711562397</v>
      </c>
      <c r="I6" s="2">
        <v>0.625</v>
      </c>
      <c r="J6" s="2">
        <v>0.63978494623655902</v>
      </c>
      <c r="K6" s="2">
        <v>4.4892546502538502E-2</v>
      </c>
      <c r="L6" s="2">
        <f>1/1.74</f>
        <v>0.57471264367816088</v>
      </c>
      <c r="M6" s="2">
        <f>(Table1[[#This Row],[poisson_likelihood]] - (1-Table1[[#This Row],[poisson_likelihood]])/(1/Table1[[#This Row],[365 implied]]-1))/4</f>
        <v>3.5653472020670887E-2</v>
      </c>
      <c r="N6" s="8">
        <f>Table1[[#This Row],[kelly/4 365]]*$U$2</f>
        <v>28.522777616536711</v>
      </c>
      <c r="O6" s="2">
        <f>1/1.74</f>
        <v>0.57471264367816088</v>
      </c>
      <c r="P6" s="2">
        <f>(Table1[[#This Row],[poisson_likelihood]] - (1-Table1[[#This Row],[poisson_likelihood]])/(1/Table1[[#This Row],[99/pinn implied]]-1))/4</f>
        <v>3.5653472020670887E-2</v>
      </c>
      <c r="Q6" s="7">
        <f>Table1[[#This Row],[kelly/4 99]]*$U$2</f>
        <v>28.522777616536711</v>
      </c>
      <c r="R6" s="10" t="s">
        <v>117</v>
      </c>
      <c r="S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-28.522777616536711</v>
      </c>
    </row>
    <row r="7" spans="1:22" x14ac:dyDescent="0.2">
      <c r="A7">
        <v>5634</v>
      </c>
      <c r="B7" t="s">
        <v>104</v>
      </c>
      <c r="C7" s="1">
        <v>45608</v>
      </c>
      <c r="D7" t="s">
        <v>13</v>
      </c>
      <c r="E7">
        <v>2.5</v>
      </c>
      <c r="F7" s="2">
        <v>0.53475935828876997</v>
      </c>
      <c r="G7" s="2">
        <v>0.56184008847136502</v>
      </c>
      <c r="H7" s="2">
        <v>0.61502223271123901</v>
      </c>
      <c r="I7" s="2">
        <v>0.70103092783505105</v>
      </c>
      <c r="J7" s="2">
        <v>0.63829787234042501</v>
      </c>
      <c r="K7" s="2">
        <v>4.3129762979889998E-2</v>
      </c>
      <c r="L7" s="2">
        <f>1/1.86</f>
        <v>0.5376344086021505</v>
      </c>
      <c r="M7" s="2">
        <f>(Table1[[#This Row],[poisson_likelihood]] - (1-Table1[[#This Row],[poisson_likelihood]])/(1/Table1[[#This Row],[365 implied]]-1))/4</f>
        <v>4.1843416524100174E-2</v>
      </c>
      <c r="N7" s="8">
        <f>Table1[[#This Row],[kelly/4 365]]*$U$2</f>
        <v>33.474733219280139</v>
      </c>
      <c r="O7" s="2">
        <f>1/1.86</f>
        <v>0.5376344086021505</v>
      </c>
      <c r="P7" s="2">
        <f>(Table1[[#This Row],[poisson_likelihood]] - (1-Table1[[#This Row],[poisson_likelihood]])/(1/Table1[[#This Row],[99/pinn implied]]-1))/4</f>
        <v>4.1843416524100174E-2</v>
      </c>
      <c r="Q7" s="7">
        <f>Table1[[#This Row],[kelly/4 99]]*$U$2</f>
        <v>33.474733219280139</v>
      </c>
      <c r="R7" s="10" t="s">
        <v>116</v>
      </c>
      <c r="S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28.78827056858092</v>
      </c>
    </row>
    <row r="8" spans="1:22" x14ac:dyDescent="0.2">
      <c r="A8">
        <v>5511</v>
      </c>
      <c r="B8" t="s">
        <v>43</v>
      </c>
      <c r="C8" s="1">
        <v>45608</v>
      </c>
      <c r="D8" t="s">
        <v>12</v>
      </c>
      <c r="E8">
        <v>3.5</v>
      </c>
      <c r="F8" s="2">
        <v>0.52356020942408299</v>
      </c>
      <c r="G8" s="2">
        <v>0.612634639788598</v>
      </c>
      <c r="H8" s="2">
        <v>0.60515327942758201</v>
      </c>
      <c r="I8" s="2">
        <v>0.582278481012658</v>
      </c>
      <c r="J8" s="2">
        <v>0.55639097744360899</v>
      </c>
      <c r="K8" s="2">
        <v>4.2813946073264497E-2</v>
      </c>
      <c r="L8" s="2">
        <f>1/1.83</f>
        <v>0.54644808743169393</v>
      </c>
      <c r="M8" s="2">
        <f>(Table1[[#This Row],[poisson_likelihood]] - (1-Table1[[#This Row],[poisson_likelihood]])/(1/Table1[[#This Row],[365 implied]]-1))/4</f>
        <v>3.2358584744721447E-2</v>
      </c>
      <c r="N8" s="7">
        <f>Table1[[#This Row],[kelly/4 365]]*$U$2</f>
        <v>25.886867795777157</v>
      </c>
      <c r="O8" s="2">
        <f>1/1.84</f>
        <v>0.54347826086956519</v>
      </c>
      <c r="P8" s="2">
        <f>(Table1[[#This Row],[poisson_likelihood]] - (1-Table1[[#This Row],[poisson_likelihood]])/(1/Table1[[#This Row],[99/pinn implied]]-1))/4</f>
        <v>3.3774414924628252E-2</v>
      </c>
      <c r="Q8" s="8">
        <f>Table1[[#This Row],[kelly/4 99]]*$U$2</f>
        <v>27.019531939702603</v>
      </c>
      <c r="R8" s="10" t="s">
        <v>117</v>
      </c>
      <c r="S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-27.019531939702603</v>
      </c>
    </row>
    <row r="9" spans="1:22" x14ac:dyDescent="0.2">
      <c r="A9">
        <v>5616</v>
      </c>
      <c r="B9" t="s">
        <v>95</v>
      </c>
      <c r="C9" s="1">
        <v>45608</v>
      </c>
      <c r="D9" t="s">
        <v>13</v>
      </c>
      <c r="E9">
        <v>2.5</v>
      </c>
      <c r="F9" s="2">
        <v>0.63694267515923497</v>
      </c>
      <c r="G9" s="2">
        <v>0.64704465359051799</v>
      </c>
      <c r="H9" s="2">
        <v>0.69271139009205696</v>
      </c>
      <c r="I9" s="2">
        <v>0.72258064516128995</v>
      </c>
      <c r="J9" s="2">
        <v>0.69259259259259198</v>
      </c>
      <c r="K9" s="2">
        <v>3.8402141423039798E-2</v>
      </c>
      <c r="L9" s="2">
        <f>1/1.55</f>
        <v>0.64516129032258063</v>
      </c>
      <c r="M9" s="2">
        <f>(Table1[[#This Row],[poisson_likelihood]] - (1-Table1[[#This Row],[poisson_likelihood]])/(1/Table1[[#This Row],[365 implied]]-1))/4</f>
        <v>3.3501206655767418E-2</v>
      </c>
      <c r="N9" s="8">
        <f>Table1[[#This Row],[kelly/4 365]]*$U$2</f>
        <v>26.800965324613934</v>
      </c>
      <c r="O9" s="2">
        <f>Table1[[#This Row],[365 implied]]</f>
        <v>0.64516129032258063</v>
      </c>
      <c r="P9" s="2">
        <f>(Table1[[#This Row],[poisson_likelihood]] - (1-Table1[[#This Row],[poisson_likelihood]])/(1/Table1[[#This Row],[99/pinn implied]]-1))/4</f>
        <v>3.3501206655767418E-2</v>
      </c>
      <c r="Q9" s="7">
        <f>Table1[[#This Row],[kelly/4 99]]*$U$2</f>
        <v>26.800965324613934</v>
      </c>
      <c r="R9" s="10" t="s">
        <v>117</v>
      </c>
      <c r="S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-26.800965324613934</v>
      </c>
    </row>
    <row r="10" spans="1:22" x14ac:dyDescent="0.2">
      <c r="A10">
        <v>5622</v>
      </c>
      <c r="B10" t="s">
        <v>98</v>
      </c>
      <c r="C10" s="1">
        <v>45608</v>
      </c>
      <c r="D10" t="s">
        <v>13</v>
      </c>
      <c r="E10">
        <v>2.5</v>
      </c>
      <c r="F10" s="2">
        <v>0.43290043290043201</v>
      </c>
      <c r="G10" s="2">
        <v>0.475614609126919</v>
      </c>
      <c r="H10" s="2">
        <v>0.51962568260442998</v>
      </c>
      <c r="I10" s="2">
        <v>0.49425287356321801</v>
      </c>
      <c r="J10" s="2">
        <v>0.50340136054421702</v>
      </c>
      <c r="K10" s="2">
        <v>3.8231932598517801E-2</v>
      </c>
      <c r="L10" s="2">
        <f>1/2.32</f>
        <v>0.43103448275862072</v>
      </c>
      <c r="M10" s="2">
        <f>(Table1[[#This Row],[poisson_likelihood]] - (1-Table1[[#This Row],[poisson_likelihood]])/(1/Table1[[#This Row],[365 implied]]-1))/4</f>
        <v>3.8926436295885894E-2</v>
      </c>
      <c r="N10" s="8">
        <f>Table1[[#This Row],[kelly/4 365]]*$U$2</f>
        <v>31.141149036708715</v>
      </c>
      <c r="O10" s="2">
        <f>Table1[[#This Row],[365 implied]]</f>
        <v>0.43103448275862072</v>
      </c>
      <c r="P10" s="2">
        <f>(Table1[[#This Row],[poisson_likelihood]] - (1-Table1[[#This Row],[poisson_likelihood]])/(1/Table1[[#This Row],[99/pinn implied]]-1))/4</f>
        <v>3.8926436295885894E-2</v>
      </c>
      <c r="Q10" s="7">
        <f>Table1[[#This Row],[kelly/4 99]]*$U$2</f>
        <v>31.141149036708715</v>
      </c>
      <c r="R10" s="10" t="s">
        <v>117</v>
      </c>
      <c r="S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-31.141149036708715</v>
      </c>
    </row>
    <row r="11" spans="1:22" x14ac:dyDescent="0.2">
      <c r="A11">
        <v>5593</v>
      </c>
      <c r="B11" t="s">
        <v>84</v>
      </c>
      <c r="C11" s="1">
        <v>45608</v>
      </c>
      <c r="D11" t="s">
        <v>12</v>
      </c>
      <c r="E11">
        <v>1.5</v>
      </c>
      <c r="F11" s="2">
        <v>0.62111801242235998</v>
      </c>
      <c r="G11" s="2">
        <v>0.70268561499118598</v>
      </c>
      <c r="H11" s="2">
        <v>0.67841428003914495</v>
      </c>
      <c r="I11" s="2">
        <v>0.72611464968152795</v>
      </c>
      <c r="J11" s="2">
        <v>0.69230769230769196</v>
      </c>
      <c r="K11" s="2">
        <v>3.7806143796321502E-2</v>
      </c>
      <c r="L11" s="2">
        <f>1/1.58</f>
        <v>0.63291139240506322</v>
      </c>
      <c r="M11" s="2">
        <f>(Table1[[#This Row],[poisson_likelihood]] - (1-Table1[[#This Row],[poisson_likelihood]])/(1/Table1[[#This Row],[365 implied]]-1))/4</f>
        <v>3.0989035543900451E-2</v>
      </c>
      <c r="N11" s="8">
        <f>Table1[[#This Row],[kelly/4 365]]*$U$2</f>
        <v>24.79122843512036</v>
      </c>
      <c r="O11" s="2">
        <f>1/1.574</f>
        <v>0.63532401524777637</v>
      </c>
      <c r="P11" s="2">
        <f>(Table1[[#This Row],[poisson_likelihood]] - (1-Table1[[#This Row],[poisson_likelihood]])/(1/Table1[[#This Row],[99/pinn implied]]-1))/4</f>
        <v>2.9540103127880746E-2</v>
      </c>
      <c r="Q11" s="7">
        <f>Table1[[#This Row],[kelly/4 99]]*$U$2</f>
        <v>23.632082502304598</v>
      </c>
      <c r="R11" s="10" t="s">
        <v>116</v>
      </c>
      <c r="S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14.378912492369807</v>
      </c>
    </row>
    <row r="12" spans="1:22" x14ac:dyDescent="0.2">
      <c r="A12">
        <v>5499</v>
      </c>
      <c r="B12" t="s">
        <v>37</v>
      </c>
      <c r="C12" s="1">
        <v>45608</v>
      </c>
      <c r="D12" t="s">
        <v>12</v>
      </c>
      <c r="E12">
        <v>1.5</v>
      </c>
      <c r="F12" s="2">
        <v>0.625</v>
      </c>
      <c r="G12" s="2">
        <v>0.70367281896548395</v>
      </c>
      <c r="H12" s="2">
        <v>0.67802356644821404</v>
      </c>
      <c r="I12" s="2">
        <v>0.70786516853932502</v>
      </c>
      <c r="J12" s="2">
        <v>0.71476510067114096</v>
      </c>
      <c r="K12" s="2">
        <v>3.5349044298809702E-2</v>
      </c>
      <c r="L12" s="2">
        <f>1/1.57</f>
        <v>0.63694267515923564</v>
      </c>
      <c r="M12" s="2">
        <f>(Table1[[#This Row],[poisson_likelihood]] - (1-Table1[[#This Row],[poisson_likelihood]])/(1/Table1[[#This Row],[365 implied]]-1))/4</f>
        <v>2.8288157598112318E-2</v>
      </c>
      <c r="N12" s="7">
        <f>Table1[[#This Row],[kelly/4 365]]*$U$2</f>
        <v>22.630526078489854</v>
      </c>
      <c r="O12" s="2">
        <f>1/1.59</f>
        <v>0.62893081761006286</v>
      </c>
      <c r="P12" s="2">
        <f>(Table1[[#This Row],[poisson_likelihood]] - (1-Table1[[#This Row],[poisson_likelihood]])/(1/Table1[[#This Row],[99/pinn implied]]-1))/4</f>
        <v>3.3075199429093372E-2</v>
      </c>
      <c r="Q12" s="8">
        <f>Table1[[#This Row],[kelly/4 99]]*$U$2</f>
        <v>26.460159543274699</v>
      </c>
      <c r="R12" s="10" t="s">
        <v>116</v>
      </c>
      <c r="S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15.611494130532073</v>
      </c>
    </row>
    <row r="13" spans="1:22" x14ac:dyDescent="0.2">
      <c r="A13">
        <v>5610</v>
      </c>
      <c r="B13" t="s">
        <v>92</v>
      </c>
      <c r="C13" s="1">
        <v>45608</v>
      </c>
      <c r="D13" t="s">
        <v>13</v>
      </c>
      <c r="E13">
        <v>2.5</v>
      </c>
      <c r="F13" s="2">
        <v>0.57471264367816</v>
      </c>
      <c r="G13" s="2">
        <v>0.58693064558483099</v>
      </c>
      <c r="H13" s="2">
        <v>0.63475682257177501</v>
      </c>
      <c r="I13" s="2">
        <v>0.66265060240963802</v>
      </c>
      <c r="J13" s="2">
        <v>0.61685823754789204</v>
      </c>
      <c r="K13" s="2">
        <v>3.5296240295570797E-2</v>
      </c>
      <c r="L13" s="2">
        <f>1/1.74</f>
        <v>0.57471264367816088</v>
      </c>
      <c r="M13" s="2">
        <f>(Table1[[#This Row],[poisson_likelihood]] - (1-Table1[[#This Row],[poisson_likelihood]])/(1/Table1[[#This Row],[365 implied]]-1))/4</f>
        <v>3.5296240295570477E-2</v>
      </c>
      <c r="N13" s="8">
        <f>Table1[[#This Row],[kelly/4 365]]*$U$2</f>
        <v>28.236992236456381</v>
      </c>
      <c r="O13" s="2">
        <f>1/1.724</f>
        <v>0.58004640371229699</v>
      </c>
      <c r="P13" s="2">
        <f>(Table1[[#This Row],[poisson_likelihood]] - (1-Table1[[#This Row],[poisson_likelihood]])/(1/Table1[[#This Row],[99/pinn implied]]-1))/4</f>
        <v>3.2569323934302535E-2</v>
      </c>
      <c r="Q13" s="7">
        <f>Table1[[#This Row],[kelly/4 99]]*$U$2</f>
        <v>26.055459147442029</v>
      </c>
      <c r="R13" s="10" t="s">
        <v>116</v>
      </c>
      <c r="S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20.895374254977725</v>
      </c>
    </row>
    <row r="14" spans="1:22" x14ac:dyDescent="0.2">
      <c r="A14">
        <v>5588</v>
      </c>
      <c r="B14" t="s">
        <v>81</v>
      </c>
      <c r="C14" s="1">
        <v>45608</v>
      </c>
      <c r="D14" t="s">
        <v>13</v>
      </c>
      <c r="E14">
        <v>2.5</v>
      </c>
      <c r="F14" s="2">
        <v>0.54644808743169304</v>
      </c>
      <c r="G14" s="2">
        <v>0.56421563707822897</v>
      </c>
      <c r="H14" s="2">
        <v>0.60435356210975499</v>
      </c>
      <c r="I14" s="2">
        <v>0.64772727272727204</v>
      </c>
      <c r="J14" s="2">
        <v>0.64285714285714202</v>
      </c>
      <c r="K14" s="2">
        <v>3.1917776705075902E-2</v>
      </c>
      <c r="L14" s="2">
        <f>1/1.8</f>
        <v>0.55555555555555558</v>
      </c>
      <c r="M14" s="2">
        <f>(Table1[[#This Row],[poisson_likelihood]] - (1-Table1[[#This Row],[poisson_likelihood]])/(1/Table1[[#This Row],[365 implied]]-1))/4</f>
        <v>2.7448878686737163E-2</v>
      </c>
      <c r="N14" s="7">
        <f>Table1[[#This Row],[kelly/4 365]]*$U$2</f>
        <v>21.959102949389731</v>
      </c>
      <c r="O14" s="2">
        <f>1/1.83</f>
        <v>0.54644808743169393</v>
      </c>
      <c r="P14" s="2">
        <f>(Table1[[#This Row],[poisson_likelihood]] - (1-Table1[[#This Row],[poisson_likelihood]])/(1/Table1[[#This Row],[99/pinn implied]]-1))/4</f>
        <v>3.191777670507584E-2</v>
      </c>
      <c r="Q14" s="8">
        <f>Table1[[#This Row],[kelly/4 99]]*$U$2</f>
        <v>25.53422136406067</v>
      </c>
      <c r="R14" s="10" t="s">
        <v>116</v>
      </c>
      <c r="S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21.193403732170367</v>
      </c>
    </row>
    <row r="15" spans="1:22" x14ac:dyDescent="0.2">
      <c r="A15">
        <v>5604</v>
      </c>
      <c r="B15" t="s">
        <v>89</v>
      </c>
      <c r="C15" s="1">
        <v>45608</v>
      </c>
      <c r="D15" t="s">
        <v>13</v>
      </c>
      <c r="E15">
        <v>1.5</v>
      </c>
      <c r="F15" s="2">
        <v>0.47393364928909898</v>
      </c>
      <c r="G15" s="2">
        <v>0.48313445486544998</v>
      </c>
      <c r="H15" s="2">
        <v>0.53926560178824401</v>
      </c>
      <c r="I15" s="2">
        <v>0.620253164556962</v>
      </c>
      <c r="J15" s="2">
        <v>0.59073359073359</v>
      </c>
      <c r="K15" s="2">
        <v>3.10473918408096E-2</v>
      </c>
      <c r="L15" s="2">
        <f>1/2.1</f>
        <v>0.47619047619047616</v>
      </c>
      <c r="M15" s="2">
        <f>(Table1[[#This Row],[poisson_likelihood]] - (1-Table1[[#This Row],[poisson_likelihood]])/(1/Table1[[#This Row],[365 implied]]-1))/4</f>
        <v>3.0104037217116464E-2</v>
      </c>
      <c r="N15" s="7">
        <f>Table1[[#This Row],[kelly/4 365]]*$U$2</f>
        <v>24.083229773693169</v>
      </c>
      <c r="O15" s="2">
        <f>1/2.11</f>
        <v>0.47393364928909953</v>
      </c>
      <c r="P15" s="2">
        <f>(Table1[[#This Row],[poisson_likelihood]] - (1-Table1[[#This Row],[poisson_likelihood]])/(1/Table1[[#This Row],[99/pinn implied]]-1))/4</f>
        <v>3.1047391840809638E-2</v>
      </c>
      <c r="Q15" s="8">
        <f>Table1[[#This Row],[kelly/4 99]]*$U$2</f>
        <v>24.83791347264771</v>
      </c>
      <c r="R15" s="10" t="s">
        <v>117</v>
      </c>
      <c r="S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-24.83791347264771</v>
      </c>
    </row>
    <row r="16" spans="1:22" x14ac:dyDescent="0.2">
      <c r="A16">
        <v>5606</v>
      </c>
      <c r="B16" t="s">
        <v>90</v>
      </c>
      <c r="C16" s="1">
        <v>45608</v>
      </c>
      <c r="D16" t="s">
        <v>13</v>
      </c>
      <c r="E16">
        <v>2.5</v>
      </c>
      <c r="F16" s="2">
        <v>0.46296296296296202</v>
      </c>
      <c r="G16" s="2">
        <v>0.48726507778383099</v>
      </c>
      <c r="H16" s="2">
        <v>0.52935301962815495</v>
      </c>
      <c r="I16" s="2">
        <v>0.59537572254335203</v>
      </c>
      <c r="J16" s="2">
        <v>0.53264604810996496</v>
      </c>
      <c r="K16" s="2">
        <v>3.09057160337965E-2</v>
      </c>
      <c r="L16" s="2">
        <f>1/2.15</f>
        <v>0.46511627906976744</v>
      </c>
      <c r="M16" s="2">
        <f>(Table1[[#This Row],[poisson_likelihood]] - (1-Table1[[#This Row],[poisson_likelihood]])/(1/Table1[[#This Row],[365 implied]]-1))/4</f>
        <v>3.0023693956637634E-2</v>
      </c>
      <c r="N16" s="8">
        <f>Table1[[#This Row],[kelly/4 365]]*$U$2</f>
        <v>24.018955165310107</v>
      </c>
      <c r="O16" s="2">
        <f>Table1[[#This Row],[365 implied]]</f>
        <v>0.46511627906976744</v>
      </c>
      <c r="P16" s="2">
        <f>(Table1[[#This Row],[poisson_likelihood]] - (1-Table1[[#This Row],[poisson_likelihood]])/(1/Table1[[#This Row],[99/pinn implied]]-1))/4</f>
        <v>3.0023693956637634E-2</v>
      </c>
      <c r="Q16" s="7">
        <f>Table1[[#This Row],[kelly/4 99]]*$U$2</f>
        <v>24.018955165310107</v>
      </c>
      <c r="R16" s="10" t="s">
        <v>116</v>
      </c>
      <c r="S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27.62179844010662</v>
      </c>
    </row>
    <row r="17" spans="1:19" x14ac:dyDescent="0.2">
      <c r="A17">
        <v>5519</v>
      </c>
      <c r="B17" t="s">
        <v>47</v>
      </c>
      <c r="C17" s="1">
        <v>45608</v>
      </c>
      <c r="D17" t="s">
        <v>12</v>
      </c>
      <c r="E17">
        <v>1.5</v>
      </c>
      <c r="F17" s="2">
        <v>0.63694267515923497</v>
      </c>
      <c r="G17" s="2">
        <v>0.69821960483424295</v>
      </c>
      <c r="H17" s="2">
        <v>0.67861475502190904</v>
      </c>
      <c r="I17" s="2">
        <v>0.65853658536585302</v>
      </c>
      <c r="J17" s="2">
        <v>0.647887323943662</v>
      </c>
      <c r="K17" s="2">
        <v>2.8695247975612799E-2</v>
      </c>
      <c r="L17" s="2">
        <f>1/1.52</f>
        <v>0.65789473684210531</v>
      </c>
      <c r="M17" s="2">
        <f>(Table1[[#This Row],[poisson_likelihood]] - (1-Table1[[#This Row],[poisson_likelihood]])/(1/Table1[[#This Row],[365 implied]]-1))/4</f>
        <v>1.5141551746779613E-2</v>
      </c>
      <c r="N17" s="7">
        <f>Table1[[#This Row],[kelly/4 365]]*$U$2</f>
        <v>12.113241397423691</v>
      </c>
      <c r="O17" s="2">
        <f>1/1.53</f>
        <v>0.65359477124183007</v>
      </c>
      <c r="P17" s="2">
        <f>(Table1[[#This Row],[poisson_likelihood]] - (1-Table1[[#This Row],[poisson_likelihood]])/(1/Table1[[#This Row],[99/pinn implied]]-1))/4</f>
        <v>1.8056875086566448E-2</v>
      </c>
      <c r="Q17" s="8">
        <f>Table1[[#This Row],[kelly/4 99]]*$U$2</f>
        <v>14.445500069253159</v>
      </c>
      <c r="R17" s="10" t="s">
        <v>117</v>
      </c>
      <c r="S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-14.445500069253159</v>
      </c>
    </row>
    <row r="18" spans="1:19" x14ac:dyDescent="0.2">
      <c r="A18">
        <v>5536</v>
      </c>
      <c r="B18" t="s">
        <v>55</v>
      </c>
      <c r="C18" s="1">
        <v>45608</v>
      </c>
      <c r="D18" t="s">
        <v>13</v>
      </c>
      <c r="E18">
        <v>2.5</v>
      </c>
      <c r="F18" s="2">
        <v>0.625</v>
      </c>
      <c r="G18" s="2">
        <v>0.62178603354986295</v>
      </c>
      <c r="H18" s="2">
        <v>0.66768485879456896</v>
      </c>
      <c r="I18" s="2">
        <v>0.69273743016759703</v>
      </c>
      <c r="J18" s="2">
        <v>0.67441860465116199</v>
      </c>
      <c r="K18" s="2">
        <v>2.8456572529712801E-2</v>
      </c>
      <c r="L18" s="2">
        <f>1/1.57</f>
        <v>0.63694267515923564</v>
      </c>
      <c r="M18" s="2">
        <f>(Table1[[#This Row],[poisson_likelihood]] - (1-Table1[[#This Row],[poisson_likelihood]])/(1/Table1[[#This Row],[365 implied]]-1))/4</f>
        <v>2.1168959783979507E-2</v>
      </c>
      <c r="N18" s="8">
        <f>Table1[[#This Row],[kelly/4 365]]*$U$2</f>
        <v>16.935167827183605</v>
      </c>
      <c r="O18" s="2">
        <f>1/1.54</f>
        <v>0.64935064935064934</v>
      </c>
      <c r="P18" s="2">
        <f>(Table1[[#This Row],[poisson_likelihood]] - (1-Table1[[#This Row],[poisson_likelihood]])/(1/Table1[[#This Row],[99/pinn implied]]-1))/4</f>
        <v>1.3071612288720474E-2</v>
      </c>
      <c r="Q18" s="7">
        <f>Table1[[#This Row],[kelly/4 99]]*$U$2</f>
        <v>10.457289830976379</v>
      </c>
      <c r="R18" s="10" t="s">
        <v>116</v>
      </c>
      <c r="S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9.6530456614946551</v>
      </c>
    </row>
    <row r="19" spans="1:19" x14ac:dyDescent="0.2">
      <c r="A19">
        <v>5543</v>
      </c>
      <c r="B19" t="s">
        <v>59</v>
      </c>
      <c r="C19" s="1">
        <v>45608</v>
      </c>
      <c r="D19" t="s">
        <v>12</v>
      </c>
      <c r="E19">
        <v>4.5</v>
      </c>
      <c r="F19" s="2">
        <v>0.434782608695652</v>
      </c>
      <c r="G19" s="2">
        <v>0.52800709557624403</v>
      </c>
      <c r="H19" s="2">
        <v>0.49574346643268202</v>
      </c>
      <c r="I19" s="2">
        <v>0.51666666666666605</v>
      </c>
      <c r="J19" s="2">
        <v>0.47697368421052599</v>
      </c>
      <c r="K19" s="2">
        <v>2.69634563067634E-2</v>
      </c>
      <c r="L19" s="2">
        <f>1/2.2</f>
        <v>0.45454545454545453</v>
      </c>
      <c r="M19" s="2">
        <f>(Table1[[#This Row],[poisson_likelihood]] - (1-Table1[[#This Row],[poisson_likelihood]])/(1/Table1[[#This Row],[365 implied]]-1))/4</f>
        <v>1.8882422114979286E-2</v>
      </c>
      <c r="N19" s="8">
        <f>Table1[[#This Row],[kelly/4 365]]*$U$2</f>
        <v>15.105937691983428</v>
      </c>
      <c r="O19" s="2">
        <f>1/2.02</f>
        <v>0.49504950495049505</v>
      </c>
      <c r="P19" s="2">
        <f>(Table1[[#This Row],[poisson_likelihood]] - (1-Table1[[#This Row],[poisson_likelihood]])/(1/Table1[[#This Row],[99/pinn implied]]-1))/4</f>
        <v>3.4357896912200203E-4</v>
      </c>
      <c r="Q19" s="7">
        <f>Table1[[#This Row],[kelly/4 99]]*$U$2</f>
        <v>0.27486317529760163</v>
      </c>
      <c r="R19" s="10" t="s">
        <v>116</v>
      </c>
      <c r="S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18.127125230380116</v>
      </c>
    </row>
    <row r="20" spans="1:19" x14ac:dyDescent="0.2">
      <c r="A20">
        <v>5517</v>
      </c>
      <c r="B20" t="s">
        <v>46</v>
      </c>
      <c r="C20" s="1">
        <v>45608</v>
      </c>
      <c r="D20" t="s">
        <v>12</v>
      </c>
      <c r="E20">
        <v>2.5</v>
      </c>
      <c r="F20" s="2">
        <v>0.47169811320754701</v>
      </c>
      <c r="G20" s="2">
        <v>0.55807705029358401</v>
      </c>
      <c r="H20" s="2">
        <v>0.52253494361255204</v>
      </c>
      <c r="I20" s="2">
        <v>0.54705882352941104</v>
      </c>
      <c r="J20" s="2">
        <v>0.52613240418118401</v>
      </c>
      <c r="K20" s="2">
        <v>2.4056714388082701E-2</v>
      </c>
      <c r="L20" s="2">
        <f>1/2.15</f>
        <v>0.46511627906976744</v>
      </c>
      <c r="M20" s="2">
        <f>(Table1[[#This Row],[poisson_likelihood]] - (1-Table1[[#This Row],[poisson_likelihood]])/(1/Table1[[#This Row],[365 implied]]-1))/4</f>
        <v>2.6836984514562359E-2</v>
      </c>
      <c r="N20" s="9">
        <f>Table1[[#This Row],[kelly/4 365]]*$U$2</f>
        <v>21.469587611649889</v>
      </c>
      <c r="O20" s="2">
        <f>1/2.24</f>
        <v>0.4464285714285714</v>
      </c>
      <c r="P20" s="2">
        <f>(Table1[[#This Row],[poisson_likelihood]] - (1-Table1[[#This Row],[poisson_likelihood]])/(1/Table1[[#This Row],[99/pinn implied]]-1))/4</f>
        <v>3.4370619695991256E-2</v>
      </c>
      <c r="Q20" s="8">
        <f>Table1[[#This Row],[kelly/4 99]]*$U$2</f>
        <v>27.496495756793003</v>
      </c>
      <c r="R20" s="10" t="s">
        <v>117</v>
      </c>
      <c r="S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-27.496495756793003</v>
      </c>
    </row>
    <row r="21" spans="1:19" x14ac:dyDescent="0.2">
      <c r="A21">
        <v>5567</v>
      </c>
      <c r="B21" t="s">
        <v>71</v>
      </c>
      <c r="C21" s="1">
        <v>45608</v>
      </c>
      <c r="D21" t="s">
        <v>12</v>
      </c>
      <c r="E21">
        <v>2.5</v>
      </c>
      <c r="F21" s="2">
        <v>0.53191489361702105</v>
      </c>
      <c r="G21" s="2">
        <v>0.60739670887743202</v>
      </c>
      <c r="H21" s="2">
        <v>0.57382603469683502</v>
      </c>
      <c r="I21" s="2">
        <v>0.55307262569832405</v>
      </c>
      <c r="J21" s="2">
        <v>0.59468438538205903</v>
      </c>
      <c r="K21" s="2">
        <v>2.2384359440354998E-2</v>
      </c>
      <c r="L21" s="2">
        <f>1/1.86</f>
        <v>0.5376344086021505</v>
      </c>
      <c r="M21" s="2">
        <f>(Table1[[#This Row],[poisson_likelihood]] - (1-Table1[[#This Row],[poisson_likelihood]])/(1/Table1[[#This Row],[365 implied]]-1))/4</f>
        <v>1.9568728062823601E-2</v>
      </c>
      <c r="N21" s="7">
        <f>Table1[[#This Row],[kelly/4 365]]*$U$2</f>
        <v>15.654982450258881</v>
      </c>
      <c r="O21" s="2">
        <f>1/1.87</f>
        <v>0.53475935828876997</v>
      </c>
      <c r="P21" s="2">
        <f>(Table1[[#This Row],[poisson_likelihood]] - (1-Table1[[#This Row],[poisson_likelihood]])/(1/Table1[[#This Row],[99/pinn implied]]-1))/4</f>
        <v>2.099272554111542E-2</v>
      </c>
      <c r="Q21" s="8">
        <f>Table1[[#This Row],[kelly/4 99]]*$U$2</f>
        <v>16.794180432892336</v>
      </c>
      <c r="R21" s="10" t="s">
        <v>117</v>
      </c>
      <c r="S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-16.794180432892336</v>
      </c>
    </row>
    <row r="22" spans="1:19" x14ac:dyDescent="0.2">
      <c r="A22">
        <v>5488</v>
      </c>
      <c r="B22" t="s">
        <v>31</v>
      </c>
      <c r="C22" s="1">
        <v>45608</v>
      </c>
      <c r="D22" t="s">
        <v>13</v>
      </c>
      <c r="E22">
        <v>2.5</v>
      </c>
      <c r="F22" s="2">
        <v>0.51813471502590602</v>
      </c>
      <c r="G22" s="2">
        <v>0.51259067372710498</v>
      </c>
      <c r="H22" s="2">
        <v>0.55782798596206895</v>
      </c>
      <c r="I22" s="2">
        <v>0.56363636363636305</v>
      </c>
      <c r="J22" s="2">
        <v>0.56521739130434701</v>
      </c>
      <c r="K22" s="2">
        <v>2.0593551856664699E-2</v>
      </c>
      <c r="L22" s="2">
        <f>1/1.83</f>
        <v>0.54644808743169393</v>
      </c>
      <c r="M22" s="2">
        <f>(Table1[[#This Row],[poisson_likelihood]] - (1-Table1[[#This Row],[poisson_likelihood]])/(1/Table1[[#This Row],[365 implied]]-1))/4</f>
        <v>6.2726549128272191E-3</v>
      </c>
      <c r="N22" s="7">
        <f>Table1[[#This Row],[kelly/4 365]]*$U$2</f>
        <v>5.0181239302617753</v>
      </c>
      <c r="O22" s="2">
        <f>1/1.877</f>
        <v>0.53276505061267976</v>
      </c>
      <c r="P22" s="2">
        <f>(Table1[[#This Row],[poisson_likelihood]] - (1-Table1[[#This Row],[poisson_likelihood]])/(1/Table1[[#This Row],[99/pinn implied]]-1))/4</f>
        <v>1.3410242203763828E-2</v>
      </c>
      <c r="Q22" s="8">
        <f>Table1[[#This Row],[kelly/4 99]]*$U$2</f>
        <v>10.728193763011063</v>
      </c>
      <c r="R22" s="10" t="s">
        <v>116</v>
      </c>
      <c r="S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9.4086259301607065</v>
      </c>
    </row>
    <row r="23" spans="1:19" x14ac:dyDescent="0.2">
      <c r="A23">
        <v>5563</v>
      </c>
      <c r="B23" t="s">
        <v>69</v>
      </c>
      <c r="C23" s="1">
        <v>45608</v>
      </c>
      <c r="D23" t="s">
        <v>12</v>
      </c>
      <c r="E23">
        <v>2.5</v>
      </c>
      <c r="F23" s="2">
        <v>0.51813471502590602</v>
      </c>
      <c r="G23" s="2">
        <v>0.58896056061771396</v>
      </c>
      <c r="H23" s="2">
        <v>0.55747479515895704</v>
      </c>
      <c r="I23" s="2">
        <v>0.577380952380952</v>
      </c>
      <c r="J23" s="2">
        <v>0.58510638297872297</v>
      </c>
      <c r="K23" s="2">
        <v>2.04103103916096E-2</v>
      </c>
      <c r="L23" s="2">
        <f>1/1.9</f>
        <v>0.52631578947368418</v>
      </c>
      <c r="M23" s="2">
        <f>(Table1[[#This Row],[poisson_likelihood]] - (1-Table1[[#This Row],[poisson_likelihood]])/(1/Table1[[#This Row],[365 implied]]-1))/4</f>
        <v>1.6445030778338449E-2</v>
      </c>
      <c r="N23" s="8">
        <f>Table1[[#This Row],[kelly/4 365]]*$U$2</f>
        <v>13.15602462267076</v>
      </c>
      <c r="O23" s="2">
        <f>1/1.892</f>
        <v>0.52854122621564481</v>
      </c>
      <c r="P23" s="2">
        <f>(Table1[[#This Row],[poisson_likelihood]] - (1-Table1[[#This Row],[poisson_likelihood]])/(1/Table1[[#This Row],[99/pinn implied]]-1))/4</f>
        <v>1.5342576356711546E-2</v>
      </c>
      <c r="Q23" s="7">
        <f>Table1[[#This Row],[kelly/4 99]]*$U$2</f>
        <v>12.274061085369237</v>
      </c>
      <c r="R23" s="10" t="s">
        <v>117</v>
      </c>
      <c r="S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-13.15602462267076</v>
      </c>
    </row>
    <row r="24" spans="1:19" x14ac:dyDescent="0.2">
      <c r="A24">
        <v>5540</v>
      </c>
      <c r="B24" t="s">
        <v>57</v>
      </c>
      <c r="C24" s="1">
        <v>45608</v>
      </c>
      <c r="D24" t="s">
        <v>13</v>
      </c>
      <c r="E24">
        <v>1.5</v>
      </c>
      <c r="F24" s="2">
        <v>0.43103448275862</v>
      </c>
      <c r="G24" s="2">
        <v>0.43153356592771303</v>
      </c>
      <c r="H24" s="2">
        <v>0.47537641999805802</v>
      </c>
      <c r="I24" s="2">
        <v>0.49681528662420299</v>
      </c>
      <c r="J24" s="2">
        <v>0.49816849816849801</v>
      </c>
      <c r="K24" s="2">
        <v>1.9483578483995199E-2</v>
      </c>
      <c r="L24" s="2">
        <f>1/2.35</f>
        <v>0.42553191489361702</v>
      </c>
      <c r="M24" s="2">
        <f>(Table1[[#This Row],[poisson_likelihood]] - (1-Table1[[#This Row],[poisson_likelihood]])/(1/Table1[[#This Row],[365 implied]]-1))/4</f>
        <v>2.1691590184340068E-2</v>
      </c>
      <c r="N24" s="8">
        <f>Table1[[#This Row],[kelly/4 365]]*$U$2</f>
        <v>17.353272147472055</v>
      </c>
      <c r="O24" s="2">
        <f>1/2.08</f>
        <v>0.48076923076923073</v>
      </c>
      <c r="P24" s="2">
        <f>(Table1[[#This Row],[poisson_likelihood]] - (1-Table1[[#This Row],[poisson_likelihood]])/(1/Table1[[#This Row],[99/pinn implied]]-1))/4</f>
        <v>-2.5965385194535312E-3</v>
      </c>
      <c r="Q24" s="7">
        <f>Table1[[#This Row],[kelly/4 99]]*$U$2</f>
        <v>-2.077230815562825</v>
      </c>
      <c r="R24" s="10" t="s">
        <v>117</v>
      </c>
      <c r="S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-17.353272147472055</v>
      </c>
    </row>
    <row r="25" spans="1:19" x14ac:dyDescent="0.2">
      <c r="A25">
        <v>5458</v>
      </c>
      <c r="B25" t="s">
        <v>16</v>
      </c>
      <c r="C25" s="1">
        <v>45608</v>
      </c>
      <c r="D25" t="s">
        <v>13</v>
      </c>
      <c r="E25">
        <v>2.5</v>
      </c>
      <c r="F25" s="2">
        <v>0.57471264367816</v>
      </c>
      <c r="G25" s="2">
        <v>0.55879678088277696</v>
      </c>
      <c r="H25" s="2">
        <v>0.60682369672352898</v>
      </c>
      <c r="I25" s="2">
        <v>0.57599999999999996</v>
      </c>
      <c r="J25" s="2">
        <v>0.53301886792452802</v>
      </c>
      <c r="K25" s="2">
        <v>1.8876091992885601E-2</v>
      </c>
      <c r="L25" s="2">
        <f>1/1.71</f>
        <v>0.58479532163742687</v>
      </c>
      <c r="M25" s="2">
        <f>(Table1[[#This Row],[poisson_likelihood]] - (1-Table1[[#This Row],[poisson_likelihood]])/(1/Table1[[#This Row],[365 implied]]-1))/4</f>
        <v>1.3263563872265738E-2</v>
      </c>
      <c r="N25" s="8">
        <f>Table1[[#This Row],[kelly/4 365]]*$U$2</f>
        <v>10.61085109781259</v>
      </c>
      <c r="O25" s="2">
        <f>Table1[[#This Row],[365 implied]]</f>
        <v>0.58479532163742687</v>
      </c>
      <c r="P25" s="2">
        <f>(Table1[[#This Row],[poisson_likelihood]] - (1-Table1[[#This Row],[poisson_likelihood]])/(1/Table1[[#This Row],[99/pinn implied]]-1))/4</f>
        <v>1.3263563872265738E-2</v>
      </c>
      <c r="Q25" s="7">
        <f>Table1[[#This Row],[kelly/4 99]]*$U$2</f>
        <v>10.61085109781259</v>
      </c>
      <c r="R25" s="10" t="s">
        <v>117</v>
      </c>
      <c r="S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-10.61085109781259</v>
      </c>
    </row>
    <row r="26" spans="1:19" x14ac:dyDescent="0.2">
      <c r="A26">
        <v>5501</v>
      </c>
      <c r="B26" t="s">
        <v>38</v>
      </c>
      <c r="C26" s="1">
        <v>45608</v>
      </c>
      <c r="D26" t="s">
        <v>12</v>
      </c>
      <c r="E26">
        <v>2.5</v>
      </c>
      <c r="F26" s="2">
        <v>0.41666666666666602</v>
      </c>
      <c r="G26" s="2">
        <v>0.50077882127276097</v>
      </c>
      <c r="H26" s="2">
        <v>0.45704738548247698</v>
      </c>
      <c r="I26" s="2">
        <v>0.47191011235954999</v>
      </c>
      <c r="J26" s="2">
        <v>0.42617449664429502</v>
      </c>
      <c r="K26" s="2">
        <v>1.7306022349633299E-2</v>
      </c>
      <c r="L26" s="2">
        <f>1/2.32</f>
        <v>0.43103448275862072</v>
      </c>
      <c r="M26" s="2">
        <f>(Table1[[#This Row],[poisson_likelihood]] - (1-Table1[[#This Row],[poisson_likelihood]])/(1/Table1[[#This Row],[365 implied]]-1))/4</f>
        <v>1.1429911802906548E-2</v>
      </c>
      <c r="N26" s="8">
        <f>Table1[[#This Row],[kelly/4 365]]*$U$2</f>
        <v>9.1439294423252377</v>
      </c>
      <c r="O26" s="2">
        <f>Table1[[#This Row],[365 implied]]</f>
        <v>0.43103448275862072</v>
      </c>
      <c r="P26" s="2">
        <f>(Table1[[#This Row],[poisson_likelihood]] - (1-Table1[[#This Row],[poisson_likelihood]])/(1/Table1[[#This Row],[99/pinn implied]]-1))/4</f>
        <v>1.1429911802906548E-2</v>
      </c>
      <c r="Q26" s="7">
        <f>Table1[[#This Row],[kelly/4 99]]*$U$2</f>
        <v>9.1439294423252377</v>
      </c>
      <c r="R26" s="10" t="s">
        <v>116</v>
      </c>
      <c r="S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12.069986863869314</v>
      </c>
    </row>
    <row r="27" spans="1:19" x14ac:dyDescent="0.2">
      <c r="A27">
        <v>5626</v>
      </c>
      <c r="B27" t="s">
        <v>100</v>
      </c>
      <c r="C27" s="1">
        <v>45608</v>
      </c>
      <c r="D27" t="s">
        <v>13</v>
      </c>
      <c r="E27">
        <v>2.5</v>
      </c>
      <c r="F27" s="2">
        <v>0.54347826086956497</v>
      </c>
      <c r="G27" s="2">
        <v>0.52821734877397797</v>
      </c>
      <c r="H27" s="2">
        <v>0.57343153324156804</v>
      </c>
      <c r="I27" s="2">
        <v>0.58278145695364203</v>
      </c>
      <c r="J27" s="2">
        <v>0.58426966292134797</v>
      </c>
      <c r="K27" s="2">
        <v>1.6402982489430399E-2</v>
      </c>
      <c r="L27" s="2">
        <f>1/1.83</f>
        <v>0.54644808743169393</v>
      </c>
      <c r="M27" s="2">
        <f>(Table1[[#This Row],[poisson_likelihood]] - (1-Table1[[#This Row],[poisson_likelihood]])/(1/Table1[[#This Row],[365 implied]]-1))/4</f>
        <v>1.4873405371105319E-2</v>
      </c>
      <c r="N27" s="8">
        <f>Table1[[#This Row],[kelly/4 365]]*$U$2</f>
        <v>11.898724296884255</v>
      </c>
      <c r="O27" s="2">
        <f>Table1[[#This Row],[365 implied]]</f>
        <v>0.54644808743169393</v>
      </c>
      <c r="P27" s="2">
        <f>(Table1[[#This Row],[poisson_likelihood]] - (1-Table1[[#This Row],[poisson_likelihood]])/(1/Table1[[#This Row],[99/pinn implied]]-1))/4</f>
        <v>1.4873405371105319E-2</v>
      </c>
      <c r="Q27" s="7">
        <f>Table1[[#This Row],[kelly/4 99]]*$U$2</f>
        <v>11.898724296884255</v>
      </c>
      <c r="R27" s="10" t="s">
        <v>117</v>
      </c>
      <c r="S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-11.898724296884255</v>
      </c>
    </row>
    <row r="28" spans="1:19" x14ac:dyDescent="0.2">
      <c r="A28">
        <v>5509</v>
      </c>
      <c r="B28" t="s">
        <v>42</v>
      </c>
      <c r="C28" s="1">
        <v>45608</v>
      </c>
      <c r="D28" t="s">
        <v>12</v>
      </c>
      <c r="E28">
        <v>1.5</v>
      </c>
      <c r="F28" s="2">
        <v>0.60606060606060597</v>
      </c>
      <c r="G28" s="2">
        <v>0.65922583473168805</v>
      </c>
      <c r="H28" s="2">
        <v>0.63030767470806004</v>
      </c>
      <c r="I28" s="2">
        <v>0.65340909090909005</v>
      </c>
      <c r="J28" s="2">
        <v>0.62711864406779605</v>
      </c>
      <c r="K28" s="2">
        <v>1.5387562795499601E-2</v>
      </c>
      <c r="L28" s="2">
        <f>1/1.58</f>
        <v>0.63291139240506322</v>
      </c>
      <c r="M28" s="2">
        <f>(Table1[[#This Row],[poisson_likelihood]] - (1-Table1[[#This Row],[poisson_likelihood]])/(1/Table1[[#This Row],[365 implied]]-1))/4</f>
        <v>-1.7732215350280689E-3</v>
      </c>
      <c r="N28" s="7">
        <f>Table1[[#This Row],[kelly/4 365]]*$U$2</f>
        <v>-1.4185772280224551</v>
      </c>
      <c r="O28" s="2"/>
      <c r="P28" s="2" t="e">
        <f>(Table1[[#This Row],[poisson_likelihood]] - (1-Table1[[#This Row],[poisson_likelihood]])/(1/Table1[[#This Row],[99/pinn implied]]-1))/4</f>
        <v>#DIV/0!</v>
      </c>
      <c r="Q28" s="7" t="e">
        <f>Table1[[#This Row],[kelly/4 99]]*$U$2</f>
        <v>#DIV/0!</v>
      </c>
      <c r="R28" s="10"/>
      <c r="S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" spans="1:19" x14ac:dyDescent="0.2">
      <c r="A29">
        <v>5624</v>
      </c>
      <c r="B29" t="s">
        <v>99</v>
      </c>
      <c r="C29" s="1">
        <v>45608</v>
      </c>
      <c r="D29" t="s">
        <v>13</v>
      </c>
      <c r="E29">
        <v>2.5</v>
      </c>
      <c r="F29" s="2">
        <v>0.63694267515923497</v>
      </c>
      <c r="G29" s="2">
        <v>0.6271185205741</v>
      </c>
      <c r="H29" s="2">
        <v>0.65913045084673805</v>
      </c>
      <c r="I29" s="2">
        <v>0.64571428571428502</v>
      </c>
      <c r="J29" s="2">
        <v>0.65529010238907803</v>
      </c>
      <c r="K29" s="2">
        <v>1.527842448657E-2</v>
      </c>
      <c r="L29" s="2">
        <f>1/1.55</f>
        <v>0.64516129032258063</v>
      </c>
      <c r="M29" s="2">
        <f>(Table1[[#This Row],[poisson_likelihood]] - (1-Table1[[#This Row],[poisson_likelihood]])/(1/Table1[[#This Row],[365 implied]]-1))/4</f>
        <v>9.8419085511109172E-3</v>
      </c>
      <c r="N29" s="8">
        <f>Table1[[#This Row],[kelly/4 365]]*$U$2</f>
        <v>7.8735268408887338</v>
      </c>
      <c r="O29" s="2">
        <f>Table1[[#This Row],[365 implied]]</f>
        <v>0.64516129032258063</v>
      </c>
      <c r="P29" s="2">
        <f>(Table1[[#This Row],[poisson_likelihood]] - (1-Table1[[#This Row],[poisson_likelihood]])/(1/Table1[[#This Row],[99/pinn implied]]-1))/4</f>
        <v>9.8419085511109172E-3</v>
      </c>
      <c r="Q29" s="7">
        <f>Table1[[#This Row],[kelly/4 99]]*$U$2</f>
        <v>7.8735268408887338</v>
      </c>
      <c r="R29" s="10" t="s">
        <v>116</v>
      </c>
      <c r="S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4.3304397624888038</v>
      </c>
    </row>
    <row r="30" spans="1:19" x14ac:dyDescent="0.2">
      <c r="A30">
        <v>5585</v>
      </c>
      <c r="B30" t="s">
        <v>80</v>
      </c>
      <c r="C30" s="1">
        <v>45608</v>
      </c>
      <c r="D30" t="s">
        <v>12</v>
      </c>
      <c r="E30">
        <v>2.5</v>
      </c>
      <c r="F30" s="2">
        <v>0.40983606557377</v>
      </c>
      <c r="G30" s="2">
        <v>0.48684885098064401</v>
      </c>
      <c r="H30" s="2">
        <v>0.44312349692613701</v>
      </c>
      <c r="I30" s="2">
        <v>0.45454545454545398</v>
      </c>
      <c r="J30" s="2">
        <v>0.46959459459459402</v>
      </c>
      <c r="K30" s="2">
        <v>1.41009257812111E-2</v>
      </c>
      <c r="L30" s="2">
        <f>1/2.45</f>
        <v>0.4081632653061224</v>
      </c>
      <c r="M30" s="2">
        <f>(Table1[[#This Row],[poisson_likelihood]] - (1-Table1[[#This Row],[poisson_likelihood]])/(1/Table1[[#This Row],[365 implied]]-1))/4</f>
        <v>1.4767684046385482E-2</v>
      </c>
      <c r="N30" s="8">
        <f>Table1[[#This Row],[kelly/4 365]]*$U$2</f>
        <v>11.814147237108386</v>
      </c>
      <c r="O30" s="2">
        <f>Table1[[#This Row],[365 implied]]</f>
        <v>0.4081632653061224</v>
      </c>
      <c r="P30" s="2">
        <f>(Table1[[#This Row],[poisson_likelihood]] - (1-Table1[[#This Row],[poisson_likelihood]])/(1/Table1[[#This Row],[99/pinn implied]]-1))/4</f>
        <v>1.4767684046385482E-2</v>
      </c>
      <c r="Q30" s="7">
        <f>Table1[[#This Row],[kelly/4 99]]*$U$2</f>
        <v>11.814147237108386</v>
      </c>
      <c r="R30" s="10" t="s">
        <v>117</v>
      </c>
      <c r="S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-11.814147237108386</v>
      </c>
    </row>
    <row r="31" spans="1:19" x14ac:dyDescent="0.2">
      <c r="A31">
        <v>5581</v>
      </c>
      <c r="B31" t="s">
        <v>78</v>
      </c>
      <c r="C31" s="1">
        <v>45608</v>
      </c>
      <c r="D31" t="s">
        <v>12</v>
      </c>
      <c r="E31">
        <v>3.5</v>
      </c>
      <c r="F31" s="2">
        <v>0.46296296296296202</v>
      </c>
      <c r="G31" s="2">
        <v>0.52592454419981105</v>
      </c>
      <c r="H31" s="2">
        <v>0.49310313756639601</v>
      </c>
      <c r="I31" s="2">
        <v>0.51176470588235201</v>
      </c>
      <c r="J31" s="2">
        <v>0.47499999999999998</v>
      </c>
      <c r="K31" s="2">
        <v>1.40307709360812E-2</v>
      </c>
      <c r="L31" s="2">
        <f>1/2.05</f>
        <v>0.48780487804878053</v>
      </c>
      <c r="M31" s="2">
        <f>(Table1[[#This Row],[poisson_likelihood]] - (1-Table1[[#This Row],[poisson_likelihood]])/(1/Table1[[#This Row],[365 implied]]-1))/4</f>
        <v>2.5860552407408893E-3</v>
      </c>
      <c r="N31" s="8">
        <f>Table1[[#This Row],[kelly/4 365]]*$U$2</f>
        <v>2.0688441925927115</v>
      </c>
      <c r="O31" s="2">
        <f>Table1[[#This Row],[365 implied]]</f>
        <v>0.48780487804878053</v>
      </c>
      <c r="P31" s="2">
        <f>(Table1[[#This Row],[poisson_likelihood]] - (1-Table1[[#This Row],[poisson_likelihood]])/(1/Table1[[#This Row],[99/pinn implied]]-1))/4</f>
        <v>2.5860552407408893E-3</v>
      </c>
      <c r="Q31" s="7">
        <f>Table1[[#This Row],[kelly/4 99]]*$U$2</f>
        <v>2.0688441925927115</v>
      </c>
      <c r="R31" s="10" t="s">
        <v>116</v>
      </c>
      <c r="S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2.1722864022223463</v>
      </c>
    </row>
    <row r="32" spans="1:19" x14ac:dyDescent="0.2">
      <c r="A32">
        <v>5636</v>
      </c>
      <c r="B32" t="s">
        <v>105</v>
      </c>
      <c r="C32" s="1">
        <v>45608</v>
      </c>
      <c r="D32" t="s">
        <v>13</v>
      </c>
      <c r="E32">
        <v>3.5</v>
      </c>
      <c r="F32" s="2">
        <v>0.59171597633136097</v>
      </c>
      <c r="G32" s="2">
        <v>0.57601704902412998</v>
      </c>
      <c r="H32" s="2">
        <v>0.61448332721249599</v>
      </c>
      <c r="I32" s="2">
        <v>0.65979381443298901</v>
      </c>
      <c r="J32" s="2">
        <v>0.64390243902439004</v>
      </c>
      <c r="K32" s="2">
        <v>1.39408778946081E-2</v>
      </c>
      <c r="L32" s="2">
        <f>1/1.66</f>
        <v>0.60240963855421692</v>
      </c>
      <c r="M32" s="2">
        <f>(Table1[[#This Row],[poisson_likelihood]] - (1-Table1[[#This Row],[poisson_likelihood]])/(1/Table1[[#This Row],[365 implied]]-1))/4</f>
        <v>7.5917890805845822E-3</v>
      </c>
      <c r="N32" s="8">
        <f>Table1[[#This Row],[kelly/4 365]]*$U$2</f>
        <v>6.0734312644676658</v>
      </c>
      <c r="O32" s="2">
        <f>Table1[[#This Row],[365 implied]]</f>
        <v>0.60240963855421692</v>
      </c>
      <c r="P32" s="2">
        <f>(Table1[[#This Row],[poisson_likelihood]] - (1-Table1[[#This Row],[poisson_likelihood]])/(1/Table1[[#This Row],[99/pinn implied]]-1))/4</f>
        <v>7.5917890805845822E-3</v>
      </c>
      <c r="Q32" s="7">
        <f>Table1[[#This Row],[kelly/4 99]]*$U$2</f>
        <v>6.0734312644676658</v>
      </c>
      <c r="R32" s="10" t="s">
        <v>116</v>
      </c>
      <c r="S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4.0084646345486581</v>
      </c>
    </row>
    <row r="33" spans="1:19" x14ac:dyDescent="0.2">
      <c r="A33">
        <v>5531</v>
      </c>
      <c r="B33" t="s">
        <v>53</v>
      </c>
      <c r="C33" s="1">
        <v>45608</v>
      </c>
      <c r="D33" t="s">
        <v>12</v>
      </c>
      <c r="E33">
        <v>2.5</v>
      </c>
      <c r="F33" s="2">
        <v>0.49261083743842299</v>
      </c>
      <c r="G33" s="2">
        <v>0.55904913817412205</v>
      </c>
      <c r="H33" s="2">
        <v>0.51759854579849396</v>
      </c>
      <c r="I33" s="2">
        <v>0.56462585034013602</v>
      </c>
      <c r="J33" s="2">
        <v>0.5625</v>
      </c>
      <c r="K33" s="2">
        <v>1.23119048473165E-2</v>
      </c>
      <c r="L33" s="2">
        <f>1/2.05</f>
        <v>0.48780487804878053</v>
      </c>
      <c r="M33" s="2">
        <f>(Table1[[#This Row],[poisson_likelihood]] - (1-Table1[[#This Row],[poisson_likelihood]])/(1/Table1[[#This Row],[365 implied]]-1))/4</f>
        <v>1.4542147354026799E-2</v>
      </c>
      <c r="N33" s="8">
        <f>Table1[[#This Row],[kelly/4 365]]*$U$2</f>
        <v>11.63371788322144</v>
      </c>
      <c r="O33" s="2"/>
      <c r="P33" s="2" t="e">
        <f>(Table1[[#This Row],[poisson_likelihood]] - (1-Table1[[#This Row],[poisson_likelihood]])/(1/Table1[[#This Row],[99/pinn implied]]-1))/4</f>
        <v>#DIV/0!</v>
      </c>
      <c r="Q33" s="7" t="e">
        <f>Table1[[#This Row],[kelly/4 99]]*$U$2</f>
        <v>#DIV/0!</v>
      </c>
      <c r="R33" s="10" t="s">
        <v>118</v>
      </c>
      <c r="S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" spans="1:19" x14ac:dyDescent="0.2">
      <c r="A34">
        <v>5614</v>
      </c>
      <c r="B34" t="s">
        <v>94</v>
      </c>
      <c r="C34" s="1">
        <v>45608</v>
      </c>
      <c r="D34" t="s">
        <v>13</v>
      </c>
      <c r="E34">
        <v>2.5</v>
      </c>
      <c r="F34" s="2">
        <v>0.44052863436123302</v>
      </c>
      <c r="G34" s="2">
        <v>0.42491689520711601</v>
      </c>
      <c r="H34" s="2">
        <v>0.46692929786284898</v>
      </c>
      <c r="I34" s="2">
        <v>0.45</v>
      </c>
      <c r="J34" s="2">
        <v>0.45075757575757502</v>
      </c>
      <c r="K34" s="2">
        <v>1.1797146879659E-2</v>
      </c>
      <c r="L34" s="2">
        <f>1/2.3</f>
        <v>0.43478260869565222</v>
      </c>
      <c r="M34" s="2">
        <f>(Table1[[#This Row],[poisson_likelihood]] - (1-Table1[[#This Row],[poisson_likelihood]])/(1/Table1[[#This Row],[365 implied]]-1))/4</f>
        <v>1.42187279008755E-2</v>
      </c>
      <c r="N34" s="8">
        <f>Table1[[#This Row],[kelly/4 365]]*$U$2</f>
        <v>11.374982320700401</v>
      </c>
      <c r="O34" s="2">
        <f>Table1[[#This Row],[365 implied]]</f>
        <v>0.43478260869565222</v>
      </c>
      <c r="P34" s="2">
        <f>(Table1[[#This Row],[poisson_likelihood]] - (1-Table1[[#This Row],[poisson_likelihood]])/(1/Table1[[#This Row],[99/pinn implied]]-1))/4</f>
        <v>1.42187279008755E-2</v>
      </c>
      <c r="Q34" s="7">
        <f>Table1[[#This Row],[kelly/4 99]]*$U$2</f>
        <v>11.374982320700401</v>
      </c>
      <c r="R34" s="10" t="s">
        <v>117</v>
      </c>
      <c r="S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-11.374982320700401</v>
      </c>
    </row>
    <row r="35" spans="1:19" x14ac:dyDescent="0.2">
      <c r="A35">
        <v>5464</v>
      </c>
      <c r="B35" t="s">
        <v>19</v>
      </c>
      <c r="C35" s="1">
        <v>45608</v>
      </c>
      <c r="D35" t="s">
        <v>13</v>
      </c>
      <c r="E35">
        <v>3.5</v>
      </c>
      <c r="F35" s="2">
        <v>0.55555555555555503</v>
      </c>
      <c r="G35" s="2">
        <v>0.53600353421410196</v>
      </c>
      <c r="H35" s="2">
        <v>0.57622305809275298</v>
      </c>
      <c r="I35" s="2">
        <v>0.61581920903954801</v>
      </c>
      <c r="J35" s="2">
        <v>0.57288135593220302</v>
      </c>
      <c r="K35" s="2">
        <v>1.1625470177173801E-2</v>
      </c>
      <c r="L35" s="2">
        <f>1/1.8</f>
        <v>0.55555555555555558</v>
      </c>
      <c r="M35" s="2">
        <f>(Table1[[#This Row],[poisson_likelihood]] - (1-Table1[[#This Row],[poisson_likelihood]])/(1/Table1[[#This Row],[365 implied]]-1))/4</f>
        <v>1.1625470177173525E-2</v>
      </c>
      <c r="N35" s="8">
        <f>Table1[[#This Row],[kelly/4 365]]*$U$2</f>
        <v>9.3003761417388198</v>
      </c>
      <c r="O35" s="2">
        <f>Table1[[#This Row],[365 implied]]</f>
        <v>0.55555555555555558</v>
      </c>
      <c r="P35" s="2">
        <f>(Table1[[#This Row],[poisson_likelihood]] - (1-Table1[[#This Row],[poisson_likelihood]])/(1/Table1[[#This Row],[99/pinn implied]]-1))/4</f>
        <v>1.1625470177173525E-2</v>
      </c>
      <c r="Q35" s="7">
        <f>Table1[[#This Row],[kelly/4 99]]*$U$2</f>
        <v>9.3003761417388198</v>
      </c>
      <c r="R35" s="10" t="s">
        <v>117</v>
      </c>
      <c r="S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-9.3003761417388198</v>
      </c>
    </row>
    <row r="36" spans="1:19" x14ac:dyDescent="0.2">
      <c r="A36">
        <v>5572</v>
      </c>
      <c r="B36" t="s">
        <v>73</v>
      </c>
      <c r="C36" s="1">
        <v>45608</v>
      </c>
      <c r="D36" t="s">
        <v>13</v>
      </c>
      <c r="E36">
        <v>2.5</v>
      </c>
      <c r="F36" s="2">
        <v>0.61728395061728303</v>
      </c>
      <c r="G36" s="2">
        <v>0.58988928377989802</v>
      </c>
      <c r="H36" s="2">
        <v>0.63397558341615501</v>
      </c>
      <c r="I36" s="2">
        <v>0.66860465116279</v>
      </c>
      <c r="J36" s="2">
        <v>0.64948453608247403</v>
      </c>
      <c r="K36" s="2">
        <v>1.0903405296037101E-2</v>
      </c>
      <c r="L36" s="2">
        <f>1/1.58</f>
        <v>0.63291139240506322</v>
      </c>
      <c r="M36" s="2">
        <f>(Table1[[#This Row],[poisson_likelihood]] - (1-Table1[[#This Row],[poisson_likelihood]])/(1/Table1[[#This Row],[365 implied]]-1))/4</f>
        <v>7.2475077479525196E-4</v>
      </c>
      <c r="N36" s="8">
        <f>Table1[[#This Row],[kelly/4 365]]*$U$2</f>
        <v>0.57980061983620157</v>
      </c>
      <c r="O36" s="2">
        <f>1/1.568</f>
        <v>0.63775510204081631</v>
      </c>
      <c r="P36" s="2">
        <f>(Table1[[#This Row],[poisson_likelihood]] - (1-Table1[[#This Row],[poisson_likelihood]])/(1/Table1[[#This Row],[99/pinn implied]]-1))/4</f>
        <v>-2.6084001775831533E-3</v>
      </c>
      <c r="Q36" s="7">
        <f>Table1[[#This Row],[kelly/4 99]]*$U$2</f>
        <v>-2.0867201420665227</v>
      </c>
      <c r="R36" s="10" t="s">
        <v>117</v>
      </c>
      <c r="S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-0.57980061983620157</v>
      </c>
    </row>
    <row r="37" spans="1:19" x14ac:dyDescent="0.2">
      <c r="A37">
        <v>5481</v>
      </c>
      <c r="B37" t="s">
        <v>28</v>
      </c>
      <c r="C37" s="1">
        <v>45608</v>
      </c>
      <c r="D37" t="s">
        <v>12</v>
      </c>
      <c r="E37">
        <v>2.5</v>
      </c>
      <c r="F37" s="2">
        <v>0.43859649122806998</v>
      </c>
      <c r="G37" s="2">
        <v>0.50523766645107204</v>
      </c>
      <c r="H37" s="2">
        <v>0.46167175183996101</v>
      </c>
      <c r="I37" s="2">
        <v>0.48502994011975997</v>
      </c>
      <c r="J37" s="2">
        <v>0.44285714285714201</v>
      </c>
      <c r="K37" s="2">
        <v>1.02757019912327E-2</v>
      </c>
      <c r="L37" s="2">
        <f>1/2.32</f>
        <v>0.43103448275862072</v>
      </c>
      <c r="M37" s="2">
        <f>(Table1[[#This Row],[poisson_likelihood]] - (1-Table1[[#This Row],[poisson_likelihood]])/(1/Table1[[#This Row],[365 implied]]-1))/4</f>
        <v>1.3461830353922247E-2</v>
      </c>
      <c r="N37" s="8">
        <f>Table1[[#This Row],[kelly/4 365]]*$U$2</f>
        <v>10.769464283137797</v>
      </c>
      <c r="O37" s="2">
        <f>Table1[[#This Row],[365 implied]]</f>
        <v>0.43103448275862072</v>
      </c>
      <c r="P37" s="2">
        <f>(Table1[[#This Row],[poisson_likelihood]] - (1-Table1[[#This Row],[poisson_likelihood]])/(1/Table1[[#This Row],[99/pinn implied]]-1))/4</f>
        <v>1.3461830353922247E-2</v>
      </c>
      <c r="Q37" s="7">
        <f>Table1[[#This Row],[kelly/4 99]]*$U$2</f>
        <v>10.769464283137797</v>
      </c>
      <c r="R37" s="10" t="s">
        <v>116</v>
      </c>
      <c r="S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14.215692853741889</v>
      </c>
    </row>
    <row r="38" spans="1:19" x14ac:dyDescent="0.2">
      <c r="A38">
        <v>5521</v>
      </c>
      <c r="B38" t="s">
        <v>48</v>
      </c>
      <c r="C38" s="1">
        <v>45608</v>
      </c>
      <c r="D38" t="s">
        <v>12</v>
      </c>
      <c r="E38">
        <v>3.5</v>
      </c>
      <c r="F38" s="2">
        <v>0.427350427350427</v>
      </c>
      <c r="G38" s="2">
        <v>0.48235341122300102</v>
      </c>
      <c r="H38" s="2">
        <v>0.44604036317879697</v>
      </c>
      <c r="I38" s="2">
        <v>0.47093023255813898</v>
      </c>
      <c r="J38" s="2">
        <v>0.46875</v>
      </c>
      <c r="K38" s="2">
        <v>8.1594122832808307E-3</v>
      </c>
      <c r="L38" s="2">
        <f>1/2.28</f>
        <v>0.43859649122807021</v>
      </c>
      <c r="M38" s="2">
        <f>(Table1[[#This Row],[poisson_likelihood]] - (1-Table1[[#This Row],[poisson_likelihood]])/(1/Table1[[#This Row],[365 implied]]-1))/4</f>
        <v>3.3148492280580255E-3</v>
      </c>
      <c r="N38" s="8">
        <f>Table1[[#This Row],[kelly/4 365]]*$U$2</f>
        <v>2.6518793824464204</v>
      </c>
      <c r="O38" s="2">
        <f>Table1[[#This Row],[365 implied]]</f>
        <v>0.43859649122807021</v>
      </c>
      <c r="P38" s="2">
        <f>(Table1[[#This Row],[poisson_likelihood]] - (1-Table1[[#This Row],[poisson_likelihood]])/(1/Table1[[#This Row],[99/pinn implied]]-1))/4</f>
        <v>3.3148492280580255E-3</v>
      </c>
      <c r="Q38" s="7">
        <f>Table1[[#This Row],[kelly/4 99]]*$U$2</f>
        <v>2.6518793824464204</v>
      </c>
      <c r="R38" s="10" t="s">
        <v>116</v>
      </c>
      <c r="S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3.3944056095314172</v>
      </c>
    </row>
    <row r="39" spans="1:19" x14ac:dyDescent="0.2">
      <c r="A39">
        <v>5454</v>
      </c>
      <c r="B39" t="s">
        <v>14</v>
      </c>
      <c r="C39" s="1">
        <v>45608</v>
      </c>
      <c r="D39" t="s">
        <v>13</v>
      </c>
      <c r="E39">
        <v>2.5</v>
      </c>
      <c r="F39" s="2">
        <v>0.60606060606060597</v>
      </c>
      <c r="G39" s="2">
        <v>0.57442857154014404</v>
      </c>
      <c r="H39" s="2">
        <v>0.61888566647606602</v>
      </c>
      <c r="I39" s="2">
        <v>0.61363636363636298</v>
      </c>
      <c r="J39" s="2">
        <v>0.58163265306122403</v>
      </c>
      <c r="K39" s="2">
        <v>8.1389806482727797E-3</v>
      </c>
      <c r="L39" s="2">
        <f>1/1.58</f>
        <v>0.63291139240506322</v>
      </c>
      <c r="M39" s="2">
        <f>(Table1[[#This Row],[poisson_likelihood]] - (1-Table1[[#This Row],[poisson_likelihood]])/(1/Table1[[#This Row],[365 implied]]-1))/4</f>
        <v>-9.5520030033688086E-3</v>
      </c>
      <c r="N39" s="7">
        <f>Table1[[#This Row],[kelly/4 365]]*$U$2</f>
        <v>-7.6416024026950469</v>
      </c>
      <c r="O39" s="2"/>
      <c r="P39" s="2" t="e">
        <f>(Table1[[#This Row],[poisson_likelihood]] - (1-Table1[[#This Row],[poisson_likelihood]])/(1/Table1[[#This Row],[99/pinn implied]]-1))/4</f>
        <v>#DIV/0!</v>
      </c>
      <c r="Q39" s="7" t="e">
        <f>Table1[[#This Row],[kelly/4 99]]*$U$2</f>
        <v>#DIV/0!</v>
      </c>
      <c r="R39" s="10"/>
      <c r="S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0" spans="1:19" x14ac:dyDescent="0.2">
      <c r="A40">
        <v>5483</v>
      </c>
      <c r="B40" t="s">
        <v>29</v>
      </c>
      <c r="C40" s="1">
        <v>45608</v>
      </c>
      <c r="D40" t="s">
        <v>12</v>
      </c>
      <c r="E40">
        <v>3.5</v>
      </c>
      <c r="F40" s="2">
        <v>0.45454545454545398</v>
      </c>
      <c r="G40" s="2">
        <v>0.50769985714253396</v>
      </c>
      <c r="H40" s="2">
        <v>0.471755411555629</v>
      </c>
      <c r="I40" s="2">
        <v>0.46285714285714202</v>
      </c>
      <c r="J40" s="2">
        <v>0.48474576271186398</v>
      </c>
      <c r="K40" s="2">
        <v>7.8878969629969792E-3</v>
      </c>
      <c r="L40" s="2">
        <f>1/2.2</f>
        <v>0.45454545454545453</v>
      </c>
      <c r="M40" s="2">
        <f>(Table1[[#This Row],[poisson_likelihood]] - (1-Table1[[#This Row],[poisson_likelihood]])/(1/Table1[[#This Row],[365 implied]]-1))/4</f>
        <v>7.88789696299666E-3</v>
      </c>
      <c r="N40" s="8">
        <f>Table1[[#This Row],[kelly/4 365]]*$U$2</f>
        <v>6.310317570397328</v>
      </c>
      <c r="O40" s="2">
        <f>Table1[[#This Row],[365 implied]]</f>
        <v>0.45454545454545453</v>
      </c>
      <c r="P40" s="2">
        <f>(Table1[[#This Row],[poisson_likelihood]] - (1-Table1[[#This Row],[poisson_likelihood]])/(1/Table1[[#This Row],[99/pinn implied]]-1))/4</f>
        <v>7.88789696299666E-3</v>
      </c>
      <c r="Q40" s="7">
        <f>Table1[[#This Row],[kelly/4 99]]*$U$2</f>
        <v>6.310317570397328</v>
      </c>
      <c r="R40" s="10" t="s">
        <v>117</v>
      </c>
      <c r="S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-6.310317570397328</v>
      </c>
    </row>
    <row r="41" spans="1:19" x14ac:dyDescent="0.2">
      <c r="A41">
        <v>5598</v>
      </c>
      <c r="B41" t="s">
        <v>86</v>
      </c>
      <c r="C41" s="1">
        <v>45608</v>
      </c>
      <c r="D41" t="s">
        <v>13</v>
      </c>
      <c r="E41">
        <v>2.5</v>
      </c>
      <c r="F41" s="2">
        <v>0.57471264367816</v>
      </c>
      <c r="G41" s="2">
        <v>0.541020640118556</v>
      </c>
      <c r="H41" s="2">
        <v>0.58809056219752298</v>
      </c>
      <c r="I41" s="2">
        <v>0.62011173184357504</v>
      </c>
      <c r="J41" s="2">
        <v>0.61716171617161697</v>
      </c>
      <c r="K41" s="2">
        <v>7.86404669719281E-3</v>
      </c>
      <c r="L41" s="2">
        <f>1/1.76</f>
        <v>0.56818181818181823</v>
      </c>
      <c r="M41" s="2">
        <f>(Table1[[#This Row],[poisson_likelihood]] - (1-Table1[[#This Row],[poisson_likelihood]])/(1/Table1[[#This Row],[365 implied]]-1))/4</f>
        <v>1.1526114956460637E-2</v>
      </c>
      <c r="N41" s="8">
        <f>Table1[[#This Row],[kelly/4 365]]*$U$2</f>
        <v>9.2208919651685086</v>
      </c>
      <c r="O41" s="2">
        <f>Table1[[#This Row],[365 implied]]</f>
        <v>0.56818181818181823</v>
      </c>
      <c r="P41" s="2">
        <f>(Table1[[#This Row],[poisson_likelihood]] - (1-Table1[[#This Row],[poisson_likelihood]])/(1/Table1[[#This Row],[99/pinn implied]]-1))/4</f>
        <v>1.1526114956460637E-2</v>
      </c>
      <c r="Q41" s="7">
        <f>Table1[[#This Row],[kelly/4 99]]*$U$2</f>
        <v>9.2208919651685086</v>
      </c>
      <c r="R41" s="10" t="s">
        <v>117</v>
      </c>
      <c r="S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-9.2208919651685086</v>
      </c>
    </row>
    <row r="42" spans="1:19" x14ac:dyDescent="0.2">
      <c r="A42">
        <v>5504</v>
      </c>
      <c r="B42" t="s">
        <v>39</v>
      </c>
      <c r="C42" s="1">
        <v>45608</v>
      </c>
      <c r="D42" t="s">
        <v>13</v>
      </c>
      <c r="E42">
        <v>1.5</v>
      </c>
      <c r="F42" s="2">
        <v>0.45454545454545398</v>
      </c>
      <c r="G42" s="2">
        <v>0.420170376253856</v>
      </c>
      <c r="H42" s="2">
        <v>0.47127627136396799</v>
      </c>
      <c r="I42" s="2">
        <v>0.43181818181818099</v>
      </c>
      <c r="J42" s="2">
        <v>0.466442953020134</v>
      </c>
      <c r="K42" s="2">
        <v>7.6682910418190402E-3</v>
      </c>
      <c r="L42" s="2">
        <f>1/2.2</f>
        <v>0.45454545454545453</v>
      </c>
      <c r="M42" s="2">
        <f>(Table1[[#This Row],[poisson_likelihood]] - (1-Table1[[#This Row],[poisson_likelihood]])/(1/Table1[[#This Row],[365 implied]]-1))/4</f>
        <v>7.6682910418186812E-3</v>
      </c>
      <c r="N42" s="8">
        <f>Table1[[#This Row],[kelly/4 365]]*$U$2</f>
        <v>6.1346328334549449</v>
      </c>
      <c r="O42" s="2">
        <f>1/2.13</f>
        <v>0.46948356807511737</v>
      </c>
      <c r="P42" s="2">
        <f>(Table1[[#This Row],[poisson_likelihood]] - (1-Table1[[#This Row],[poisson_likelihood]])/(1/Table1[[#This Row],[99/pinn implied]]-1))/4</f>
        <v>8.4479159408225313E-4</v>
      </c>
      <c r="Q42" s="7">
        <f>Table1[[#This Row],[kelly/4 99]]*$U$2</f>
        <v>0.6758332752658025</v>
      </c>
      <c r="R42" s="10" t="s">
        <v>116</v>
      </c>
      <c r="S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7.3615594001459348</v>
      </c>
    </row>
    <row r="43" spans="1:19" x14ac:dyDescent="0.2">
      <c r="A43">
        <v>5466</v>
      </c>
      <c r="B43" t="s">
        <v>20</v>
      </c>
      <c r="C43" s="1">
        <v>45608</v>
      </c>
      <c r="D43" t="s">
        <v>13</v>
      </c>
      <c r="E43">
        <v>2.5</v>
      </c>
      <c r="F43" s="2">
        <v>0.44247787610619399</v>
      </c>
      <c r="G43" s="2">
        <v>0.41153239132394398</v>
      </c>
      <c r="H43" s="2">
        <v>0.45708715488860902</v>
      </c>
      <c r="I43" s="2">
        <v>0.42957746478873199</v>
      </c>
      <c r="J43" s="2">
        <v>0.42424242424242398</v>
      </c>
      <c r="K43" s="2">
        <v>6.5509861206859898E-3</v>
      </c>
      <c r="L43" s="2">
        <f>1/2.28</f>
        <v>0.43859649122807021</v>
      </c>
      <c r="M43" s="2">
        <f>(Table1[[#This Row],[poisson_likelihood]] - (1-Table1[[#This Row],[poisson_likelihood]])/(1/Table1[[#This Row],[365 implied]]-1))/4</f>
        <v>8.2341236613336921E-3</v>
      </c>
      <c r="N43" s="8">
        <f>Table1[[#This Row],[kelly/4 365]]*$U$2</f>
        <v>6.5872989290669537</v>
      </c>
      <c r="O43" s="2">
        <f>Table1[[#This Row],[365 implied]]</f>
        <v>0.43859649122807021</v>
      </c>
      <c r="P43" s="2">
        <f>(Table1[[#This Row],[poisson_likelihood]] - (1-Table1[[#This Row],[poisson_likelihood]])/(1/Table1[[#This Row],[99/pinn implied]]-1))/4</f>
        <v>8.2341236613336921E-3</v>
      </c>
      <c r="Q43" s="7">
        <f>Table1[[#This Row],[kelly/4 99]]*$U$2</f>
        <v>6.5872989290669537</v>
      </c>
      <c r="R43" s="10" t="s">
        <v>116</v>
      </c>
      <c r="S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8.4317426292056989</v>
      </c>
    </row>
    <row r="44" spans="1:19" x14ac:dyDescent="0.2">
      <c r="A44">
        <v>5599</v>
      </c>
      <c r="B44" t="s">
        <v>87</v>
      </c>
      <c r="C44" s="1">
        <v>45608</v>
      </c>
      <c r="D44" t="s">
        <v>12</v>
      </c>
      <c r="E44">
        <v>2.5</v>
      </c>
      <c r="F44" s="2">
        <v>0.49261083743842299</v>
      </c>
      <c r="G44" s="2">
        <v>0.54629360114706804</v>
      </c>
      <c r="H44" s="2">
        <v>0.50492395211361296</v>
      </c>
      <c r="I44" s="2">
        <v>0.53888888888888797</v>
      </c>
      <c r="J44" s="2">
        <v>0.50986842105263097</v>
      </c>
      <c r="K44" s="2">
        <v>6.0668987355912696E-3</v>
      </c>
      <c r="L44" s="2">
        <f>1/2.05</f>
        <v>0.48780487804878053</v>
      </c>
      <c r="M44" s="2">
        <f>(Table1[[#This Row],[poisson_likelihood]] - (1-Table1[[#This Row],[poisson_likelihood]])/(1/Table1[[#This Row],[365 implied]]-1))/4</f>
        <v>8.3557385316443966E-3</v>
      </c>
      <c r="N44" s="8">
        <f>Table1[[#This Row],[kelly/4 365]]*$U$2</f>
        <v>6.6845908253155173</v>
      </c>
      <c r="O44" s="2">
        <f>Table1[[#This Row],[365 implied]]</f>
        <v>0.48780487804878053</v>
      </c>
      <c r="P44" s="2">
        <f>(Table1[[#This Row],[poisson_likelihood]] - (1-Table1[[#This Row],[poisson_likelihood]])/(1/Table1[[#This Row],[99/pinn implied]]-1))/4</f>
        <v>8.3557385316443966E-3</v>
      </c>
      <c r="Q44" s="7">
        <f>Table1[[#This Row],[kelly/4 99]]*$U$2</f>
        <v>6.6845908253155173</v>
      </c>
      <c r="R44" s="10" t="s">
        <v>117</v>
      </c>
      <c r="S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-6.6845908253155173</v>
      </c>
    </row>
    <row r="45" spans="1:19" x14ac:dyDescent="0.2">
      <c r="A45">
        <v>5628</v>
      </c>
      <c r="B45" t="s">
        <v>101</v>
      </c>
      <c r="C45" s="1">
        <v>45608</v>
      </c>
      <c r="D45" t="s">
        <v>13</v>
      </c>
      <c r="E45">
        <v>1.5</v>
      </c>
      <c r="F45" s="2">
        <v>0.46296296296296202</v>
      </c>
      <c r="G45" s="2">
        <v>0.41564233026068298</v>
      </c>
      <c r="H45" s="2">
        <v>0.474466736594503</v>
      </c>
      <c r="I45" s="2">
        <v>0.44186046511627902</v>
      </c>
      <c r="J45" s="2">
        <v>0.44290657439446302</v>
      </c>
      <c r="K45" s="2">
        <v>5.3552049664066896E-3</v>
      </c>
      <c r="L45" s="2"/>
      <c r="M45" s="2" t="e">
        <f>(Table1[[#This Row],[poisson_likelihood]] - (1-Table1[[#This Row],[poisson_likelihood]])/(1/Table1[[#This Row],[365 implied]]-1))/4</f>
        <v>#DIV/0!</v>
      </c>
      <c r="N45" s="7" t="e">
        <f>Table1[[#This Row],[kelly/4 365]]*$U$2</f>
        <v>#DIV/0!</v>
      </c>
      <c r="O45" s="2"/>
      <c r="P45" s="2" t="e">
        <f>(Table1[[#This Row],[poisson_likelihood]] - (1-Table1[[#This Row],[poisson_likelihood]])/(1/Table1[[#This Row],[99/pinn implied]]-1))/4</f>
        <v>#DIV/0!</v>
      </c>
      <c r="Q45" s="7" t="e">
        <f>Table1[[#This Row],[kelly/4 99]]*$U$2</f>
        <v>#DIV/0!</v>
      </c>
      <c r="R45" s="10"/>
      <c r="S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6" spans="1:19" x14ac:dyDescent="0.2">
      <c r="A46">
        <v>5476</v>
      </c>
      <c r="B46" t="s">
        <v>25</v>
      </c>
      <c r="C46" s="1">
        <v>45608</v>
      </c>
      <c r="D46" t="s">
        <v>13</v>
      </c>
      <c r="E46">
        <v>1.5</v>
      </c>
      <c r="F46" s="2">
        <v>0.44843049327354201</v>
      </c>
      <c r="G46" s="2">
        <v>0.41067007856186</v>
      </c>
      <c r="H46" s="2">
        <v>0.45852306710236401</v>
      </c>
      <c r="I46" s="2">
        <v>0.41317365269460998</v>
      </c>
      <c r="J46" s="2">
        <v>0.41090909090909</v>
      </c>
      <c r="K46" s="2">
        <v>4.5744796012749901E-3</v>
      </c>
      <c r="L46" s="2"/>
      <c r="M46" s="2" t="e">
        <f>(Table1[[#This Row],[poisson_likelihood]] - (1-Table1[[#This Row],[poisson_likelihood]])/(1/Table1[[#This Row],[365 implied]]-1))/4</f>
        <v>#DIV/0!</v>
      </c>
      <c r="N46" s="7" t="e">
        <f>Table1[[#This Row],[kelly/4 365]]*$U$2</f>
        <v>#DIV/0!</v>
      </c>
      <c r="O46" s="2"/>
      <c r="P46" s="2" t="e">
        <f>(Table1[[#This Row],[poisson_likelihood]] - (1-Table1[[#This Row],[poisson_likelihood]])/(1/Table1[[#This Row],[99/pinn implied]]-1))/4</f>
        <v>#DIV/0!</v>
      </c>
      <c r="Q46" s="7" t="e">
        <f>Table1[[#This Row],[kelly/4 99]]*$U$2</f>
        <v>#DIV/0!</v>
      </c>
      <c r="R46" s="10"/>
      <c r="S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7" spans="1:19" x14ac:dyDescent="0.2">
      <c r="A47">
        <v>5629</v>
      </c>
      <c r="B47" t="s">
        <v>102</v>
      </c>
      <c r="C47" s="1">
        <v>45608</v>
      </c>
      <c r="D47" t="s">
        <v>12</v>
      </c>
      <c r="E47">
        <v>2.5</v>
      </c>
      <c r="F47" s="2">
        <v>0.40650406504065001</v>
      </c>
      <c r="G47" s="2">
        <v>0.46329865608144499</v>
      </c>
      <c r="H47" s="2">
        <v>0.41721953986768801</v>
      </c>
      <c r="I47" s="2">
        <v>0.40112994350282399</v>
      </c>
      <c r="J47" s="2">
        <v>0.38383838383838298</v>
      </c>
      <c r="K47" s="2">
        <v>4.5137102867319201E-3</v>
      </c>
      <c r="L47" s="2"/>
      <c r="M47" s="2" t="e">
        <f>(Table1[[#This Row],[poisson_likelihood]] - (1-Table1[[#This Row],[poisson_likelihood]])/(1/Table1[[#This Row],[365 implied]]-1))/4</f>
        <v>#DIV/0!</v>
      </c>
      <c r="N47" s="7" t="e">
        <f>Table1[[#This Row],[kelly/4 365]]*$U$2</f>
        <v>#DIV/0!</v>
      </c>
      <c r="O47" s="2"/>
      <c r="P47" s="2" t="e">
        <f>(Table1[[#This Row],[poisson_likelihood]] - (1-Table1[[#This Row],[poisson_likelihood]])/(1/Table1[[#This Row],[99/pinn implied]]-1))/4</f>
        <v>#DIV/0!</v>
      </c>
      <c r="Q47" s="7" t="e">
        <f>Table1[[#This Row],[kelly/4 99]]*$U$2</f>
        <v>#DIV/0!</v>
      </c>
      <c r="R47" s="10"/>
      <c r="S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8" spans="1:19" x14ac:dyDescent="0.2">
      <c r="A48">
        <v>5528</v>
      </c>
      <c r="B48" t="s">
        <v>51</v>
      </c>
      <c r="C48" s="1">
        <v>45608</v>
      </c>
      <c r="D48" t="s">
        <v>13</v>
      </c>
      <c r="E48">
        <v>2.5</v>
      </c>
      <c r="F48" s="2">
        <v>0.46511627906976699</v>
      </c>
      <c r="G48" s="2">
        <v>0.42556755545395603</v>
      </c>
      <c r="H48" s="2">
        <v>0.47405955870724698</v>
      </c>
      <c r="I48" s="2">
        <v>0.469273743016759</v>
      </c>
      <c r="J48" s="2">
        <v>0.46843853820598003</v>
      </c>
      <c r="K48" s="2">
        <v>4.1800111349092296E-3</v>
      </c>
      <c r="L48" s="2"/>
      <c r="M48" s="2" t="e">
        <f>(Table1[[#This Row],[poisson_likelihood]] - (1-Table1[[#This Row],[poisson_likelihood]])/(1/Table1[[#This Row],[365 implied]]-1))/4</f>
        <v>#DIV/0!</v>
      </c>
      <c r="N48" s="7" t="e">
        <f>Table1[[#This Row],[kelly/4 365]]*$U$2</f>
        <v>#DIV/0!</v>
      </c>
      <c r="O48" s="2"/>
      <c r="P48" s="2" t="e">
        <f>(Table1[[#This Row],[poisson_likelihood]] - (1-Table1[[#This Row],[poisson_likelihood]])/(1/Table1[[#This Row],[99/pinn implied]]-1))/4</f>
        <v>#DIV/0!</v>
      </c>
      <c r="Q48" s="7" t="e">
        <f>Table1[[#This Row],[kelly/4 99]]*$U$2</f>
        <v>#DIV/0!</v>
      </c>
      <c r="R48" s="10"/>
      <c r="S4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49" spans="1:19" x14ac:dyDescent="0.2">
      <c r="A49">
        <v>5485</v>
      </c>
      <c r="B49" t="s">
        <v>30</v>
      </c>
      <c r="C49" s="1">
        <v>45608</v>
      </c>
      <c r="D49" t="s">
        <v>12</v>
      </c>
      <c r="E49">
        <v>3.5</v>
      </c>
      <c r="F49" s="2">
        <v>0.62111801242235998</v>
      </c>
      <c r="G49" s="2">
        <v>0.63914532286402903</v>
      </c>
      <c r="H49" s="2">
        <v>0.626600193842483</v>
      </c>
      <c r="I49" s="2">
        <v>0.64971751412429302</v>
      </c>
      <c r="J49" s="2">
        <v>0.64527027027026995</v>
      </c>
      <c r="K49" s="2">
        <v>3.61734101901572E-3</v>
      </c>
      <c r="L49" s="2"/>
      <c r="M49" s="2" t="e">
        <f>(Table1[[#This Row],[poisson_likelihood]] - (1-Table1[[#This Row],[poisson_likelihood]])/(1/Table1[[#This Row],[365 implied]]-1))/4</f>
        <v>#DIV/0!</v>
      </c>
      <c r="N49" s="7" t="e">
        <f>Table1[[#This Row],[kelly/4 365]]*$U$2</f>
        <v>#DIV/0!</v>
      </c>
      <c r="O49" s="2"/>
      <c r="P49" s="2" t="e">
        <f>(Table1[[#This Row],[poisson_likelihood]] - (1-Table1[[#This Row],[poisson_likelihood]])/(1/Table1[[#This Row],[99/pinn implied]]-1))/4</f>
        <v>#DIV/0!</v>
      </c>
      <c r="Q49" s="7" t="e">
        <f>Table1[[#This Row],[kelly/4 99]]*$U$2</f>
        <v>#DIV/0!</v>
      </c>
      <c r="R49" s="10"/>
      <c r="S4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0" spans="1:19" x14ac:dyDescent="0.2">
      <c r="A50">
        <v>5498</v>
      </c>
      <c r="B50" t="s">
        <v>36</v>
      </c>
      <c r="C50" s="1">
        <v>45608</v>
      </c>
      <c r="D50" t="s">
        <v>13</v>
      </c>
      <c r="E50">
        <v>1.5</v>
      </c>
      <c r="F50" s="2">
        <v>0.42553191489361702</v>
      </c>
      <c r="G50" s="2">
        <v>0.39467544106034602</v>
      </c>
      <c r="H50" s="2">
        <v>0.43305627330390101</v>
      </c>
      <c r="I50" s="2">
        <v>0.51176470588235201</v>
      </c>
      <c r="J50" s="2">
        <v>0.49128919860627102</v>
      </c>
      <c r="K50" s="2">
        <v>3.2744893081793599E-3</v>
      </c>
      <c r="L50" s="2"/>
      <c r="M50" s="2" t="e">
        <f>(Table1[[#This Row],[poisson_likelihood]] - (1-Table1[[#This Row],[poisson_likelihood]])/(1/Table1[[#This Row],[365 implied]]-1))/4</f>
        <v>#DIV/0!</v>
      </c>
      <c r="N50" s="7" t="e">
        <f>Table1[[#This Row],[kelly/4 365]]*$U$2</f>
        <v>#DIV/0!</v>
      </c>
      <c r="O50" s="2"/>
      <c r="P50" s="2" t="e">
        <f>(Table1[[#This Row],[poisson_likelihood]] - (1-Table1[[#This Row],[poisson_likelihood]])/(1/Table1[[#This Row],[99/pinn implied]]-1))/4</f>
        <v>#DIV/0!</v>
      </c>
      <c r="Q50" s="7" t="e">
        <f>Table1[[#This Row],[kelly/4 99]]*$U$2</f>
        <v>#DIV/0!</v>
      </c>
      <c r="R50" s="10"/>
      <c r="S5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1" spans="1:19" x14ac:dyDescent="0.2">
      <c r="A51">
        <v>5534</v>
      </c>
      <c r="B51" t="s">
        <v>54</v>
      </c>
      <c r="C51" s="1">
        <v>45608</v>
      </c>
      <c r="D51" t="s">
        <v>13</v>
      </c>
      <c r="E51">
        <v>2.5</v>
      </c>
      <c r="F51" s="2">
        <v>0.50505050505050497</v>
      </c>
      <c r="G51" s="2">
        <v>0.46885484819752499</v>
      </c>
      <c r="H51" s="2">
        <v>0.51079783095780495</v>
      </c>
      <c r="I51" s="2">
        <v>0.53216374269005795</v>
      </c>
      <c r="J51" s="2">
        <v>0.50508474576271101</v>
      </c>
      <c r="K51" s="2">
        <v>2.9029860450137199E-3</v>
      </c>
      <c r="L51" s="2"/>
      <c r="M51" s="2" t="e">
        <f>(Table1[[#This Row],[poisson_likelihood]] - (1-Table1[[#This Row],[poisson_likelihood]])/(1/Table1[[#This Row],[365 implied]]-1))/4</f>
        <v>#DIV/0!</v>
      </c>
      <c r="N51" s="7" t="e">
        <f>Table1[[#This Row],[kelly/4 365]]*$U$2</f>
        <v>#DIV/0!</v>
      </c>
      <c r="O51" s="2"/>
      <c r="P51" s="2" t="e">
        <f>(Table1[[#This Row],[poisson_likelihood]] - (1-Table1[[#This Row],[poisson_likelihood]])/(1/Table1[[#This Row],[99/pinn implied]]-1))/4</f>
        <v>#DIV/0!</v>
      </c>
      <c r="Q51" s="7" t="e">
        <f>Table1[[#This Row],[kelly/4 99]]*$U$2</f>
        <v>#DIV/0!</v>
      </c>
      <c r="R51" s="10"/>
      <c r="S5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2" spans="1:19" x14ac:dyDescent="0.2">
      <c r="A52">
        <v>5596</v>
      </c>
      <c r="B52" t="s">
        <v>85</v>
      </c>
      <c r="C52" s="1">
        <v>45608</v>
      </c>
      <c r="D52" t="s">
        <v>13</v>
      </c>
      <c r="E52">
        <v>1.5</v>
      </c>
      <c r="F52" s="2">
        <v>0.48780487804877998</v>
      </c>
      <c r="G52" s="2">
        <v>0.44172291865405799</v>
      </c>
      <c r="H52" s="2">
        <v>0.493557179960538</v>
      </c>
      <c r="I52" s="2">
        <v>0.52272727272727204</v>
      </c>
      <c r="J52" s="2">
        <v>0.51839464882943098</v>
      </c>
      <c r="K52" s="2">
        <v>2.8076711712153E-3</v>
      </c>
      <c r="L52" s="2"/>
      <c r="M52" s="2" t="e">
        <f>(Table1[[#This Row],[poisson_likelihood]] - (1-Table1[[#This Row],[poisson_likelihood]])/(1/Table1[[#This Row],[365 implied]]-1))/4</f>
        <v>#DIV/0!</v>
      </c>
      <c r="N52" s="7" t="e">
        <f>Table1[[#This Row],[kelly/4 365]]*$U$2</f>
        <v>#DIV/0!</v>
      </c>
      <c r="O52" s="2"/>
      <c r="P52" s="2" t="e">
        <f>(Table1[[#This Row],[poisson_likelihood]] - (1-Table1[[#This Row],[poisson_likelihood]])/(1/Table1[[#This Row],[99/pinn implied]]-1))/4</f>
        <v>#DIV/0!</v>
      </c>
      <c r="Q52" s="7" t="e">
        <f>Table1[[#This Row],[kelly/4 99]]*$U$2</f>
        <v>#DIV/0!</v>
      </c>
      <c r="R52" s="10"/>
      <c r="S5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3" spans="1:19" x14ac:dyDescent="0.2">
      <c r="A53">
        <v>5548</v>
      </c>
      <c r="B53" t="s">
        <v>61</v>
      </c>
      <c r="C53" s="1">
        <v>45608</v>
      </c>
      <c r="D53" t="s">
        <v>13</v>
      </c>
      <c r="E53">
        <v>1.5</v>
      </c>
      <c r="F53" s="2">
        <v>0.47393364928909898</v>
      </c>
      <c r="G53" s="2">
        <v>0.429790181002907</v>
      </c>
      <c r="H53" s="2">
        <v>0.47787834448872402</v>
      </c>
      <c r="I53" s="2">
        <v>0.53333333333333299</v>
      </c>
      <c r="J53" s="2">
        <v>0.5</v>
      </c>
      <c r="K53" s="2">
        <v>1.8746186646863899E-3</v>
      </c>
      <c r="L53" s="2"/>
      <c r="M53" s="2" t="e">
        <f>(Table1[[#This Row],[poisson_likelihood]] - (1-Table1[[#This Row],[poisson_likelihood]])/(1/Table1[[#This Row],[365 implied]]-1))/4</f>
        <v>#DIV/0!</v>
      </c>
      <c r="N53" s="7" t="e">
        <f>Table1[[#This Row],[kelly/4 365]]*$U$2</f>
        <v>#DIV/0!</v>
      </c>
      <c r="O53" s="2"/>
      <c r="P53" s="2" t="e">
        <f>(Table1[[#This Row],[poisson_likelihood]] - (1-Table1[[#This Row],[poisson_likelihood]])/(1/Table1[[#This Row],[99/pinn implied]]-1))/4</f>
        <v>#DIV/0!</v>
      </c>
      <c r="Q53" s="7" t="e">
        <f>Table1[[#This Row],[kelly/4 99]]*$U$2</f>
        <v>#DIV/0!</v>
      </c>
      <c r="R53" s="2"/>
      <c r="S5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4" spans="1:19" x14ac:dyDescent="0.2">
      <c r="A54">
        <v>5592</v>
      </c>
      <c r="B54" t="s">
        <v>83</v>
      </c>
      <c r="C54" s="1">
        <v>45608</v>
      </c>
      <c r="D54" t="s">
        <v>13</v>
      </c>
      <c r="E54">
        <v>2.5</v>
      </c>
      <c r="F54" s="2">
        <v>0.56497175141242895</v>
      </c>
      <c r="G54" s="2">
        <v>0.52587808092091204</v>
      </c>
      <c r="H54" s="2">
        <v>0.567741533177617</v>
      </c>
      <c r="I54" s="2">
        <v>0.52</v>
      </c>
      <c r="J54" s="2">
        <v>0.55821917808219101</v>
      </c>
      <c r="K54" s="2">
        <v>1.5917252351893799E-3</v>
      </c>
      <c r="L54" s="2"/>
      <c r="M54" s="2" t="e">
        <f>(Table1[[#This Row],[poisson_likelihood]] - (1-Table1[[#This Row],[poisson_likelihood]])/(1/Table1[[#This Row],[365 implied]]-1))/4</f>
        <v>#DIV/0!</v>
      </c>
      <c r="N54" s="7" t="e">
        <f>Table1[[#This Row],[kelly/4 365]]*$U$2</f>
        <v>#DIV/0!</v>
      </c>
      <c r="O54" s="2"/>
      <c r="P54" s="2" t="e">
        <f>(Table1[[#This Row],[poisson_likelihood]] - (1-Table1[[#This Row],[poisson_likelihood]])/(1/Table1[[#This Row],[99/pinn implied]]-1))/4</f>
        <v>#DIV/0!</v>
      </c>
      <c r="Q54" s="7" t="e">
        <f>Table1[[#This Row],[kelly/4 99]]*$U$2</f>
        <v>#DIV/0!</v>
      </c>
      <c r="R54" s="2"/>
      <c r="S5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5" spans="1:19" x14ac:dyDescent="0.2">
      <c r="A55">
        <v>5467</v>
      </c>
      <c r="B55" t="s">
        <v>21</v>
      </c>
      <c r="C55" s="1">
        <v>45608</v>
      </c>
      <c r="D55" t="s">
        <v>12</v>
      </c>
      <c r="E55">
        <v>2.5</v>
      </c>
      <c r="F55" s="2">
        <v>0.55248618784530301</v>
      </c>
      <c r="G55" s="2">
        <v>0.59577854787901097</v>
      </c>
      <c r="H55" s="2">
        <v>0.554987041182329</v>
      </c>
      <c r="I55" s="2">
        <v>0.51149425287356298</v>
      </c>
      <c r="J55" s="2">
        <v>0.51027397260273899</v>
      </c>
      <c r="K55" s="2">
        <v>1.3970816481529899E-3</v>
      </c>
      <c r="L55" s="2"/>
      <c r="M55" s="2" t="e">
        <f>(Table1[[#This Row],[poisson_likelihood]] - (1-Table1[[#This Row],[poisson_likelihood]])/(1/Table1[[#This Row],[365 implied]]-1))/4</f>
        <v>#DIV/0!</v>
      </c>
      <c r="N55" s="7" t="e">
        <f>Table1[[#This Row],[kelly/4 365]]*$U$2</f>
        <v>#DIV/0!</v>
      </c>
      <c r="O55" s="2"/>
      <c r="P55" s="2" t="e">
        <f>(Table1[[#This Row],[poisson_likelihood]] - (1-Table1[[#This Row],[poisson_likelihood]])/(1/Table1[[#This Row],[99/pinn implied]]-1))/4</f>
        <v>#DIV/0!</v>
      </c>
      <c r="Q55" s="7" t="e">
        <f>Table1[[#This Row],[kelly/4 99]]*$U$2</f>
        <v>#DIV/0!</v>
      </c>
      <c r="R55" s="2"/>
      <c r="S5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6" spans="1:19" x14ac:dyDescent="0.2">
      <c r="A56">
        <v>5456</v>
      </c>
      <c r="B56" t="s">
        <v>15</v>
      </c>
      <c r="C56" s="1">
        <v>45608</v>
      </c>
      <c r="D56" t="s">
        <v>13</v>
      </c>
      <c r="E56">
        <v>2.5</v>
      </c>
      <c r="F56" s="2">
        <v>0.51546391752577303</v>
      </c>
      <c r="G56" s="2">
        <v>0.47475747672524898</v>
      </c>
      <c r="H56" s="2">
        <v>0.51757891022179203</v>
      </c>
      <c r="I56" s="2">
        <v>0.53107344632768305</v>
      </c>
      <c r="J56" s="2">
        <v>0.53220338983050797</v>
      </c>
      <c r="K56" s="2">
        <v>1.0912462314568701E-3</v>
      </c>
      <c r="L56" s="2"/>
      <c r="M56" s="2" t="e">
        <f>(Table1[[#This Row],[poisson_likelihood]] - (1-Table1[[#This Row],[poisson_likelihood]])/(1/Table1[[#This Row],[365 implied]]-1))/4</f>
        <v>#DIV/0!</v>
      </c>
      <c r="N56" s="7" t="e">
        <f>Table1[[#This Row],[kelly/4 365]]*$U$2</f>
        <v>#DIV/0!</v>
      </c>
      <c r="O56" s="2"/>
      <c r="P56" s="2" t="e">
        <f>(Table1[[#This Row],[poisson_likelihood]] - (1-Table1[[#This Row],[poisson_likelihood]])/(1/Table1[[#This Row],[99/pinn implied]]-1))/4</f>
        <v>#DIV/0!</v>
      </c>
      <c r="Q56" s="7" t="e">
        <f>Table1[[#This Row],[kelly/4 99]]*$U$2</f>
        <v>#DIV/0!</v>
      </c>
      <c r="R56" s="2"/>
      <c r="S5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7" spans="1:19" x14ac:dyDescent="0.2">
      <c r="A57">
        <v>5556</v>
      </c>
      <c r="B57" t="s">
        <v>65</v>
      </c>
      <c r="C57" s="1">
        <v>45608</v>
      </c>
      <c r="D57" t="s">
        <v>13</v>
      </c>
      <c r="E57">
        <v>1.5</v>
      </c>
      <c r="F57" s="2">
        <v>0.43859649122806998</v>
      </c>
      <c r="G57" s="2">
        <v>0.388446304116357</v>
      </c>
      <c r="H57" s="2">
        <v>0.44089552967916901</v>
      </c>
      <c r="I57" s="2">
        <v>0.46590909090909</v>
      </c>
      <c r="J57" s="2">
        <v>0.43918918918918898</v>
      </c>
      <c r="K57" s="2">
        <v>1.0237905602551299E-3</v>
      </c>
      <c r="L57" s="2"/>
      <c r="M57" s="2" t="e">
        <f>(Table1[[#This Row],[poisson_likelihood]] - (1-Table1[[#This Row],[poisson_likelihood]])/(1/Table1[[#This Row],[365 implied]]-1))/4</f>
        <v>#DIV/0!</v>
      </c>
      <c r="N57" s="7" t="e">
        <f>Table1[[#This Row],[kelly/4 365]]*$U$2</f>
        <v>#DIV/0!</v>
      </c>
      <c r="O57" s="2"/>
      <c r="P57" s="2" t="e">
        <f>(Table1[[#This Row],[poisson_likelihood]] - (1-Table1[[#This Row],[poisson_likelihood]])/(1/Table1[[#This Row],[99/pinn implied]]-1))/4</f>
        <v>#DIV/0!</v>
      </c>
      <c r="Q57" s="7" t="e">
        <f>Table1[[#This Row],[kelly/4 99]]*$U$2</f>
        <v>#DIV/0!</v>
      </c>
      <c r="R57" s="2"/>
      <c r="S5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8" spans="1:19" x14ac:dyDescent="0.2">
      <c r="A58">
        <v>5583</v>
      </c>
      <c r="B58" t="s">
        <v>79</v>
      </c>
      <c r="C58" s="1">
        <v>45608</v>
      </c>
      <c r="D58" t="s">
        <v>12</v>
      </c>
      <c r="E58">
        <v>2.5</v>
      </c>
      <c r="F58" s="2">
        <v>0.54644808743169304</v>
      </c>
      <c r="G58" s="2">
        <v>0.58686719525429998</v>
      </c>
      <c r="H58" s="2">
        <v>0.54823013287990696</v>
      </c>
      <c r="I58" s="2">
        <v>0.53636363636363604</v>
      </c>
      <c r="J58" s="2">
        <v>0.52380952380952295</v>
      </c>
      <c r="K58" s="2">
        <v>9.8227203922626695E-4</v>
      </c>
      <c r="L58" s="2"/>
      <c r="M58" s="2" t="e">
        <f>(Table1[[#This Row],[poisson_likelihood]] - (1-Table1[[#This Row],[poisson_likelihood]])/(1/Table1[[#This Row],[365 implied]]-1))/4</f>
        <v>#DIV/0!</v>
      </c>
      <c r="N58" s="7" t="e">
        <f>Table1[[#This Row],[kelly/4 365]]*$U$2</f>
        <v>#DIV/0!</v>
      </c>
      <c r="O58" s="2"/>
      <c r="P58" s="2" t="e">
        <f>(Table1[[#This Row],[poisson_likelihood]] - (1-Table1[[#This Row],[poisson_likelihood]])/(1/Table1[[#This Row],[99/pinn implied]]-1))/4</f>
        <v>#DIV/0!</v>
      </c>
      <c r="Q58" s="7" t="e">
        <f>Table1[[#This Row],[kelly/4 99]]*$U$2</f>
        <v>#DIV/0!</v>
      </c>
      <c r="R58" s="2"/>
      <c r="S5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9" spans="1:19" x14ac:dyDescent="0.2">
      <c r="A59">
        <v>5569</v>
      </c>
      <c r="B59" t="s">
        <v>72</v>
      </c>
      <c r="C59" s="1">
        <v>45608</v>
      </c>
      <c r="D59" t="s">
        <v>12</v>
      </c>
      <c r="E59">
        <v>2.5</v>
      </c>
      <c r="F59" s="2">
        <v>0.460829493087557</v>
      </c>
      <c r="G59" s="2">
        <v>0.50592405205518798</v>
      </c>
      <c r="H59" s="2">
        <v>0.46278086933741602</v>
      </c>
      <c r="I59" s="2">
        <v>0.44186046511627902</v>
      </c>
      <c r="J59" s="2">
        <v>0.457044673539518</v>
      </c>
      <c r="K59" s="2">
        <v>9.04804799613828E-4</v>
      </c>
      <c r="L59" s="2"/>
      <c r="M59" s="2" t="e">
        <f>(Table1[[#This Row],[poisson_likelihood]] - (1-Table1[[#This Row],[poisson_likelihood]])/(1/Table1[[#This Row],[365 implied]]-1))/4</f>
        <v>#DIV/0!</v>
      </c>
      <c r="N59" s="7" t="e">
        <f>Table1[[#This Row],[kelly/4 365]]*$U$2</f>
        <v>#DIV/0!</v>
      </c>
      <c r="O59" s="2"/>
      <c r="P59" s="2" t="e">
        <f>(Table1[[#This Row],[poisson_likelihood]] - (1-Table1[[#This Row],[poisson_likelihood]])/(1/Table1[[#This Row],[99/pinn implied]]-1))/4</f>
        <v>#DIV/0!</v>
      </c>
      <c r="Q59" s="7" t="e">
        <f>Table1[[#This Row],[kelly/4 99]]*$U$2</f>
        <v>#DIV/0!</v>
      </c>
      <c r="R59" s="2"/>
      <c r="S5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0" spans="1:19" x14ac:dyDescent="0.2">
      <c r="A60">
        <v>5515</v>
      </c>
      <c r="B60" t="s">
        <v>45</v>
      </c>
      <c r="C60" s="1">
        <v>45608</v>
      </c>
      <c r="D60" t="s">
        <v>12</v>
      </c>
      <c r="E60">
        <v>1.5</v>
      </c>
      <c r="F60" s="2">
        <v>0.64102564102564097</v>
      </c>
      <c r="G60" s="2">
        <v>0.67565573802129597</v>
      </c>
      <c r="H60" s="2">
        <v>0.64129087989151601</v>
      </c>
      <c r="I60" s="2">
        <v>0.60240963855421603</v>
      </c>
      <c r="J60" s="2">
        <v>0.60563380281690105</v>
      </c>
      <c r="K60" s="2">
        <v>1.8471992444929399E-4</v>
      </c>
      <c r="L60" s="2"/>
      <c r="M60" s="2" t="e">
        <f>(Table1[[#This Row],[poisson_likelihood]] - (1-Table1[[#This Row],[poisson_likelihood]])/(1/Table1[[#This Row],[365 implied]]-1))/4</f>
        <v>#DIV/0!</v>
      </c>
      <c r="N60" s="7" t="e">
        <f>Table1[[#This Row],[kelly/4 365]]*$U$2</f>
        <v>#DIV/0!</v>
      </c>
      <c r="O60" s="2"/>
      <c r="P60" s="2" t="e">
        <f>(Table1[[#This Row],[poisson_likelihood]] - (1-Table1[[#This Row],[poisson_likelihood]])/(1/Table1[[#This Row],[99/pinn implied]]-1))/4</f>
        <v>#DIV/0!</v>
      </c>
      <c r="Q60" s="7" t="e">
        <f>Table1[[#This Row],[kelly/4 99]]*$U$2</f>
        <v>#DIV/0!</v>
      </c>
      <c r="R60" s="2"/>
      <c r="S6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1" spans="1:19" x14ac:dyDescent="0.2">
      <c r="A61">
        <v>5579</v>
      </c>
      <c r="B61" t="s">
        <v>77</v>
      </c>
      <c r="C61" s="1">
        <v>45608</v>
      </c>
      <c r="D61" t="s">
        <v>12</v>
      </c>
      <c r="E61">
        <v>3.5</v>
      </c>
      <c r="F61" s="2">
        <v>0.44247787610619399</v>
      </c>
      <c r="G61" s="2">
        <v>0.47736417308108398</v>
      </c>
      <c r="H61" s="2">
        <v>0.44045281199818997</v>
      </c>
      <c r="I61" s="2">
        <v>0.44252873563218298</v>
      </c>
      <c r="J61" s="2">
        <v>0.42517006802721002</v>
      </c>
      <c r="K61" s="2">
        <v>-9.0806446112881502E-4</v>
      </c>
      <c r="L61" s="2"/>
      <c r="M61" s="2" t="e">
        <f>(Table1[[#This Row],[poisson_likelihood]] - (1-Table1[[#This Row],[poisson_likelihood]])/(1/Table1[[#This Row],[365 implied]]-1))/4</f>
        <v>#DIV/0!</v>
      </c>
      <c r="N61" s="7" t="e">
        <f>Table1[[#This Row],[kelly/4 365]]*$U$2</f>
        <v>#DIV/0!</v>
      </c>
      <c r="O61" s="2"/>
      <c r="P61" s="2" t="e">
        <f>(Table1[[#This Row],[poisson_likelihood]] - (1-Table1[[#This Row],[poisson_likelihood]])/(1/Table1[[#This Row],[99/pinn implied]]-1))/4</f>
        <v>#DIV/0!</v>
      </c>
      <c r="Q61" s="7" t="e">
        <f>Table1[[#This Row],[kelly/4 99]]*$U$2</f>
        <v>#DIV/0!</v>
      </c>
      <c r="R61" s="2"/>
      <c r="S6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2" spans="1:19" x14ac:dyDescent="0.2">
      <c r="A62">
        <v>5493</v>
      </c>
      <c r="B62" t="s">
        <v>34</v>
      </c>
      <c r="C62" s="1">
        <v>45608</v>
      </c>
      <c r="D62" t="s">
        <v>12</v>
      </c>
      <c r="E62">
        <v>2.5</v>
      </c>
      <c r="F62" s="2">
        <v>0.434782608695652</v>
      </c>
      <c r="G62" s="2">
        <v>0.47468762238442602</v>
      </c>
      <c r="H62" s="2">
        <v>0.429349466015013</v>
      </c>
      <c r="I62" s="2">
        <v>0.44360902255639001</v>
      </c>
      <c r="J62" s="2">
        <v>0.45045045045045001</v>
      </c>
      <c r="K62" s="2">
        <v>-2.4031208010515601E-3</v>
      </c>
      <c r="L62" s="2"/>
      <c r="M62" s="2" t="e">
        <f>(Table1[[#This Row],[poisson_likelihood]] - (1-Table1[[#This Row],[poisson_likelihood]])/(1/Table1[[#This Row],[365 implied]]-1))/4</f>
        <v>#DIV/0!</v>
      </c>
      <c r="N62" s="7" t="e">
        <f>Table1[[#This Row],[kelly/4 365]]*$U$2</f>
        <v>#DIV/0!</v>
      </c>
      <c r="O62" s="2"/>
      <c r="P62" s="2" t="e">
        <f>(Table1[[#This Row],[poisson_likelihood]] - (1-Table1[[#This Row],[poisson_likelihood]])/(1/Table1[[#This Row],[99/pinn implied]]-1))/4</f>
        <v>#DIV/0!</v>
      </c>
      <c r="Q62" s="7" t="e">
        <f>Table1[[#This Row],[kelly/4 99]]*$U$2</f>
        <v>#DIV/0!</v>
      </c>
      <c r="R62" s="2"/>
      <c r="S6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3" spans="1:19" x14ac:dyDescent="0.2">
      <c r="A63">
        <v>5562</v>
      </c>
      <c r="B63" t="s">
        <v>68</v>
      </c>
      <c r="C63" s="1">
        <v>45608</v>
      </c>
      <c r="D63" t="s">
        <v>13</v>
      </c>
      <c r="E63">
        <v>2.5</v>
      </c>
      <c r="F63" s="2">
        <v>0.53475935828876997</v>
      </c>
      <c r="G63" s="2">
        <v>0.48714526428549898</v>
      </c>
      <c r="H63" s="2">
        <v>0.52892389953655405</v>
      </c>
      <c r="I63" s="2">
        <v>0.54605263157894701</v>
      </c>
      <c r="J63" s="2">
        <v>0.53284671532846695</v>
      </c>
      <c r="K63" s="2">
        <v>-3.1357206513341301E-3</v>
      </c>
      <c r="L63" s="2"/>
      <c r="M63" s="2" t="e">
        <f>(Table1[[#This Row],[poisson_likelihood]] - (1-Table1[[#This Row],[poisson_likelihood]])/(1/Table1[[#This Row],[365 implied]]-1))/4</f>
        <v>#DIV/0!</v>
      </c>
      <c r="N63" s="7" t="e">
        <f>Table1[[#This Row],[kelly/4 365]]*$U$2</f>
        <v>#DIV/0!</v>
      </c>
      <c r="O63" s="2"/>
      <c r="P63" s="2" t="e">
        <f>(Table1[[#This Row],[poisson_likelihood]] - (1-Table1[[#This Row],[poisson_likelihood]])/(1/Table1[[#This Row],[99/pinn implied]]-1))/4</f>
        <v>#DIV/0!</v>
      </c>
      <c r="Q63" s="7" t="e">
        <f>Table1[[#This Row],[kelly/4 99]]*$U$2</f>
        <v>#DIV/0!</v>
      </c>
      <c r="R63" s="2"/>
      <c r="S6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4" spans="1:19" x14ac:dyDescent="0.2">
      <c r="A64">
        <v>5471</v>
      </c>
      <c r="B64" t="s">
        <v>23</v>
      </c>
      <c r="C64" s="1">
        <v>45608</v>
      </c>
      <c r="D64" t="s">
        <v>12</v>
      </c>
      <c r="E64">
        <v>2.5</v>
      </c>
      <c r="F64" s="2">
        <v>0.44247787610619399</v>
      </c>
      <c r="G64" s="2">
        <v>0.47695401193160902</v>
      </c>
      <c r="H64" s="2">
        <v>0.43539853360029102</v>
      </c>
      <c r="I64" s="2">
        <v>0.41237113402061798</v>
      </c>
      <c r="J64" s="2">
        <v>0.44055944055944002</v>
      </c>
      <c r="K64" s="2">
        <v>-3.1744670760600001E-3</v>
      </c>
      <c r="L64" s="2"/>
      <c r="M64" s="2" t="e">
        <f>(Table1[[#This Row],[poisson_likelihood]] - (1-Table1[[#This Row],[poisson_likelihood]])/(1/Table1[[#This Row],[365 implied]]-1))/4</f>
        <v>#DIV/0!</v>
      </c>
      <c r="N64" s="7" t="e">
        <f>Table1[[#This Row],[kelly/4 365]]*$U$2</f>
        <v>#DIV/0!</v>
      </c>
      <c r="O64" s="2"/>
      <c r="P64" s="2" t="e">
        <f>(Table1[[#This Row],[poisson_likelihood]] - (1-Table1[[#This Row],[poisson_likelihood]])/(1/Table1[[#This Row],[99/pinn implied]]-1))/4</f>
        <v>#DIV/0!</v>
      </c>
      <c r="Q64" s="7" t="e">
        <f>Table1[[#This Row],[kelly/4 99]]*$U$2</f>
        <v>#DIV/0!</v>
      </c>
      <c r="R64" s="2"/>
      <c r="S6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5" spans="1:19" x14ac:dyDescent="0.2">
      <c r="A65">
        <v>5602</v>
      </c>
      <c r="B65" t="s">
        <v>88</v>
      </c>
      <c r="C65" s="1">
        <v>45608</v>
      </c>
      <c r="D65" t="s">
        <v>13</v>
      </c>
      <c r="E65">
        <v>3.5</v>
      </c>
      <c r="F65" s="2">
        <v>0.59523809523809501</v>
      </c>
      <c r="G65" s="2">
        <v>0.55044891898386805</v>
      </c>
      <c r="H65" s="2">
        <v>0.587761297400751</v>
      </c>
      <c r="I65" s="2">
        <v>0.58888888888888802</v>
      </c>
      <c r="J65" s="2">
        <v>0.60197368421052599</v>
      </c>
      <c r="K65" s="2">
        <v>-4.6180221936534503E-3</v>
      </c>
      <c r="L65" s="2"/>
      <c r="M65" s="2" t="e">
        <f>(Table1[[#This Row],[poisson_likelihood]] - (1-Table1[[#This Row],[poisson_likelihood]])/(1/Table1[[#This Row],[365 implied]]-1))/4</f>
        <v>#DIV/0!</v>
      </c>
      <c r="N65" s="7" t="e">
        <f>Table1[[#This Row],[kelly/4 365]]*$U$2</f>
        <v>#DIV/0!</v>
      </c>
      <c r="O65" s="2"/>
      <c r="P65" s="2" t="e">
        <f>(Table1[[#This Row],[poisson_likelihood]] - (1-Table1[[#This Row],[poisson_likelihood]])/(1/Table1[[#This Row],[99/pinn implied]]-1))/4</f>
        <v>#DIV/0!</v>
      </c>
      <c r="Q65" s="7" t="e">
        <f>Table1[[#This Row],[kelly/4 99]]*$U$2</f>
        <v>#DIV/0!</v>
      </c>
      <c r="R65" s="2"/>
      <c r="S6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6" spans="1:19" x14ac:dyDescent="0.2">
      <c r="A66">
        <v>5612</v>
      </c>
      <c r="B66" t="s">
        <v>93</v>
      </c>
      <c r="C66" s="1">
        <v>45608</v>
      </c>
      <c r="D66" t="s">
        <v>13</v>
      </c>
      <c r="E66">
        <v>2.5</v>
      </c>
      <c r="F66" s="2">
        <v>0.59523809523809501</v>
      </c>
      <c r="G66" s="2">
        <v>0.53691163863468305</v>
      </c>
      <c r="H66" s="2">
        <v>0.58721913873445297</v>
      </c>
      <c r="I66" s="2">
        <v>0.61904761904761896</v>
      </c>
      <c r="J66" s="2">
        <v>0.6</v>
      </c>
      <c r="K66" s="2">
        <v>-4.95288489930847E-3</v>
      </c>
      <c r="L66" s="2"/>
      <c r="M66" s="2" t="e">
        <f>(Table1[[#This Row],[poisson_likelihood]] - (1-Table1[[#This Row],[poisson_likelihood]])/(1/Table1[[#This Row],[365 implied]]-1))/4</f>
        <v>#DIV/0!</v>
      </c>
      <c r="N66" s="7" t="e">
        <f>Table1[[#This Row],[kelly/4 365]]*$U$2</f>
        <v>#DIV/0!</v>
      </c>
      <c r="O66" s="2"/>
      <c r="P66" s="2" t="e">
        <f>(Table1[[#This Row],[poisson_likelihood]] - (1-Table1[[#This Row],[poisson_likelihood]])/(1/Table1[[#This Row],[99/pinn implied]]-1))/4</f>
        <v>#DIV/0!</v>
      </c>
      <c r="Q66" s="7" t="e">
        <f>Table1[[#This Row],[kelly/4 99]]*$U$2</f>
        <v>#DIV/0!</v>
      </c>
      <c r="R66" s="2"/>
      <c r="S6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7" spans="1:19" x14ac:dyDescent="0.2">
      <c r="A67">
        <v>5490</v>
      </c>
      <c r="B67" t="s">
        <v>32</v>
      </c>
      <c r="C67" s="1">
        <v>45608</v>
      </c>
      <c r="D67" t="s">
        <v>13</v>
      </c>
      <c r="E67">
        <v>1.5</v>
      </c>
      <c r="F67" s="2">
        <v>0.40322580645161199</v>
      </c>
      <c r="G67" s="2">
        <v>0.36013108596090398</v>
      </c>
      <c r="H67" s="2">
        <v>0.39092966156759701</v>
      </c>
      <c r="I67" s="2">
        <v>0.38271604938271597</v>
      </c>
      <c r="J67" s="2">
        <v>0.36158192090395402</v>
      </c>
      <c r="K67" s="2">
        <v>-5.1510877216821502E-3</v>
      </c>
      <c r="L67" s="2"/>
      <c r="M67" s="2" t="e">
        <f>(Table1[[#This Row],[poisson_likelihood]] - (1-Table1[[#This Row],[poisson_likelihood]])/(1/Table1[[#This Row],[365 implied]]-1))/4</f>
        <v>#DIV/0!</v>
      </c>
      <c r="N67" s="7" t="e">
        <f>Table1[[#This Row],[kelly/4 365]]*$U$2</f>
        <v>#DIV/0!</v>
      </c>
      <c r="O67" s="2"/>
      <c r="P67" s="2" t="e">
        <f>(Table1[[#This Row],[poisson_likelihood]] - (1-Table1[[#This Row],[poisson_likelihood]])/(1/Table1[[#This Row],[99/pinn implied]]-1))/4</f>
        <v>#DIV/0!</v>
      </c>
      <c r="Q67" s="7" t="e">
        <f>Table1[[#This Row],[kelly/4 99]]*$U$2</f>
        <v>#DIV/0!</v>
      </c>
      <c r="R67" s="2"/>
      <c r="S6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8" spans="1:19" x14ac:dyDescent="0.2">
      <c r="A68">
        <v>5573</v>
      </c>
      <c r="B68" t="s">
        <v>74</v>
      </c>
      <c r="C68" s="1">
        <v>45608</v>
      </c>
      <c r="D68" t="s">
        <v>12</v>
      </c>
      <c r="E68">
        <v>2.5</v>
      </c>
      <c r="F68" s="2">
        <v>0.59523809523809501</v>
      </c>
      <c r="G68" s="2">
        <v>0.62974508963757003</v>
      </c>
      <c r="H68" s="2">
        <v>0.58657722822152203</v>
      </c>
      <c r="I68" s="2">
        <v>0.58285714285714196</v>
      </c>
      <c r="J68" s="2">
        <v>0.59459459459459396</v>
      </c>
      <c r="K68" s="2">
        <v>-5.3493590396480302E-3</v>
      </c>
      <c r="L68" s="2"/>
      <c r="M68" s="2" t="e">
        <f>(Table1[[#This Row],[poisson_likelihood]] - (1-Table1[[#This Row],[poisson_likelihood]])/(1/Table1[[#This Row],[365 implied]]-1))/4</f>
        <v>#DIV/0!</v>
      </c>
      <c r="N68" s="7" t="e">
        <f>Table1[[#This Row],[kelly/4 365]]*$U$2</f>
        <v>#DIV/0!</v>
      </c>
      <c r="O68" s="2"/>
      <c r="P68" s="2" t="e">
        <f>(Table1[[#This Row],[poisson_likelihood]] - (1-Table1[[#This Row],[poisson_likelihood]])/(1/Table1[[#This Row],[99/pinn implied]]-1))/4</f>
        <v>#DIV/0!</v>
      </c>
      <c r="Q68" s="7" t="e">
        <f>Table1[[#This Row],[kelly/4 99]]*$U$2</f>
        <v>#DIV/0!</v>
      </c>
      <c r="R68" s="2"/>
      <c r="S6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9" spans="1:19" x14ac:dyDescent="0.2">
      <c r="A69">
        <v>5620</v>
      </c>
      <c r="B69" t="s">
        <v>97</v>
      </c>
      <c r="C69" s="1">
        <v>45608</v>
      </c>
      <c r="D69" t="s">
        <v>13</v>
      </c>
      <c r="E69">
        <v>1.5</v>
      </c>
      <c r="F69" s="2">
        <v>0.43668122270742299</v>
      </c>
      <c r="G69" s="2">
        <v>0.38153559970088602</v>
      </c>
      <c r="H69" s="2">
        <v>0.42360583555682602</v>
      </c>
      <c r="I69" s="2">
        <v>0.42567567567567499</v>
      </c>
      <c r="J69" s="2">
        <v>0.44800000000000001</v>
      </c>
      <c r="K69" s="2">
        <v>-5.8028365455170998E-3</v>
      </c>
      <c r="L69" s="2"/>
      <c r="M69" s="2" t="e">
        <f>(Table1[[#This Row],[poisson_likelihood]] - (1-Table1[[#This Row],[poisson_likelihood]])/(1/Table1[[#This Row],[365 implied]]-1))/4</f>
        <v>#DIV/0!</v>
      </c>
      <c r="N69" s="7" t="e">
        <f>Table1[[#This Row],[kelly/4 365]]*$U$2</f>
        <v>#DIV/0!</v>
      </c>
      <c r="O69" s="2"/>
      <c r="P69" s="2" t="e">
        <f>(Table1[[#This Row],[poisson_likelihood]] - (1-Table1[[#This Row],[poisson_likelihood]])/(1/Table1[[#This Row],[99/pinn implied]]-1))/4</f>
        <v>#DIV/0!</v>
      </c>
      <c r="Q69" s="7" t="e">
        <f>Table1[[#This Row],[kelly/4 99]]*$U$2</f>
        <v>#DIV/0!</v>
      </c>
      <c r="R69" s="2"/>
      <c r="S6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0" spans="1:19" x14ac:dyDescent="0.2">
      <c r="A70">
        <v>5479</v>
      </c>
      <c r="B70" t="s">
        <v>27</v>
      </c>
      <c r="C70" s="1">
        <v>45608</v>
      </c>
      <c r="D70" t="s">
        <v>12</v>
      </c>
      <c r="E70">
        <v>1.5</v>
      </c>
      <c r="F70" s="2">
        <v>0.64516129032257996</v>
      </c>
      <c r="G70" s="2">
        <v>0.65277815204188605</v>
      </c>
      <c r="H70" s="2">
        <v>0.63583377479861103</v>
      </c>
      <c r="I70" s="2">
        <v>0.61437908496731997</v>
      </c>
      <c r="J70" s="2">
        <v>0.62921348314606695</v>
      </c>
      <c r="K70" s="2">
        <v>-6.5716586646145598E-3</v>
      </c>
      <c r="L70" s="2"/>
      <c r="M70" s="2" t="e">
        <f>(Table1[[#This Row],[poisson_likelihood]] - (1-Table1[[#This Row],[poisson_likelihood]])/(1/Table1[[#This Row],[365 implied]]-1))/4</f>
        <v>#DIV/0!</v>
      </c>
      <c r="N70" s="7" t="e">
        <f>Table1[[#This Row],[kelly/4 365]]*$U$2</f>
        <v>#DIV/0!</v>
      </c>
      <c r="O70" s="2"/>
      <c r="P70" s="2" t="e">
        <f>(Table1[[#This Row],[poisson_likelihood]] - (1-Table1[[#This Row],[poisson_likelihood]])/(1/Table1[[#This Row],[99/pinn implied]]-1))/4</f>
        <v>#DIV/0!</v>
      </c>
      <c r="Q70" s="7" t="e">
        <f>Table1[[#This Row],[kelly/4 99]]*$U$2</f>
        <v>#DIV/0!</v>
      </c>
      <c r="R70" s="2"/>
      <c r="S7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1" spans="1:19" x14ac:dyDescent="0.2">
      <c r="A71">
        <v>5525</v>
      </c>
      <c r="B71" t="s">
        <v>50</v>
      </c>
      <c r="C71" s="1">
        <v>45608</v>
      </c>
      <c r="D71" t="s">
        <v>12</v>
      </c>
      <c r="E71">
        <v>2.5</v>
      </c>
      <c r="F71" s="2">
        <v>0.5</v>
      </c>
      <c r="G71" s="2">
        <v>0.52973332983716204</v>
      </c>
      <c r="H71" s="2">
        <v>0.48621339266639602</v>
      </c>
      <c r="I71" s="2">
        <v>0.52027027027026995</v>
      </c>
      <c r="J71" s="2">
        <v>0.50215517241379304</v>
      </c>
      <c r="K71" s="2">
        <v>-6.8933036668019599E-3</v>
      </c>
      <c r="L71" s="2"/>
      <c r="M71" s="2" t="e">
        <f>(Table1[[#This Row],[poisson_likelihood]] - (1-Table1[[#This Row],[poisson_likelihood]])/(1/Table1[[#This Row],[365 implied]]-1))/4</f>
        <v>#DIV/0!</v>
      </c>
      <c r="N71" s="7" t="e">
        <f>Table1[[#This Row],[kelly/4 365]]*$U$2</f>
        <v>#DIV/0!</v>
      </c>
      <c r="O71" s="2"/>
      <c r="P71" s="2" t="e">
        <f>(Table1[[#This Row],[poisson_likelihood]] - (1-Table1[[#This Row],[poisson_likelihood]])/(1/Table1[[#This Row],[99/pinn implied]]-1))/4</f>
        <v>#DIV/0!</v>
      </c>
      <c r="Q71" s="7" t="e">
        <f>Table1[[#This Row],[kelly/4 99]]*$U$2</f>
        <v>#DIV/0!</v>
      </c>
      <c r="R71" s="2"/>
      <c r="S7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2" spans="1:19" x14ac:dyDescent="0.2">
      <c r="A72">
        <v>5507</v>
      </c>
      <c r="B72" t="s">
        <v>41</v>
      </c>
      <c r="C72" s="1">
        <v>45608</v>
      </c>
      <c r="D72" t="s">
        <v>12</v>
      </c>
      <c r="E72">
        <v>2.5</v>
      </c>
      <c r="F72" s="2">
        <v>0.56179775280898803</v>
      </c>
      <c r="G72" s="2">
        <v>0.58260553143868299</v>
      </c>
      <c r="H72" s="2">
        <v>0.54954521186790495</v>
      </c>
      <c r="I72" s="2">
        <v>0.48901098901098899</v>
      </c>
      <c r="J72" s="2">
        <v>0.51290322580645098</v>
      </c>
      <c r="K72" s="2">
        <v>-6.9902316907463303E-3</v>
      </c>
      <c r="L72" s="2"/>
      <c r="M72" s="2" t="e">
        <f>(Table1[[#This Row],[poisson_likelihood]] - (1-Table1[[#This Row],[poisson_likelihood]])/(1/Table1[[#This Row],[365 implied]]-1))/4</f>
        <v>#DIV/0!</v>
      </c>
      <c r="N72" s="7" t="e">
        <f>Table1[[#This Row],[kelly/4 365]]*$U$2</f>
        <v>#DIV/0!</v>
      </c>
      <c r="O72" s="2"/>
      <c r="P72" s="2" t="e">
        <f>(Table1[[#This Row],[poisson_likelihood]] - (1-Table1[[#This Row],[poisson_likelihood]])/(1/Table1[[#This Row],[99/pinn implied]]-1))/4</f>
        <v>#DIV/0!</v>
      </c>
      <c r="Q72" s="7" t="e">
        <f>Table1[[#This Row],[kelly/4 99]]*$U$2</f>
        <v>#DIV/0!</v>
      </c>
      <c r="R72" s="2"/>
      <c r="S7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3" spans="1:19" x14ac:dyDescent="0.2">
      <c r="A73">
        <v>5565</v>
      </c>
      <c r="B73" t="s">
        <v>70</v>
      </c>
      <c r="C73" s="1">
        <v>45608</v>
      </c>
      <c r="D73" t="s">
        <v>12</v>
      </c>
      <c r="E73">
        <v>2.5</v>
      </c>
      <c r="F73" s="2">
        <v>0.40983606557377</v>
      </c>
      <c r="G73" s="2">
        <v>0.43790310493240903</v>
      </c>
      <c r="H73" s="2">
        <v>0.39223222041468903</v>
      </c>
      <c r="I73" s="2">
        <v>0.38418079096045199</v>
      </c>
      <c r="J73" s="2">
        <v>0.37037037037037002</v>
      </c>
      <c r="K73" s="2">
        <v>-7.4571844076660497E-3</v>
      </c>
      <c r="L73" s="2"/>
      <c r="M73" s="2" t="e">
        <f>(Table1[[#This Row],[poisson_likelihood]] - (1-Table1[[#This Row],[poisson_likelihood]])/(1/Table1[[#This Row],[365 implied]]-1))/4</f>
        <v>#DIV/0!</v>
      </c>
      <c r="N73" s="7" t="e">
        <f>Table1[[#This Row],[kelly/4 365]]*$U$2</f>
        <v>#DIV/0!</v>
      </c>
      <c r="O73" s="2"/>
      <c r="P73" s="2" t="e">
        <f>(Table1[[#This Row],[poisson_likelihood]] - (1-Table1[[#This Row],[poisson_likelihood]])/(1/Table1[[#This Row],[99/pinn implied]]-1))/4</f>
        <v>#DIV/0!</v>
      </c>
      <c r="Q73" s="7" t="e">
        <f>Table1[[#This Row],[kelly/4 99]]*$U$2</f>
        <v>#DIV/0!</v>
      </c>
      <c r="R73" s="2"/>
      <c r="S7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4" spans="1:19" x14ac:dyDescent="0.2">
      <c r="A74">
        <v>5459</v>
      </c>
      <c r="B74" t="s">
        <v>17</v>
      </c>
      <c r="C74" s="1">
        <v>45608</v>
      </c>
      <c r="D74" t="s">
        <v>12</v>
      </c>
      <c r="E74">
        <v>2.5</v>
      </c>
      <c r="F74" s="2">
        <v>0.52083333333333304</v>
      </c>
      <c r="G74" s="2">
        <v>0.54352051822065195</v>
      </c>
      <c r="H74" s="2">
        <v>0.50629189973517297</v>
      </c>
      <c r="I74" s="2">
        <v>0.5625</v>
      </c>
      <c r="J74" s="2">
        <v>0.53242320819112599</v>
      </c>
      <c r="K74" s="2">
        <v>-7.5868349207792096E-3</v>
      </c>
      <c r="L74" s="2"/>
      <c r="M74" s="2" t="e">
        <f>(Table1[[#This Row],[poisson_likelihood]] - (1-Table1[[#This Row],[poisson_likelihood]])/(1/Table1[[#This Row],[365 implied]]-1))/4</f>
        <v>#DIV/0!</v>
      </c>
      <c r="N74" s="7" t="e">
        <f>Table1[[#This Row],[kelly/4 365]]*$U$2</f>
        <v>#DIV/0!</v>
      </c>
      <c r="O74" s="2"/>
      <c r="P74" s="2" t="e">
        <f>(Table1[[#This Row],[poisson_likelihood]] - (1-Table1[[#This Row],[poisson_likelihood]])/(1/Table1[[#This Row],[99/pinn implied]]-1))/4</f>
        <v>#DIV/0!</v>
      </c>
      <c r="Q74" s="7" t="e">
        <f>Table1[[#This Row],[kelly/4 99]]*$U$2</f>
        <v>#DIV/0!</v>
      </c>
      <c r="R74" s="2"/>
      <c r="S7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5" spans="1:19" x14ac:dyDescent="0.2">
      <c r="A75">
        <v>5495</v>
      </c>
      <c r="B75" t="s">
        <v>35</v>
      </c>
      <c r="C75" s="1">
        <v>45608</v>
      </c>
      <c r="D75" t="s">
        <v>12</v>
      </c>
      <c r="E75">
        <v>3.5</v>
      </c>
      <c r="F75" s="2">
        <v>0.51813471502590602</v>
      </c>
      <c r="G75" s="2">
        <v>0.541020277104025</v>
      </c>
      <c r="H75" s="2">
        <v>0.50323468175046204</v>
      </c>
      <c r="I75" s="2">
        <v>0.48888888888888798</v>
      </c>
      <c r="J75" s="2">
        <v>0.49342105263157798</v>
      </c>
      <c r="K75" s="2">
        <v>-7.7303936079588199E-3</v>
      </c>
      <c r="L75" s="2"/>
      <c r="M75" s="2" t="e">
        <f>(Table1[[#This Row],[poisson_likelihood]] - (1-Table1[[#This Row],[poisson_likelihood]])/(1/Table1[[#This Row],[365 implied]]-1))/4</f>
        <v>#DIV/0!</v>
      </c>
      <c r="N75" s="7" t="e">
        <f>Table1[[#This Row],[kelly/4 365]]*$U$2</f>
        <v>#DIV/0!</v>
      </c>
      <c r="O75" s="2"/>
      <c r="P75" s="2" t="e">
        <f>(Table1[[#This Row],[poisson_likelihood]] - (1-Table1[[#This Row],[poisson_likelihood]])/(1/Table1[[#This Row],[99/pinn implied]]-1))/4</f>
        <v>#DIV/0!</v>
      </c>
      <c r="Q75" s="7" t="e">
        <f>Table1[[#This Row],[kelly/4 99]]*$U$2</f>
        <v>#DIV/0!</v>
      </c>
      <c r="R75" s="2"/>
      <c r="S7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6" spans="1:19" x14ac:dyDescent="0.2">
      <c r="A76">
        <v>5549</v>
      </c>
      <c r="B76" t="s">
        <v>62</v>
      </c>
      <c r="C76" s="1">
        <v>45608</v>
      </c>
      <c r="D76" t="s">
        <v>12</v>
      </c>
      <c r="E76">
        <v>2.5</v>
      </c>
      <c r="F76" s="2">
        <v>0.625</v>
      </c>
      <c r="G76" s="2">
        <v>0.64082450159873505</v>
      </c>
      <c r="H76" s="2">
        <v>0.61333241318874898</v>
      </c>
      <c r="I76" s="2">
        <v>0.63636363636363602</v>
      </c>
      <c r="J76" s="2">
        <v>0.62751677852348997</v>
      </c>
      <c r="K76" s="2">
        <v>-7.7783912075006503E-3</v>
      </c>
      <c r="L76" s="2"/>
      <c r="M76" s="2" t="e">
        <f>(Table1[[#This Row],[poisson_likelihood]] - (1-Table1[[#This Row],[poisson_likelihood]])/(1/Table1[[#This Row],[365 implied]]-1))/4</f>
        <v>#DIV/0!</v>
      </c>
      <c r="N76" s="7" t="e">
        <f>Table1[[#This Row],[kelly/4 365]]*$U$2</f>
        <v>#DIV/0!</v>
      </c>
      <c r="O76" s="2"/>
      <c r="P76" s="2" t="e">
        <f>(Table1[[#This Row],[poisson_likelihood]] - (1-Table1[[#This Row],[poisson_likelihood]])/(1/Table1[[#This Row],[99/pinn implied]]-1))/4</f>
        <v>#DIV/0!</v>
      </c>
      <c r="Q76" s="7" t="e">
        <f>Table1[[#This Row],[kelly/4 99]]*$U$2</f>
        <v>#DIV/0!</v>
      </c>
      <c r="R76" s="2"/>
      <c r="S7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7" spans="1:19" x14ac:dyDescent="0.2">
      <c r="A77">
        <v>5617</v>
      </c>
      <c r="B77" t="s">
        <v>96</v>
      </c>
      <c r="C77" s="1">
        <v>45608</v>
      </c>
      <c r="D77" t="s">
        <v>12</v>
      </c>
      <c r="E77">
        <v>1.5</v>
      </c>
      <c r="F77" s="2">
        <v>0.57471264367816</v>
      </c>
      <c r="G77" s="2">
        <v>0.59307830602773104</v>
      </c>
      <c r="H77" s="2">
        <v>0.56125724924703402</v>
      </c>
      <c r="I77" s="2">
        <v>0.5625</v>
      </c>
      <c r="J77" s="2">
        <v>0.5625</v>
      </c>
      <c r="K77" s="2">
        <v>-7.9095899696486598E-3</v>
      </c>
      <c r="L77" s="2"/>
      <c r="M77" s="2" t="e">
        <f>(Table1[[#This Row],[poisson_likelihood]] - (1-Table1[[#This Row],[poisson_likelihood]])/(1/Table1[[#This Row],[365 implied]]-1))/4</f>
        <v>#DIV/0!</v>
      </c>
      <c r="N77" s="7" t="e">
        <f>Table1[[#This Row],[kelly/4 365]]*$U$2</f>
        <v>#DIV/0!</v>
      </c>
      <c r="O77" s="2"/>
      <c r="P77" s="2" t="e">
        <f>(Table1[[#This Row],[poisson_likelihood]] - (1-Table1[[#This Row],[poisson_likelihood]])/(1/Table1[[#This Row],[99/pinn implied]]-1))/4</f>
        <v>#DIV/0!</v>
      </c>
      <c r="Q77" s="7" t="e">
        <f>Table1[[#This Row],[kelly/4 99]]*$U$2</f>
        <v>#DIV/0!</v>
      </c>
      <c r="R77" s="2"/>
      <c r="S7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8" spans="1:19" x14ac:dyDescent="0.2">
      <c r="A78">
        <v>5492</v>
      </c>
      <c r="B78" t="s">
        <v>33</v>
      </c>
      <c r="C78" s="1">
        <v>45608</v>
      </c>
      <c r="D78" t="s">
        <v>13</v>
      </c>
      <c r="E78">
        <v>1.5</v>
      </c>
      <c r="F78" s="2">
        <v>0.387596899224806</v>
      </c>
      <c r="G78" s="2">
        <v>0.32745586716082697</v>
      </c>
      <c r="H78" s="2">
        <v>0.36692509698651499</v>
      </c>
      <c r="I78" s="2">
        <v>0.33333333333333298</v>
      </c>
      <c r="J78" s="2">
        <v>0.35625000000000001</v>
      </c>
      <c r="K78" s="2">
        <v>-8.4388053441124405E-3</v>
      </c>
      <c r="L78" s="2"/>
      <c r="M78" s="2" t="e">
        <f>(Table1[[#This Row],[poisson_likelihood]] - (1-Table1[[#This Row],[poisson_likelihood]])/(1/Table1[[#This Row],[365 implied]]-1))/4</f>
        <v>#DIV/0!</v>
      </c>
      <c r="N78" s="7" t="e">
        <f>Table1[[#This Row],[kelly/4 365]]*$U$2</f>
        <v>#DIV/0!</v>
      </c>
      <c r="O78" s="2"/>
      <c r="P78" s="2" t="e">
        <f>(Table1[[#This Row],[poisson_likelihood]] - (1-Table1[[#This Row],[poisson_likelihood]])/(1/Table1[[#This Row],[99/pinn implied]]-1))/4</f>
        <v>#DIV/0!</v>
      </c>
      <c r="Q78" s="7" t="e">
        <f>Table1[[#This Row],[kelly/4 99]]*$U$2</f>
        <v>#DIV/0!</v>
      </c>
      <c r="R78" s="2"/>
      <c r="S7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9" spans="1:19" x14ac:dyDescent="0.2">
      <c r="A79">
        <v>5607</v>
      </c>
      <c r="B79" t="s">
        <v>91</v>
      </c>
      <c r="C79" s="1">
        <v>45608</v>
      </c>
      <c r="D79" t="s">
        <v>12</v>
      </c>
      <c r="E79">
        <v>1.5</v>
      </c>
      <c r="F79" s="2">
        <v>0.60606060606060597</v>
      </c>
      <c r="G79" s="2">
        <v>0.63794557329141</v>
      </c>
      <c r="H79" s="2">
        <v>0.59214341677589799</v>
      </c>
      <c r="I79" s="2">
        <v>0.58381502890173398</v>
      </c>
      <c r="J79" s="2">
        <v>0.57679180887371995</v>
      </c>
      <c r="K79" s="2">
        <v>-8.8320624306796602E-3</v>
      </c>
      <c r="L79" s="2"/>
      <c r="M79" s="2" t="e">
        <f>(Table1[[#This Row],[poisson_likelihood]] - (1-Table1[[#This Row],[poisson_likelihood]])/(1/Table1[[#This Row],[365 implied]]-1))/4</f>
        <v>#DIV/0!</v>
      </c>
      <c r="N79" s="7" t="e">
        <f>Table1[[#This Row],[kelly/4 365]]*$U$2</f>
        <v>#DIV/0!</v>
      </c>
      <c r="O79" s="2"/>
      <c r="P79" s="2" t="e">
        <f>(Table1[[#This Row],[poisson_likelihood]] - (1-Table1[[#This Row],[poisson_likelihood]])/(1/Table1[[#This Row],[99/pinn implied]]-1))/4</f>
        <v>#DIV/0!</v>
      </c>
      <c r="Q79" s="7" t="e">
        <f>Table1[[#This Row],[kelly/4 99]]*$U$2</f>
        <v>#DIV/0!</v>
      </c>
      <c r="R79" s="2"/>
      <c r="S7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0" spans="1:19" x14ac:dyDescent="0.2">
      <c r="A80">
        <v>5580</v>
      </c>
      <c r="B80" t="s">
        <v>77</v>
      </c>
      <c r="C80" s="1">
        <v>45608</v>
      </c>
      <c r="D80" t="s">
        <v>13</v>
      </c>
      <c r="E80">
        <v>3.5</v>
      </c>
      <c r="F80" s="2">
        <v>0.57471264367816</v>
      </c>
      <c r="G80" s="2">
        <v>0.52263582691891497</v>
      </c>
      <c r="H80" s="2">
        <v>0.55954718800180903</v>
      </c>
      <c r="I80" s="2">
        <v>0.55747126436781602</v>
      </c>
      <c r="J80" s="2">
        <v>0.57482993197278898</v>
      </c>
      <c r="K80" s="2">
        <v>-8.9148286746120707E-3</v>
      </c>
      <c r="L80" s="2"/>
      <c r="M80" s="2" t="e">
        <f>(Table1[[#This Row],[poisson_likelihood]] - (1-Table1[[#This Row],[poisson_likelihood]])/(1/Table1[[#This Row],[365 implied]]-1))/4</f>
        <v>#DIV/0!</v>
      </c>
      <c r="N80" s="7" t="e">
        <f>Table1[[#This Row],[kelly/4 365]]*$U$2</f>
        <v>#DIV/0!</v>
      </c>
      <c r="O80" s="2"/>
      <c r="P80" s="2" t="e">
        <f>(Table1[[#This Row],[poisson_likelihood]] - (1-Table1[[#This Row],[poisson_likelihood]])/(1/Table1[[#This Row],[99/pinn implied]]-1))/4</f>
        <v>#DIV/0!</v>
      </c>
      <c r="Q80" s="7" t="e">
        <f>Table1[[#This Row],[kelly/4 99]]*$U$2</f>
        <v>#DIV/0!</v>
      </c>
      <c r="R80" s="2"/>
      <c r="S8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1" spans="1:19" x14ac:dyDescent="0.2">
      <c r="A81">
        <v>5473</v>
      </c>
      <c r="B81" t="s">
        <v>24</v>
      </c>
      <c r="C81" s="1">
        <v>45608</v>
      </c>
      <c r="D81" t="s">
        <v>12</v>
      </c>
      <c r="E81">
        <v>3.5</v>
      </c>
      <c r="F81" s="2">
        <v>0.467289719626168</v>
      </c>
      <c r="G81" s="2">
        <v>0.48458440672386299</v>
      </c>
      <c r="H81" s="2">
        <v>0.44752871332069699</v>
      </c>
      <c r="I81" s="2">
        <v>0.41358024691357997</v>
      </c>
      <c r="J81" s="2">
        <v>0.43445692883895098</v>
      </c>
      <c r="K81" s="2">
        <v>-9.2738055907253605E-3</v>
      </c>
      <c r="L81" s="2"/>
      <c r="M81" s="2" t="e">
        <f>(Table1[[#This Row],[poisson_likelihood]] - (1-Table1[[#This Row],[poisson_likelihood]])/(1/Table1[[#This Row],[365 implied]]-1))/4</f>
        <v>#DIV/0!</v>
      </c>
      <c r="N81" s="7" t="e">
        <f>Table1[[#This Row],[kelly/4 365]]*$U$2</f>
        <v>#DIV/0!</v>
      </c>
      <c r="O81" s="2"/>
      <c r="P81" s="2" t="e">
        <f>(Table1[[#This Row],[poisson_likelihood]] - (1-Table1[[#This Row],[poisson_likelihood]])/(1/Table1[[#This Row],[99/pinn implied]]-1))/4</f>
        <v>#DIV/0!</v>
      </c>
      <c r="Q81" s="7" t="e">
        <f>Table1[[#This Row],[kelly/4 99]]*$U$2</f>
        <v>#DIV/0!</v>
      </c>
      <c r="R81" s="2"/>
      <c r="S8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2" spans="1:19" x14ac:dyDescent="0.2">
      <c r="A82">
        <v>5545</v>
      </c>
      <c r="B82" t="s">
        <v>60</v>
      </c>
      <c r="C82" s="1">
        <v>45608</v>
      </c>
      <c r="D82" t="s">
        <v>12</v>
      </c>
      <c r="E82">
        <v>2.5</v>
      </c>
      <c r="F82" s="2">
        <v>0.39682539682539603</v>
      </c>
      <c r="G82" s="2">
        <v>0.42022078926733702</v>
      </c>
      <c r="H82" s="2">
        <v>0.37393258551441</v>
      </c>
      <c r="I82" s="2">
        <v>0.38596491228070101</v>
      </c>
      <c r="J82" s="2">
        <v>0.36111111111111099</v>
      </c>
      <c r="K82" s="2">
        <v>-9.4884678460010197E-3</v>
      </c>
      <c r="L82" s="2"/>
      <c r="M82" s="2" t="e">
        <f>(Table1[[#This Row],[poisson_likelihood]] - (1-Table1[[#This Row],[poisson_likelihood]])/(1/Table1[[#This Row],[365 implied]]-1))/4</f>
        <v>#DIV/0!</v>
      </c>
      <c r="N82" s="7" t="e">
        <f>Table1[[#This Row],[kelly/4 365]]*$U$2</f>
        <v>#DIV/0!</v>
      </c>
      <c r="O82" s="2"/>
      <c r="P82" s="2" t="e">
        <f>(Table1[[#This Row],[poisson_likelihood]] - (1-Table1[[#This Row],[poisson_likelihood]])/(1/Table1[[#This Row],[99/pinn implied]]-1))/4</f>
        <v>#DIV/0!</v>
      </c>
      <c r="Q82" s="7" t="e">
        <f>Table1[[#This Row],[kelly/4 99]]*$U$2</f>
        <v>#DIV/0!</v>
      </c>
      <c r="R82" s="2"/>
      <c r="S8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3" spans="1:19" x14ac:dyDescent="0.2">
      <c r="A83">
        <v>5542</v>
      </c>
      <c r="B83" t="s">
        <v>58</v>
      </c>
      <c r="C83" s="1">
        <v>45608</v>
      </c>
      <c r="D83" t="s">
        <v>13</v>
      </c>
      <c r="E83">
        <v>1.5</v>
      </c>
      <c r="F83" s="2">
        <v>0.467289719626168</v>
      </c>
      <c r="G83" s="2">
        <v>0.39251867090176401</v>
      </c>
      <c r="H83" s="2">
        <v>0.44646866695597098</v>
      </c>
      <c r="I83" s="2">
        <v>0.46022727272727199</v>
      </c>
      <c r="J83" s="2">
        <v>0.44966442953020103</v>
      </c>
      <c r="K83" s="2">
        <v>-9.7712834899608102E-3</v>
      </c>
      <c r="L83" s="2"/>
      <c r="M83" s="2" t="e">
        <f>(Table1[[#This Row],[poisson_likelihood]] - (1-Table1[[#This Row],[poisson_likelihood]])/(1/Table1[[#This Row],[365 implied]]-1))/4</f>
        <v>#DIV/0!</v>
      </c>
      <c r="N83" s="7" t="e">
        <f>Table1[[#This Row],[kelly/4 365]]*$U$2</f>
        <v>#DIV/0!</v>
      </c>
      <c r="O83" s="2"/>
      <c r="P83" s="2" t="e">
        <f>(Table1[[#This Row],[poisson_likelihood]] - (1-Table1[[#This Row],[poisson_likelihood]])/(1/Table1[[#This Row],[99/pinn implied]]-1))/4</f>
        <v>#DIV/0!</v>
      </c>
      <c r="Q83" s="7" t="e">
        <f>Table1[[#This Row],[kelly/4 99]]*$U$2</f>
        <v>#DIV/0!</v>
      </c>
      <c r="R83" s="2"/>
      <c r="S8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4" spans="1:19" x14ac:dyDescent="0.2">
      <c r="A84">
        <v>5478</v>
      </c>
      <c r="B84" t="s">
        <v>26</v>
      </c>
      <c r="C84" s="1">
        <v>45608</v>
      </c>
      <c r="D84" t="s">
        <v>13</v>
      </c>
      <c r="E84">
        <v>1.5</v>
      </c>
      <c r="F84" s="2">
        <v>0.46296296296296202</v>
      </c>
      <c r="G84" s="2">
        <v>0.39267976996056603</v>
      </c>
      <c r="H84" s="2">
        <v>0.43973718300222198</v>
      </c>
      <c r="I84" s="2">
        <v>0.45985401459853997</v>
      </c>
      <c r="J84" s="2">
        <v>0.46774193548387</v>
      </c>
      <c r="K84" s="2">
        <v>-1.08120010162068E-2</v>
      </c>
      <c r="L84" s="2"/>
      <c r="M84" s="2" t="e">
        <f>(Table1[[#This Row],[poisson_likelihood]] - (1-Table1[[#This Row],[poisson_likelihood]])/(1/Table1[[#This Row],[365 implied]]-1))/4</f>
        <v>#DIV/0!</v>
      </c>
      <c r="N84" s="7" t="e">
        <f>Table1[[#This Row],[kelly/4 365]]*$U$2</f>
        <v>#DIV/0!</v>
      </c>
      <c r="O84" s="2"/>
      <c r="P84" s="2" t="e">
        <f>(Table1[[#This Row],[poisson_likelihood]] - (1-Table1[[#This Row],[poisson_likelihood]])/(1/Table1[[#This Row],[99/pinn implied]]-1))/4</f>
        <v>#DIV/0!</v>
      </c>
      <c r="Q84" s="7" t="e">
        <f>Table1[[#This Row],[kelly/4 99]]*$U$2</f>
        <v>#DIV/0!</v>
      </c>
      <c r="R84" s="2"/>
      <c r="S8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5" spans="1:19" x14ac:dyDescent="0.2">
      <c r="A85">
        <v>5578</v>
      </c>
      <c r="B85" t="s">
        <v>76</v>
      </c>
      <c r="C85" s="1">
        <v>45608</v>
      </c>
      <c r="D85" t="s">
        <v>13</v>
      </c>
      <c r="E85">
        <v>2.5</v>
      </c>
      <c r="F85" s="2">
        <v>0.59523809523809501</v>
      </c>
      <c r="G85" s="2">
        <v>0.53106745217051499</v>
      </c>
      <c r="H85" s="2">
        <v>0.57724114742438604</v>
      </c>
      <c r="I85" s="2">
        <v>0.57303370786516805</v>
      </c>
      <c r="J85" s="2">
        <v>0.57525083612040095</v>
      </c>
      <c r="K85" s="2">
        <v>-1.11157618849377E-2</v>
      </c>
      <c r="L85" s="2"/>
      <c r="M85" s="2" t="e">
        <f>(Table1[[#This Row],[poisson_likelihood]] - (1-Table1[[#This Row],[poisson_likelihood]])/(1/Table1[[#This Row],[365 implied]]-1))/4</f>
        <v>#DIV/0!</v>
      </c>
      <c r="N85" s="7" t="e">
        <f>Table1[[#This Row],[kelly/4 365]]*$U$2</f>
        <v>#DIV/0!</v>
      </c>
      <c r="O85" s="2"/>
      <c r="P85" s="2" t="e">
        <f>(Table1[[#This Row],[poisson_likelihood]] - (1-Table1[[#This Row],[poisson_likelihood]])/(1/Table1[[#This Row],[99/pinn implied]]-1))/4</f>
        <v>#DIV/0!</v>
      </c>
      <c r="Q85" s="7" t="e">
        <f>Table1[[#This Row],[kelly/4 99]]*$U$2</f>
        <v>#DIV/0!</v>
      </c>
      <c r="R85" s="2"/>
      <c r="S8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6" spans="1:19" x14ac:dyDescent="0.2">
      <c r="A86">
        <v>5538</v>
      </c>
      <c r="B86" t="s">
        <v>56</v>
      </c>
      <c r="C86" s="1">
        <v>45608</v>
      </c>
      <c r="D86" t="s">
        <v>13</v>
      </c>
      <c r="E86">
        <v>1.5</v>
      </c>
      <c r="F86" s="2">
        <v>0.512820512820512</v>
      </c>
      <c r="G86" s="2">
        <v>0.43871827566231503</v>
      </c>
      <c r="H86" s="2">
        <v>0.49100137890335799</v>
      </c>
      <c r="I86" s="2">
        <v>0.5</v>
      </c>
      <c r="J86" s="2">
        <v>0.49671052631578899</v>
      </c>
      <c r="K86" s="2">
        <v>-1.11966608259082E-2</v>
      </c>
      <c r="L86" s="2"/>
      <c r="M86" s="2" t="e">
        <f>(Table1[[#This Row],[poisson_likelihood]] - (1-Table1[[#This Row],[poisson_likelihood]])/(1/Table1[[#This Row],[365 implied]]-1))/4</f>
        <v>#DIV/0!</v>
      </c>
      <c r="N86" s="7" t="e">
        <f>Table1[[#This Row],[kelly/4 365]]*$U$2</f>
        <v>#DIV/0!</v>
      </c>
      <c r="O86" s="2"/>
      <c r="P86" s="2" t="e">
        <f>(Table1[[#This Row],[poisson_likelihood]] - (1-Table1[[#This Row],[poisson_likelihood]])/(1/Table1[[#This Row],[99/pinn implied]]-1))/4</f>
        <v>#DIV/0!</v>
      </c>
      <c r="Q86" s="7" t="e">
        <f>Table1[[#This Row],[kelly/4 99]]*$U$2</f>
        <v>#DIV/0!</v>
      </c>
      <c r="R86" s="2"/>
      <c r="S8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7" spans="1:19" x14ac:dyDescent="0.2">
      <c r="A87">
        <v>5451</v>
      </c>
      <c r="B87" t="s">
        <v>11</v>
      </c>
      <c r="C87" s="1">
        <v>45608</v>
      </c>
      <c r="D87" t="s">
        <v>12</v>
      </c>
      <c r="E87">
        <v>2.5</v>
      </c>
      <c r="F87" s="2">
        <v>0.434782608695652</v>
      </c>
      <c r="G87" s="2">
        <v>0.45422167552007298</v>
      </c>
      <c r="H87" s="2">
        <v>0.40848359648495303</v>
      </c>
      <c r="I87" s="2">
        <v>0.435294117647058</v>
      </c>
      <c r="J87" s="2">
        <v>0.45993031358885</v>
      </c>
      <c r="K87" s="2">
        <v>-1.1632255400886001E-2</v>
      </c>
      <c r="L87" s="2"/>
      <c r="M87" s="2" t="e">
        <f>(Table1[[#This Row],[poisson_likelihood]] - (1-Table1[[#This Row],[poisson_likelihood]])/(1/Table1[[#This Row],[365 implied]]-1))/4</f>
        <v>#DIV/0!</v>
      </c>
      <c r="N87" s="7" t="e">
        <f>Table1[[#This Row],[kelly/4 365]]*$U$2</f>
        <v>#DIV/0!</v>
      </c>
      <c r="O87" s="2"/>
      <c r="P87" s="2" t="e">
        <f>(Table1[[#This Row],[poisson_likelihood]] - (1-Table1[[#This Row],[poisson_likelihood]])/(1/Table1[[#This Row],[99/pinn implied]]-1))/4</f>
        <v>#DIV/0!</v>
      </c>
      <c r="Q87" s="7" t="e">
        <f>Table1[[#This Row],[kelly/4 99]]*$U$2</f>
        <v>#DIV/0!</v>
      </c>
      <c r="R87" s="2"/>
      <c r="S8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8" spans="1:19" x14ac:dyDescent="0.2">
      <c r="A88">
        <v>5559</v>
      </c>
      <c r="B88" t="s">
        <v>67</v>
      </c>
      <c r="C88" s="1">
        <v>45608</v>
      </c>
      <c r="D88" t="s">
        <v>12</v>
      </c>
      <c r="E88">
        <v>2.5</v>
      </c>
      <c r="F88" s="2">
        <v>0.50251256281406997</v>
      </c>
      <c r="G88" s="2">
        <v>0.52069032690732597</v>
      </c>
      <c r="H88" s="2">
        <v>0.47871200469074598</v>
      </c>
      <c r="I88" s="2">
        <v>0.46067415730337002</v>
      </c>
      <c r="J88" s="2">
        <v>0.47157190635451501</v>
      </c>
      <c r="K88" s="2">
        <v>-1.19603814811651E-2</v>
      </c>
      <c r="L88" s="2"/>
      <c r="M88" s="2" t="e">
        <f>(Table1[[#This Row],[poisson_likelihood]] - (1-Table1[[#This Row],[poisson_likelihood]])/(1/Table1[[#This Row],[365 implied]]-1))/4</f>
        <v>#DIV/0!</v>
      </c>
      <c r="N88" s="7" t="e">
        <f>Table1[[#This Row],[kelly/4 365]]*$U$2</f>
        <v>#DIV/0!</v>
      </c>
      <c r="O88" s="2"/>
      <c r="P88" s="2" t="e">
        <f>(Table1[[#This Row],[poisson_likelihood]] - (1-Table1[[#This Row],[poisson_likelihood]])/(1/Table1[[#This Row],[99/pinn implied]]-1))/4</f>
        <v>#DIV/0!</v>
      </c>
      <c r="Q88" s="7" t="e">
        <f>Table1[[#This Row],[kelly/4 99]]*$U$2</f>
        <v>#DIV/0!</v>
      </c>
      <c r="R88" s="2"/>
      <c r="S8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9" spans="1:19" x14ac:dyDescent="0.2">
      <c r="A89">
        <v>5553</v>
      </c>
      <c r="B89" t="s">
        <v>64</v>
      </c>
      <c r="C89" s="1">
        <v>45608</v>
      </c>
      <c r="D89" t="s">
        <v>12</v>
      </c>
      <c r="E89">
        <v>2.5</v>
      </c>
      <c r="F89" s="2">
        <v>0.418410041841004</v>
      </c>
      <c r="G89" s="2">
        <v>0.43612877668309302</v>
      </c>
      <c r="H89" s="2">
        <v>0.38922078013599098</v>
      </c>
      <c r="I89" s="2">
        <v>0.392405063291139</v>
      </c>
      <c r="J89" s="2">
        <v>0.40647482014388397</v>
      </c>
      <c r="K89" s="2">
        <v>-1.2547182639384801E-2</v>
      </c>
      <c r="L89" s="2"/>
      <c r="M89" s="2" t="e">
        <f>(Table1[[#This Row],[poisson_likelihood]] - (1-Table1[[#This Row],[poisson_likelihood]])/(1/Table1[[#This Row],[365 implied]]-1))/4</f>
        <v>#DIV/0!</v>
      </c>
      <c r="N89" s="7" t="e">
        <f>Table1[[#This Row],[kelly/4 365]]*$U$2</f>
        <v>#DIV/0!</v>
      </c>
      <c r="O89" s="2"/>
      <c r="P89" s="2" t="e">
        <f>(Table1[[#This Row],[poisson_likelihood]] - (1-Table1[[#This Row],[poisson_likelihood]])/(1/Table1[[#This Row],[99/pinn implied]]-1))/4</f>
        <v>#DIV/0!</v>
      </c>
      <c r="Q89" s="7" t="e">
        <f>Table1[[#This Row],[kelly/4 99]]*$U$2</f>
        <v>#DIV/0!</v>
      </c>
      <c r="R89" s="2"/>
      <c r="S8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0" spans="1:19" x14ac:dyDescent="0.2">
      <c r="A90">
        <v>5469</v>
      </c>
      <c r="B90" t="s">
        <v>22</v>
      </c>
      <c r="C90" s="1">
        <v>45608</v>
      </c>
      <c r="D90" t="s">
        <v>12</v>
      </c>
      <c r="E90">
        <v>2.5</v>
      </c>
      <c r="F90" s="2">
        <v>0.42553191489361702</v>
      </c>
      <c r="G90" s="2">
        <v>0.44113767093602702</v>
      </c>
      <c r="H90" s="2">
        <v>0.39630628763987802</v>
      </c>
      <c r="I90" s="2">
        <v>0.37931034482758602</v>
      </c>
      <c r="J90" s="2">
        <v>0.37627118644067797</v>
      </c>
      <c r="K90" s="2">
        <v>-1.27185600085715E-2</v>
      </c>
      <c r="L90" s="2"/>
      <c r="M90" s="2" t="e">
        <f>(Table1[[#This Row],[poisson_likelihood]] - (1-Table1[[#This Row],[poisson_likelihood]])/(1/Table1[[#This Row],[365 implied]]-1))/4</f>
        <v>#DIV/0!</v>
      </c>
      <c r="N90" s="7" t="e">
        <f>Table1[[#This Row],[kelly/4 365]]*$U$2</f>
        <v>#DIV/0!</v>
      </c>
      <c r="O90" s="2"/>
      <c r="P90" s="2" t="e">
        <f>(Table1[[#This Row],[poisson_likelihood]] - (1-Table1[[#This Row],[poisson_likelihood]])/(1/Table1[[#This Row],[99/pinn implied]]-1))/4</f>
        <v>#DIV/0!</v>
      </c>
      <c r="Q90" s="7" t="e">
        <f>Table1[[#This Row],[kelly/4 99]]*$U$2</f>
        <v>#DIV/0!</v>
      </c>
      <c r="R90" s="2"/>
      <c r="S9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1" spans="1:19" x14ac:dyDescent="0.2">
      <c r="A91">
        <v>5474</v>
      </c>
      <c r="B91" t="s">
        <v>24</v>
      </c>
      <c r="C91" s="1">
        <v>45608</v>
      </c>
      <c r="D91" t="s">
        <v>13</v>
      </c>
      <c r="E91">
        <v>3.5</v>
      </c>
      <c r="F91" s="2">
        <v>0.57471264367816</v>
      </c>
      <c r="G91" s="2">
        <v>0.51541559327613595</v>
      </c>
      <c r="H91" s="2">
        <v>0.55247128667930201</v>
      </c>
      <c r="I91" s="2">
        <v>0.58641975308641903</v>
      </c>
      <c r="J91" s="2">
        <v>0.56554307116104796</v>
      </c>
      <c r="K91" s="2">
        <v>-1.30743112087882E-2</v>
      </c>
      <c r="L91" s="2"/>
      <c r="M91" s="2" t="e">
        <f>(Table1[[#This Row],[poisson_likelihood]] - (1-Table1[[#This Row],[poisson_likelihood]])/(1/Table1[[#This Row],[365 implied]]-1))/4</f>
        <v>#DIV/0!</v>
      </c>
      <c r="N91" s="7" t="e">
        <f>Table1[[#This Row],[kelly/4 365]]*$U$2</f>
        <v>#DIV/0!</v>
      </c>
      <c r="O91" s="2"/>
      <c r="P91" s="2" t="e">
        <f>(Table1[[#This Row],[poisson_likelihood]] - (1-Table1[[#This Row],[poisson_likelihood]])/(1/Table1[[#This Row],[99/pinn implied]]-1))/4</f>
        <v>#DIV/0!</v>
      </c>
      <c r="Q91" s="7" t="e">
        <f>Table1[[#This Row],[kelly/4 99]]*$U$2</f>
        <v>#DIV/0!</v>
      </c>
      <c r="R91" s="2"/>
      <c r="S9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2" spans="1:19" x14ac:dyDescent="0.2">
      <c r="A92">
        <v>5589</v>
      </c>
      <c r="B92" t="s">
        <v>82</v>
      </c>
      <c r="C92" s="1">
        <v>45608</v>
      </c>
      <c r="D92" t="s">
        <v>12</v>
      </c>
      <c r="E92">
        <v>2.5</v>
      </c>
      <c r="F92" s="2">
        <v>0.50761421319796896</v>
      </c>
      <c r="G92" s="2">
        <v>0.52233887662300604</v>
      </c>
      <c r="H92" s="2">
        <v>0.48174177213026198</v>
      </c>
      <c r="I92" s="2">
        <v>0.47428571428571398</v>
      </c>
      <c r="J92" s="2">
        <v>0.419795221843003</v>
      </c>
      <c r="K92" s="2">
        <v>-1.31362651812844E-2</v>
      </c>
      <c r="L92" s="2"/>
      <c r="M92" s="2" t="e">
        <f>(Table1[[#This Row],[poisson_likelihood]] - (1-Table1[[#This Row],[poisson_likelihood]])/(1/Table1[[#This Row],[365 implied]]-1))/4</f>
        <v>#DIV/0!</v>
      </c>
      <c r="N92" s="7" t="e">
        <f>Table1[[#This Row],[kelly/4 365]]*$U$2</f>
        <v>#DIV/0!</v>
      </c>
      <c r="O92" s="2"/>
      <c r="P92" s="2" t="e">
        <f>(Table1[[#This Row],[poisson_likelihood]] - (1-Table1[[#This Row],[poisson_likelihood]])/(1/Table1[[#This Row],[99/pinn implied]]-1))/4</f>
        <v>#DIV/0!</v>
      </c>
      <c r="Q92" s="7" t="e">
        <f>Table1[[#This Row],[kelly/4 99]]*$U$2</f>
        <v>#DIV/0!</v>
      </c>
      <c r="R92" s="2"/>
      <c r="S9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3" spans="1:19" x14ac:dyDescent="0.2">
      <c r="A93">
        <v>5496</v>
      </c>
      <c r="B93" t="s">
        <v>35</v>
      </c>
      <c r="C93" s="1">
        <v>45608</v>
      </c>
      <c r="D93" t="s">
        <v>13</v>
      </c>
      <c r="E93">
        <v>3.5</v>
      </c>
      <c r="F93" s="2">
        <v>0.52356020942408299</v>
      </c>
      <c r="G93" s="2">
        <v>0.458979722895974</v>
      </c>
      <c r="H93" s="2">
        <v>0.49676531824953701</v>
      </c>
      <c r="I93" s="2">
        <v>0.51111111111111096</v>
      </c>
      <c r="J93" s="2">
        <v>0.50657894736842102</v>
      </c>
      <c r="K93" s="2">
        <v>-1.40599566327977E-2</v>
      </c>
      <c r="L93" s="2"/>
      <c r="M93" s="2" t="e">
        <f>(Table1[[#This Row],[poisson_likelihood]] - (1-Table1[[#This Row],[poisson_likelihood]])/(1/Table1[[#This Row],[365 implied]]-1))/4</f>
        <v>#DIV/0!</v>
      </c>
      <c r="N93" s="7" t="e">
        <f>Table1[[#This Row],[kelly/4 365]]*$U$2</f>
        <v>#DIV/0!</v>
      </c>
      <c r="O93" s="2"/>
      <c r="P93" s="2" t="e">
        <f>(Table1[[#This Row],[poisson_likelihood]] - (1-Table1[[#This Row],[poisson_likelihood]])/(1/Table1[[#This Row],[99/pinn implied]]-1))/4</f>
        <v>#DIV/0!</v>
      </c>
      <c r="Q93" s="7" t="e">
        <f>Table1[[#This Row],[kelly/4 99]]*$U$2</f>
        <v>#DIV/0!</v>
      </c>
      <c r="R93" s="2"/>
      <c r="S9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4" spans="1:19" x14ac:dyDescent="0.2">
      <c r="A94">
        <v>5576</v>
      </c>
      <c r="B94" t="s">
        <v>75</v>
      </c>
      <c r="C94" s="1">
        <v>45608</v>
      </c>
      <c r="D94" t="s">
        <v>13</v>
      </c>
      <c r="E94">
        <v>2.5</v>
      </c>
      <c r="F94" s="2">
        <v>0.50505050505050497</v>
      </c>
      <c r="G94" s="2">
        <v>0.439328287266461</v>
      </c>
      <c r="H94" s="2">
        <v>0.47719409045497102</v>
      </c>
      <c r="I94" s="2">
        <v>0.44318181818181801</v>
      </c>
      <c r="J94" s="2">
        <v>0.46464646464646397</v>
      </c>
      <c r="K94" s="2">
        <v>-1.40703318620298E-2</v>
      </c>
      <c r="L94" s="2"/>
      <c r="M94" s="2" t="e">
        <f>(Table1[[#This Row],[poisson_likelihood]] - (1-Table1[[#This Row],[poisson_likelihood]])/(1/Table1[[#This Row],[365 implied]]-1))/4</f>
        <v>#DIV/0!</v>
      </c>
      <c r="N94" s="7" t="e">
        <f>Table1[[#This Row],[kelly/4 365]]*$U$2</f>
        <v>#DIV/0!</v>
      </c>
      <c r="O94" s="2"/>
      <c r="P94" s="2" t="e">
        <f>(Table1[[#This Row],[poisson_likelihood]] - (1-Table1[[#This Row],[poisson_likelihood]])/(1/Table1[[#This Row],[99/pinn implied]]-1))/4</f>
        <v>#DIV/0!</v>
      </c>
      <c r="Q94" s="7" t="e">
        <f>Table1[[#This Row],[kelly/4 99]]*$U$2</f>
        <v>#DIV/0!</v>
      </c>
      <c r="R94" s="2"/>
      <c r="S9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5" spans="1:19" x14ac:dyDescent="0.2">
      <c r="A95">
        <v>5470</v>
      </c>
      <c r="B95" t="s">
        <v>22</v>
      </c>
      <c r="C95" s="1">
        <v>45608</v>
      </c>
      <c r="D95" t="s">
        <v>13</v>
      </c>
      <c r="E95">
        <v>2.5</v>
      </c>
      <c r="F95" s="2">
        <v>0.625</v>
      </c>
      <c r="G95" s="2">
        <v>0.55886232906397204</v>
      </c>
      <c r="H95" s="2">
        <v>0.60369371236012104</v>
      </c>
      <c r="I95" s="2">
        <v>0.62068965517241304</v>
      </c>
      <c r="J95" s="2">
        <v>0.62372881355932197</v>
      </c>
      <c r="K95" s="2">
        <v>-1.4204191759918701E-2</v>
      </c>
      <c r="L95" s="2"/>
      <c r="M95" s="2" t="e">
        <f>(Table1[[#This Row],[poisson_likelihood]] - (1-Table1[[#This Row],[poisson_likelihood]])/(1/Table1[[#This Row],[365 implied]]-1))/4</f>
        <v>#DIV/0!</v>
      </c>
      <c r="N95" s="7" t="e">
        <f>Table1[[#This Row],[kelly/4 365]]*$U$2</f>
        <v>#DIV/0!</v>
      </c>
      <c r="O95" s="2"/>
      <c r="P95" s="2" t="e">
        <f>(Table1[[#This Row],[poisson_likelihood]] - (1-Table1[[#This Row],[poisson_likelihood]])/(1/Table1[[#This Row],[99/pinn implied]]-1))/4</f>
        <v>#DIV/0!</v>
      </c>
      <c r="Q95" s="7" t="e">
        <f>Table1[[#This Row],[kelly/4 99]]*$U$2</f>
        <v>#DIV/0!</v>
      </c>
      <c r="R95" s="2"/>
      <c r="S9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6" spans="1:19" x14ac:dyDescent="0.2">
      <c r="A96">
        <v>5461</v>
      </c>
      <c r="B96" t="s">
        <v>18</v>
      </c>
      <c r="C96" s="1">
        <v>45608</v>
      </c>
      <c r="D96" t="s">
        <v>12</v>
      </c>
      <c r="E96">
        <v>2.5</v>
      </c>
      <c r="F96" s="2">
        <v>0.42372881355932202</v>
      </c>
      <c r="G96" s="2">
        <v>0.43309917996827701</v>
      </c>
      <c r="H96" s="2">
        <v>0.39066073300172199</v>
      </c>
      <c r="I96" s="2">
        <v>0.45294117647058801</v>
      </c>
      <c r="J96" s="2">
        <v>0.42957746478873199</v>
      </c>
      <c r="K96" s="2">
        <v>-1.4345711418370599E-2</v>
      </c>
      <c r="L96" s="2"/>
      <c r="M96" s="2" t="e">
        <f>(Table1[[#This Row],[poisson_likelihood]] - (1-Table1[[#This Row],[poisson_likelihood]])/(1/Table1[[#This Row],[365 implied]]-1))/4</f>
        <v>#DIV/0!</v>
      </c>
      <c r="N96" s="7" t="e">
        <f>Table1[[#This Row],[kelly/4 365]]*$U$2</f>
        <v>#DIV/0!</v>
      </c>
      <c r="O96" s="2"/>
      <c r="P96" s="2" t="e">
        <f>(Table1[[#This Row],[poisson_likelihood]] - (1-Table1[[#This Row],[poisson_likelihood]])/(1/Table1[[#This Row],[99/pinn implied]]-1))/4</f>
        <v>#DIV/0!</v>
      </c>
      <c r="Q96" s="7" t="e">
        <f>Table1[[#This Row],[kelly/4 99]]*$U$2</f>
        <v>#DIV/0!</v>
      </c>
      <c r="R96" s="2"/>
      <c r="S9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7" spans="1:19" x14ac:dyDescent="0.2">
      <c r="A97">
        <v>5631</v>
      </c>
      <c r="B97" t="s">
        <v>103</v>
      </c>
      <c r="C97" s="1">
        <v>45608</v>
      </c>
      <c r="D97" t="s">
        <v>12</v>
      </c>
      <c r="E97">
        <v>2.5</v>
      </c>
      <c r="F97" s="2">
        <v>0.434782608695652</v>
      </c>
      <c r="G97" s="2">
        <v>0.44416416278236998</v>
      </c>
      <c r="H97" s="2">
        <v>0.40188666423462699</v>
      </c>
      <c r="I97" s="2">
        <v>0.40163934426229497</v>
      </c>
      <c r="J97" s="2">
        <v>0.44032921810699499</v>
      </c>
      <c r="K97" s="2">
        <v>-1.4550129280838001E-2</v>
      </c>
      <c r="L97" s="2"/>
      <c r="M97" s="2" t="e">
        <f>(Table1[[#This Row],[poisson_likelihood]] - (1-Table1[[#This Row],[poisson_likelihood]])/(1/Table1[[#This Row],[365 implied]]-1))/4</f>
        <v>#DIV/0!</v>
      </c>
      <c r="N97" s="7" t="e">
        <f>Table1[[#This Row],[kelly/4 365]]*$U$2</f>
        <v>#DIV/0!</v>
      </c>
      <c r="O97" s="2"/>
      <c r="P97" s="2" t="e">
        <f>(Table1[[#This Row],[poisson_likelihood]] - (1-Table1[[#This Row],[poisson_likelihood]])/(1/Table1[[#This Row],[99/pinn implied]]-1))/4</f>
        <v>#DIV/0!</v>
      </c>
      <c r="Q97" s="7" t="e">
        <f>Table1[[#This Row],[kelly/4 99]]*$U$2</f>
        <v>#DIV/0!</v>
      </c>
      <c r="R97" s="2"/>
      <c r="S9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8" spans="1:19" x14ac:dyDescent="0.2">
      <c r="A98">
        <v>5577</v>
      </c>
      <c r="B98" t="s">
        <v>76</v>
      </c>
      <c r="C98" s="1">
        <v>45608</v>
      </c>
      <c r="D98" t="s">
        <v>12</v>
      </c>
      <c r="E98">
        <v>2.5</v>
      </c>
      <c r="F98" s="2">
        <v>0.45454545454545398</v>
      </c>
      <c r="G98" s="2">
        <v>0.46893254782948401</v>
      </c>
      <c r="H98" s="2">
        <v>0.42275885257561302</v>
      </c>
      <c r="I98" s="2">
        <v>0.426966292134831</v>
      </c>
      <c r="J98" s="2">
        <v>0.42474916387959799</v>
      </c>
      <c r="K98" s="2">
        <v>-1.45688592361771E-2</v>
      </c>
      <c r="L98" s="2"/>
      <c r="M98" s="2" t="e">
        <f>(Table1[[#This Row],[poisson_likelihood]] - (1-Table1[[#This Row],[poisson_likelihood]])/(1/Table1[[#This Row],[365 implied]]-1))/4</f>
        <v>#DIV/0!</v>
      </c>
      <c r="N98" s="7" t="e">
        <f>Table1[[#This Row],[kelly/4 365]]*$U$2</f>
        <v>#DIV/0!</v>
      </c>
      <c r="O98" s="2"/>
      <c r="P98" s="2" t="e">
        <f>(Table1[[#This Row],[poisson_likelihood]] - (1-Table1[[#This Row],[poisson_likelihood]])/(1/Table1[[#This Row],[99/pinn implied]]-1))/4</f>
        <v>#DIV/0!</v>
      </c>
      <c r="Q98" s="7" t="e">
        <f>Table1[[#This Row],[kelly/4 99]]*$U$2</f>
        <v>#DIV/0!</v>
      </c>
      <c r="R98" s="2"/>
      <c r="S9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9" spans="1:19" x14ac:dyDescent="0.2">
      <c r="A99">
        <v>5575</v>
      </c>
      <c r="B99" t="s">
        <v>75</v>
      </c>
      <c r="C99" s="1">
        <v>45608</v>
      </c>
      <c r="D99" t="s">
        <v>12</v>
      </c>
      <c r="E99">
        <v>2.5</v>
      </c>
      <c r="F99" s="2">
        <v>0.54945054945054905</v>
      </c>
      <c r="G99" s="2">
        <v>0.560671712733538</v>
      </c>
      <c r="H99" s="2">
        <v>0.52280590954502804</v>
      </c>
      <c r="I99" s="2">
        <v>0.55681818181818099</v>
      </c>
      <c r="J99" s="2">
        <v>0.53535353535353503</v>
      </c>
      <c r="K99" s="2">
        <v>-1.4784525801234001E-2</v>
      </c>
      <c r="L99" s="2"/>
      <c r="M99" s="2" t="e">
        <f>(Table1[[#This Row],[poisson_likelihood]] - (1-Table1[[#This Row],[poisson_likelihood]])/(1/Table1[[#This Row],[365 implied]]-1))/4</f>
        <v>#DIV/0!</v>
      </c>
      <c r="N99" s="7" t="e">
        <f>Table1[[#This Row],[kelly/4 365]]*$U$2</f>
        <v>#DIV/0!</v>
      </c>
      <c r="O99" s="2"/>
      <c r="P99" s="2" t="e">
        <f>(Table1[[#This Row],[poisson_likelihood]] - (1-Table1[[#This Row],[poisson_likelihood]])/(1/Table1[[#This Row],[99/pinn implied]]-1))/4</f>
        <v>#DIV/0!</v>
      </c>
      <c r="Q99" s="7" t="e">
        <f>Table1[[#This Row],[kelly/4 99]]*$U$2</f>
        <v>#DIV/0!</v>
      </c>
      <c r="R99" s="2"/>
      <c r="S9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0" spans="1:19" x14ac:dyDescent="0.2">
      <c r="A100">
        <v>5552</v>
      </c>
      <c r="B100" t="s">
        <v>63</v>
      </c>
      <c r="C100" s="1">
        <v>45608</v>
      </c>
      <c r="D100" t="s">
        <v>13</v>
      </c>
      <c r="E100">
        <v>1.5</v>
      </c>
      <c r="F100" s="2">
        <v>0.40485829959514102</v>
      </c>
      <c r="G100" s="2">
        <v>0.33776187275619701</v>
      </c>
      <c r="H100" s="2">
        <v>0.36941661361405498</v>
      </c>
      <c r="I100" s="2">
        <v>0.35031847133757898</v>
      </c>
      <c r="J100" s="2">
        <v>0.381322957198443</v>
      </c>
      <c r="K100" s="2">
        <v>-1.4887919111102399E-2</v>
      </c>
      <c r="L100" s="2"/>
      <c r="M100" s="2" t="e">
        <f>(Table1[[#This Row],[poisson_likelihood]] - (1-Table1[[#This Row],[poisson_likelihood]])/(1/Table1[[#This Row],[365 implied]]-1))/4</f>
        <v>#DIV/0!</v>
      </c>
      <c r="N100" s="7" t="e">
        <f>Table1[[#This Row],[kelly/4 365]]*$U$2</f>
        <v>#DIV/0!</v>
      </c>
      <c r="O100" s="2"/>
      <c r="P100" s="2" t="e">
        <f>(Table1[[#This Row],[poisson_likelihood]] - (1-Table1[[#This Row],[poisson_likelihood]])/(1/Table1[[#This Row],[99/pinn implied]]-1))/4</f>
        <v>#DIV/0!</v>
      </c>
      <c r="Q100" s="7" t="e">
        <f>Table1[[#This Row],[kelly/4 99]]*$U$2</f>
        <v>#DIV/0!</v>
      </c>
      <c r="R100" s="2"/>
      <c r="S10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1" spans="1:19" x14ac:dyDescent="0.2">
      <c r="A101">
        <v>5551</v>
      </c>
      <c r="B101" t="s">
        <v>63</v>
      </c>
      <c r="C101" s="1">
        <v>45608</v>
      </c>
      <c r="D101" t="s">
        <v>12</v>
      </c>
      <c r="E101">
        <v>1.5</v>
      </c>
      <c r="F101" s="2">
        <v>0.65359477124182996</v>
      </c>
      <c r="G101" s="2">
        <v>0.66223812724380204</v>
      </c>
      <c r="H101" s="2">
        <v>0.63058338638594402</v>
      </c>
      <c r="I101" s="2">
        <v>0.64968152866242002</v>
      </c>
      <c r="J101" s="2">
        <v>0.618677042801556</v>
      </c>
      <c r="K101" s="2">
        <v>-1.6607273032785499E-2</v>
      </c>
      <c r="L101" s="2"/>
      <c r="M101" s="2" t="e">
        <f>(Table1[[#This Row],[poisson_likelihood]] - (1-Table1[[#This Row],[poisson_likelihood]])/(1/Table1[[#This Row],[365 implied]]-1))/4</f>
        <v>#DIV/0!</v>
      </c>
      <c r="N101" s="7" t="e">
        <f>Table1[[#This Row],[kelly/4 365]]*$U$2</f>
        <v>#DIV/0!</v>
      </c>
      <c r="O101" s="2"/>
      <c r="P101" s="2" t="e">
        <f>(Table1[[#This Row],[poisson_likelihood]] - (1-Table1[[#This Row],[poisson_likelihood]])/(1/Table1[[#This Row],[99/pinn implied]]-1))/4</f>
        <v>#DIV/0!</v>
      </c>
      <c r="Q101" s="7" t="e">
        <f>Table1[[#This Row],[kelly/4 99]]*$U$2</f>
        <v>#DIV/0!</v>
      </c>
      <c r="R101" s="2"/>
      <c r="S10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2" spans="1:19" x14ac:dyDescent="0.2">
      <c r="A102">
        <v>5477</v>
      </c>
      <c r="B102" t="s">
        <v>26</v>
      </c>
      <c r="C102" s="1">
        <v>45608</v>
      </c>
      <c r="D102" t="s">
        <v>12</v>
      </c>
      <c r="E102">
        <v>1.5</v>
      </c>
      <c r="F102" s="2">
        <v>0.58823529411764697</v>
      </c>
      <c r="G102" s="2">
        <v>0.60732023003943303</v>
      </c>
      <c r="H102" s="2">
        <v>0.56026281699777702</v>
      </c>
      <c r="I102" s="2">
        <v>0.54014598540145897</v>
      </c>
      <c r="J102" s="2">
        <v>0.532258064516129</v>
      </c>
      <c r="K102" s="2">
        <v>-1.6983289679920601E-2</v>
      </c>
      <c r="L102" s="2"/>
      <c r="M102" s="2" t="e">
        <f>(Table1[[#This Row],[poisson_likelihood]] - (1-Table1[[#This Row],[poisson_likelihood]])/(1/Table1[[#This Row],[365 implied]]-1))/4</f>
        <v>#DIV/0!</v>
      </c>
      <c r="N102" s="7" t="e">
        <f>Table1[[#This Row],[kelly/4 365]]*$U$2</f>
        <v>#DIV/0!</v>
      </c>
      <c r="O102" s="2"/>
      <c r="P102" s="2" t="e">
        <f>(Table1[[#This Row],[poisson_likelihood]] - (1-Table1[[#This Row],[poisson_likelihood]])/(1/Table1[[#This Row],[99/pinn implied]]-1))/4</f>
        <v>#DIV/0!</v>
      </c>
      <c r="Q102" s="7" t="e">
        <f>Table1[[#This Row],[kelly/4 99]]*$U$2</f>
        <v>#DIV/0!</v>
      </c>
      <c r="R102" s="2"/>
      <c r="S10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3" spans="1:19" x14ac:dyDescent="0.2">
      <c r="A103">
        <v>5584</v>
      </c>
      <c r="B103" t="s">
        <v>79</v>
      </c>
      <c r="C103" s="1">
        <v>45608</v>
      </c>
      <c r="D103" t="s">
        <v>13</v>
      </c>
      <c r="E103">
        <v>2.5</v>
      </c>
      <c r="F103" s="2">
        <v>0.48780487804877998</v>
      </c>
      <c r="G103" s="2">
        <v>0.41313280474569902</v>
      </c>
      <c r="H103" s="2">
        <v>0.45176986712009198</v>
      </c>
      <c r="I103" s="2">
        <v>0.46363636363636301</v>
      </c>
      <c r="J103" s="2">
        <v>0.476190476190476</v>
      </c>
      <c r="K103" s="2">
        <v>-1.75885172390026E-2</v>
      </c>
      <c r="L103" s="2"/>
      <c r="M103" s="2" t="e">
        <f>(Table1[[#This Row],[poisson_likelihood]] - (1-Table1[[#This Row],[poisson_likelihood]])/(1/Table1[[#This Row],[365 implied]]-1))/4</f>
        <v>#DIV/0!</v>
      </c>
      <c r="N103" s="7" t="e">
        <f>Table1[[#This Row],[kelly/4 365]]*$U$2</f>
        <v>#DIV/0!</v>
      </c>
      <c r="O103" s="2"/>
      <c r="P103" s="2" t="e">
        <f>(Table1[[#This Row],[poisson_likelihood]] - (1-Table1[[#This Row],[poisson_likelihood]])/(1/Table1[[#This Row],[99/pinn implied]]-1))/4</f>
        <v>#DIV/0!</v>
      </c>
      <c r="Q103" s="7" t="e">
        <f>Table1[[#This Row],[kelly/4 99]]*$U$2</f>
        <v>#DIV/0!</v>
      </c>
      <c r="R103" s="2"/>
      <c r="S10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4" spans="1:19" x14ac:dyDescent="0.2">
      <c r="A104">
        <v>5632</v>
      </c>
      <c r="B104" t="s">
        <v>103</v>
      </c>
      <c r="C104" s="1">
        <v>45608</v>
      </c>
      <c r="D104" t="s">
        <v>13</v>
      </c>
      <c r="E104">
        <v>2.5</v>
      </c>
      <c r="F104" s="2">
        <v>0.625</v>
      </c>
      <c r="G104" s="2">
        <v>0.55583583721762897</v>
      </c>
      <c r="H104" s="2">
        <v>0.59811333576537296</v>
      </c>
      <c r="I104" s="2">
        <v>0.59836065573770403</v>
      </c>
      <c r="J104" s="2">
        <v>0.55967078189300401</v>
      </c>
      <c r="K104" s="2">
        <v>-1.7924442823084599E-2</v>
      </c>
      <c r="L104" s="2"/>
      <c r="M104" s="2" t="e">
        <f>(Table1[[#This Row],[poisson_likelihood]] - (1-Table1[[#This Row],[poisson_likelihood]])/(1/Table1[[#This Row],[365 implied]]-1))/4</f>
        <v>#DIV/0!</v>
      </c>
      <c r="N104" s="7" t="e">
        <f>Table1[[#This Row],[kelly/4 365]]*$U$2</f>
        <v>#DIV/0!</v>
      </c>
      <c r="O104" s="2"/>
      <c r="P104" s="2" t="e">
        <f>(Table1[[#This Row],[poisson_likelihood]] - (1-Table1[[#This Row],[poisson_likelihood]])/(1/Table1[[#This Row],[99/pinn implied]]-1))/4</f>
        <v>#DIV/0!</v>
      </c>
      <c r="Q104" s="7" t="e">
        <f>Table1[[#This Row],[kelly/4 99]]*$U$2</f>
        <v>#DIV/0!</v>
      </c>
      <c r="R104" s="2"/>
      <c r="S10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5" spans="1:19" x14ac:dyDescent="0.2">
      <c r="A105">
        <v>5526</v>
      </c>
      <c r="B105" t="s">
        <v>50</v>
      </c>
      <c r="C105" s="1">
        <v>45608</v>
      </c>
      <c r="D105" t="s">
        <v>13</v>
      </c>
      <c r="E105">
        <v>2.5</v>
      </c>
      <c r="F105" s="2">
        <v>0.54644808743169304</v>
      </c>
      <c r="G105" s="2">
        <v>0.47026667016283702</v>
      </c>
      <c r="H105" s="2">
        <v>0.51378660733360304</v>
      </c>
      <c r="I105" s="2">
        <v>0.47972972972972899</v>
      </c>
      <c r="J105" s="2">
        <v>0.49784482758620602</v>
      </c>
      <c r="K105" s="2">
        <v>-1.8003165234790501E-2</v>
      </c>
      <c r="L105" s="2"/>
      <c r="M105" s="2" t="e">
        <f>(Table1[[#This Row],[poisson_likelihood]] - (1-Table1[[#This Row],[poisson_likelihood]])/(1/Table1[[#This Row],[365 implied]]-1))/4</f>
        <v>#DIV/0!</v>
      </c>
      <c r="N105" s="7" t="e">
        <f>Table1[[#This Row],[kelly/4 365]]*$U$2</f>
        <v>#DIV/0!</v>
      </c>
      <c r="O105" s="2"/>
      <c r="P105" s="2" t="e">
        <f>(Table1[[#This Row],[poisson_likelihood]] - (1-Table1[[#This Row],[poisson_likelihood]])/(1/Table1[[#This Row],[99/pinn implied]]-1))/4</f>
        <v>#DIV/0!</v>
      </c>
      <c r="Q105" s="7" t="e">
        <f>Table1[[#This Row],[kelly/4 99]]*$U$2</f>
        <v>#DIV/0!</v>
      </c>
      <c r="R105" s="2"/>
      <c r="S10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6" spans="1:19" x14ac:dyDescent="0.2">
      <c r="A106">
        <v>5554</v>
      </c>
      <c r="B106" t="s">
        <v>64</v>
      </c>
      <c r="C106" s="1">
        <v>45608</v>
      </c>
      <c r="D106" t="s">
        <v>13</v>
      </c>
      <c r="E106">
        <v>2.5</v>
      </c>
      <c r="F106" s="2">
        <v>0.63694267515923497</v>
      </c>
      <c r="G106" s="2">
        <v>0.56387122331690598</v>
      </c>
      <c r="H106" s="2">
        <v>0.61077921986400796</v>
      </c>
      <c r="I106" s="2">
        <v>0.60759493670886</v>
      </c>
      <c r="J106" s="2">
        <v>0.59352517985611497</v>
      </c>
      <c r="K106" s="2">
        <v>-1.8016063514696E-2</v>
      </c>
      <c r="L106" s="2"/>
      <c r="M106" s="2" t="e">
        <f>(Table1[[#This Row],[poisson_likelihood]] - (1-Table1[[#This Row],[poisson_likelihood]])/(1/Table1[[#This Row],[365 implied]]-1))/4</f>
        <v>#DIV/0!</v>
      </c>
      <c r="N106" s="7" t="e">
        <f>Table1[[#This Row],[kelly/4 365]]*$U$2</f>
        <v>#DIV/0!</v>
      </c>
      <c r="O106" s="2"/>
      <c r="P106" s="2" t="e">
        <f>(Table1[[#This Row],[poisson_likelihood]] - (1-Table1[[#This Row],[poisson_likelihood]])/(1/Table1[[#This Row],[99/pinn implied]]-1))/4</f>
        <v>#DIV/0!</v>
      </c>
      <c r="Q106" s="7" t="e">
        <f>Table1[[#This Row],[kelly/4 99]]*$U$2</f>
        <v>#DIV/0!</v>
      </c>
      <c r="R106" s="2"/>
      <c r="S10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7" spans="1:19" x14ac:dyDescent="0.2">
      <c r="A107">
        <v>5508</v>
      </c>
      <c r="B107" t="s">
        <v>41</v>
      </c>
      <c r="C107" s="1">
        <v>45608</v>
      </c>
      <c r="D107" t="s">
        <v>13</v>
      </c>
      <c r="E107">
        <v>2.5</v>
      </c>
      <c r="F107" s="2">
        <v>0.48780487804877998</v>
      </c>
      <c r="G107" s="2">
        <v>0.41739446856131601</v>
      </c>
      <c r="H107" s="2">
        <v>0.450454788132094</v>
      </c>
      <c r="I107" s="2">
        <v>0.51098901098901095</v>
      </c>
      <c r="J107" s="2">
        <v>0.48709677419354802</v>
      </c>
      <c r="K107" s="2">
        <v>-1.8230401030763298E-2</v>
      </c>
      <c r="L107" s="2"/>
      <c r="M107" s="2" t="e">
        <f>(Table1[[#This Row],[poisson_likelihood]] - (1-Table1[[#This Row],[poisson_likelihood]])/(1/Table1[[#This Row],[365 implied]]-1))/4</f>
        <v>#DIV/0!</v>
      </c>
      <c r="N107" s="7" t="e">
        <f>Table1[[#This Row],[kelly/4 365]]*$U$2</f>
        <v>#DIV/0!</v>
      </c>
      <c r="O107" s="2"/>
      <c r="P107" s="2" t="e">
        <f>(Table1[[#This Row],[poisson_likelihood]] - (1-Table1[[#This Row],[poisson_likelihood]])/(1/Table1[[#This Row],[99/pinn implied]]-1))/4</f>
        <v>#DIV/0!</v>
      </c>
      <c r="Q107" s="7" t="e">
        <f>Table1[[#This Row],[kelly/4 99]]*$U$2</f>
        <v>#DIV/0!</v>
      </c>
      <c r="R107" s="2"/>
      <c r="S10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8" spans="1:19" x14ac:dyDescent="0.2">
      <c r="A108">
        <v>5608</v>
      </c>
      <c r="B108" t="s">
        <v>91</v>
      </c>
      <c r="C108" s="1">
        <v>45608</v>
      </c>
      <c r="D108" t="s">
        <v>13</v>
      </c>
      <c r="E108">
        <v>1.5</v>
      </c>
      <c r="F108" s="2">
        <v>0.44843049327354201</v>
      </c>
      <c r="G108" s="2">
        <v>0.36205442670858901</v>
      </c>
      <c r="H108" s="2">
        <v>0.40785658322410101</v>
      </c>
      <c r="I108" s="2">
        <v>0.41618497109826502</v>
      </c>
      <c r="J108" s="2">
        <v>0.423208191126279</v>
      </c>
      <c r="K108" s="2">
        <v>-1.8390207197206101E-2</v>
      </c>
      <c r="L108" s="2"/>
      <c r="M108" s="2" t="e">
        <f>(Table1[[#This Row],[poisson_likelihood]] - (1-Table1[[#This Row],[poisson_likelihood]])/(1/Table1[[#This Row],[365 implied]]-1))/4</f>
        <v>#DIV/0!</v>
      </c>
      <c r="N108" s="7" t="e">
        <f>Table1[[#This Row],[kelly/4 365]]*$U$2</f>
        <v>#DIV/0!</v>
      </c>
      <c r="O108" s="2"/>
      <c r="P108" s="2" t="e">
        <f>(Table1[[#This Row],[poisson_likelihood]] - (1-Table1[[#This Row],[poisson_likelihood]])/(1/Table1[[#This Row],[99/pinn implied]]-1))/4</f>
        <v>#DIV/0!</v>
      </c>
      <c r="Q108" s="7" t="e">
        <f>Table1[[#This Row],[kelly/4 99]]*$U$2</f>
        <v>#DIV/0!</v>
      </c>
      <c r="R108" s="2"/>
      <c r="S10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9" spans="1:19" x14ac:dyDescent="0.2">
      <c r="A109">
        <v>5574</v>
      </c>
      <c r="B109" t="s">
        <v>74</v>
      </c>
      <c r="C109" s="1">
        <v>45608</v>
      </c>
      <c r="D109" t="s">
        <v>13</v>
      </c>
      <c r="E109">
        <v>2.5</v>
      </c>
      <c r="F109" s="2">
        <v>0.45454545454545398</v>
      </c>
      <c r="G109" s="2">
        <v>0.37025491036242902</v>
      </c>
      <c r="H109" s="2">
        <v>0.41342277177847703</v>
      </c>
      <c r="I109" s="2">
        <v>0.41714285714285698</v>
      </c>
      <c r="J109" s="2">
        <v>0.40540540540540498</v>
      </c>
      <c r="K109" s="2">
        <v>-1.8847896268197599E-2</v>
      </c>
      <c r="L109" s="2"/>
      <c r="M109" s="2" t="e">
        <f>(Table1[[#This Row],[poisson_likelihood]] - (1-Table1[[#This Row],[poisson_likelihood]])/(1/Table1[[#This Row],[365 implied]]-1))/4</f>
        <v>#DIV/0!</v>
      </c>
      <c r="N109" s="7" t="e">
        <f>Table1[[#This Row],[kelly/4 365]]*$U$2</f>
        <v>#DIV/0!</v>
      </c>
      <c r="O109" s="2"/>
      <c r="P109" s="2" t="e">
        <f>(Table1[[#This Row],[poisson_likelihood]] - (1-Table1[[#This Row],[poisson_likelihood]])/(1/Table1[[#This Row],[99/pinn implied]]-1))/4</f>
        <v>#DIV/0!</v>
      </c>
      <c r="Q109" s="7" t="e">
        <f>Table1[[#This Row],[kelly/4 99]]*$U$2</f>
        <v>#DIV/0!</v>
      </c>
      <c r="R109" s="2"/>
      <c r="S10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0" spans="1:19" x14ac:dyDescent="0.2">
      <c r="A110">
        <v>5462</v>
      </c>
      <c r="B110" t="s">
        <v>18</v>
      </c>
      <c r="C110" s="1">
        <v>45608</v>
      </c>
      <c r="D110" t="s">
        <v>13</v>
      </c>
      <c r="E110">
        <v>2.5</v>
      </c>
      <c r="F110" s="2">
        <v>0.63694267515923497</v>
      </c>
      <c r="G110" s="2">
        <v>0.56690082003172204</v>
      </c>
      <c r="H110" s="2">
        <v>0.60933926699827801</v>
      </c>
      <c r="I110" s="2">
        <v>0.54705882352941104</v>
      </c>
      <c r="J110" s="2">
        <v>0.57042253521126696</v>
      </c>
      <c r="K110" s="2">
        <v>-1.9007610005571701E-2</v>
      </c>
      <c r="L110" s="2"/>
      <c r="M110" s="2" t="e">
        <f>(Table1[[#This Row],[poisson_likelihood]] - (1-Table1[[#This Row],[poisson_likelihood]])/(1/Table1[[#This Row],[365 implied]]-1))/4</f>
        <v>#DIV/0!</v>
      </c>
      <c r="N110" s="7" t="e">
        <f>Table1[[#This Row],[kelly/4 365]]*$U$2</f>
        <v>#DIV/0!</v>
      </c>
      <c r="O110" s="2"/>
      <c r="P110" s="2" t="e">
        <f>(Table1[[#This Row],[poisson_likelihood]] - (1-Table1[[#This Row],[poisson_likelihood]])/(1/Table1[[#This Row],[99/pinn implied]]-1))/4</f>
        <v>#DIV/0!</v>
      </c>
      <c r="Q110" s="7" t="e">
        <f>Table1[[#This Row],[kelly/4 99]]*$U$2</f>
        <v>#DIV/0!</v>
      </c>
      <c r="R110" s="2"/>
      <c r="S1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1" spans="1:19" x14ac:dyDescent="0.2">
      <c r="A111">
        <v>5489</v>
      </c>
      <c r="B111" t="s">
        <v>32</v>
      </c>
      <c r="C111" s="1">
        <v>45608</v>
      </c>
      <c r="D111" t="s">
        <v>12</v>
      </c>
      <c r="E111">
        <v>1.5</v>
      </c>
      <c r="F111" s="2">
        <v>0.63694267515923497</v>
      </c>
      <c r="G111" s="2">
        <v>0.63986891403909496</v>
      </c>
      <c r="H111" s="2">
        <v>0.60907033843240199</v>
      </c>
      <c r="I111" s="2">
        <v>0.61728395061728303</v>
      </c>
      <c r="J111" s="2">
        <v>0.63841807909604498</v>
      </c>
      <c r="K111" s="2">
        <v>-1.9192793272424499E-2</v>
      </c>
      <c r="L111" s="2"/>
      <c r="M111" s="2" t="e">
        <f>(Table1[[#This Row],[poisson_likelihood]] - (1-Table1[[#This Row],[poisson_likelihood]])/(1/Table1[[#This Row],[365 implied]]-1))/4</f>
        <v>#DIV/0!</v>
      </c>
      <c r="N111" s="7" t="e">
        <f>Table1[[#This Row],[kelly/4 365]]*$U$2</f>
        <v>#DIV/0!</v>
      </c>
      <c r="O111" s="2"/>
      <c r="P111" s="2" t="e">
        <f>(Table1[[#This Row],[poisson_likelihood]] - (1-Table1[[#This Row],[poisson_likelihood]])/(1/Table1[[#This Row],[99/pinn implied]]-1))/4</f>
        <v>#DIV/0!</v>
      </c>
      <c r="Q111" s="7" t="e">
        <f>Table1[[#This Row],[kelly/4 99]]*$U$2</f>
        <v>#DIV/0!</v>
      </c>
      <c r="R111" s="2"/>
      <c r="S1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2" spans="1:19" x14ac:dyDescent="0.2">
      <c r="A112">
        <v>5560</v>
      </c>
      <c r="B112" t="s">
        <v>67</v>
      </c>
      <c r="C112" s="1">
        <v>45608</v>
      </c>
      <c r="D112" t="s">
        <v>13</v>
      </c>
      <c r="E112">
        <v>2.5</v>
      </c>
      <c r="F112" s="2">
        <v>0.55555555555555503</v>
      </c>
      <c r="G112" s="2">
        <v>0.47930967309267303</v>
      </c>
      <c r="H112" s="2">
        <v>0.52128799530925296</v>
      </c>
      <c r="I112" s="2">
        <v>0.53932584269662898</v>
      </c>
      <c r="J112" s="2">
        <v>0.52842809364548404</v>
      </c>
      <c r="K112" s="2">
        <v>-1.9275502638545002E-2</v>
      </c>
      <c r="L112" s="2"/>
      <c r="M112" s="2" t="e">
        <f>(Table1[[#This Row],[poisson_likelihood]] - (1-Table1[[#This Row],[poisson_likelihood]])/(1/Table1[[#This Row],[365 implied]]-1))/4</f>
        <v>#DIV/0!</v>
      </c>
      <c r="N112" s="7" t="e">
        <f>Table1[[#This Row],[kelly/4 365]]*$U$2</f>
        <v>#DIV/0!</v>
      </c>
      <c r="O112" s="2"/>
      <c r="P112" s="2" t="e">
        <f>(Table1[[#This Row],[poisson_likelihood]] - (1-Table1[[#This Row],[poisson_likelihood]])/(1/Table1[[#This Row],[99/pinn implied]]-1))/4</f>
        <v>#DIV/0!</v>
      </c>
      <c r="Q112" s="7" t="e">
        <f>Table1[[#This Row],[kelly/4 99]]*$U$2</f>
        <v>#DIV/0!</v>
      </c>
      <c r="R112" s="2"/>
      <c r="S1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3" spans="1:19" x14ac:dyDescent="0.2">
      <c r="A113">
        <v>5480</v>
      </c>
      <c r="B113" t="s">
        <v>27</v>
      </c>
      <c r="C113" s="1">
        <v>45608</v>
      </c>
      <c r="D113" t="s">
        <v>13</v>
      </c>
      <c r="E113">
        <v>1.5</v>
      </c>
      <c r="F113" s="2">
        <v>0.40983606557377</v>
      </c>
      <c r="G113" s="2">
        <v>0.34722184795811301</v>
      </c>
      <c r="H113" s="2">
        <v>0.36416622520138803</v>
      </c>
      <c r="I113" s="2">
        <v>0.38562091503267898</v>
      </c>
      <c r="J113" s="2">
        <v>0.37078651685393199</v>
      </c>
      <c r="K113" s="2">
        <v>-1.9346251824411801E-2</v>
      </c>
      <c r="L113" s="2"/>
      <c r="M113" s="2" t="e">
        <f>(Table1[[#This Row],[poisson_likelihood]] - (1-Table1[[#This Row],[poisson_likelihood]])/(1/Table1[[#This Row],[365 implied]]-1))/4</f>
        <v>#DIV/0!</v>
      </c>
      <c r="N113" s="7" t="e">
        <f>Table1[[#This Row],[kelly/4 365]]*$U$2</f>
        <v>#DIV/0!</v>
      </c>
      <c r="O113" s="2"/>
      <c r="P113" s="2" t="e">
        <f>(Table1[[#This Row],[poisson_likelihood]] - (1-Table1[[#This Row],[poisson_likelihood]])/(1/Table1[[#This Row],[99/pinn implied]]-1))/4</f>
        <v>#DIV/0!</v>
      </c>
      <c r="Q113" s="7" t="e">
        <f>Table1[[#This Row],[kelly/4 99]]*$U$2</f>
        <v>#DIV/0!</v>
      </c>
      <c r="R113" s="2"/>
      <c r="S1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4" spans="1:19" x14ac:dyDescent="0.2">
      <c r="A114">
        <v>5550</v>
      </c>
      <c r="B114" t="s">
        <v>62</v>
      </c>
      <c r="C114" s="1">
        <v>45608</v>
      </c>
      <c r="D114" t="s">
        <v>13</v>
      </c>
      <c r="E114">
        <v>2.5</v>
      </c>
      <c r="F114" s="2">
        <v>0.43103448275862</v>
      </c>
      <c r="G114" s="2">
        <v>0.359175498401264</v>
      </c>
      <c r="H114" s="2">
        <v>0.38666758681125102</v>
      </c>
      <c r="I114" s="2">
        <v>0.36363636363636298</v>
      </c>
      <c r="J114" s="2">
        <v>0.37248322147650997</v>
      </c>
      <c r="K114" s="2">
        <v>-1.94945451889957E-2</v>
      </c>
      <c r="L114" s="2"/>
      <c r="M114" s="2" t="e">
        <f>(Table1[[#This Row],[poisson_likelihood]] - (1-Table1[[#This Row],[poisson_likelihood]])/(1/Table1[[#This Row],[365 implied]]-1))/4</f>
        <v>#DIV/0!</v>
      </c>
      <c r="N114" s="7" t="e">
        <f>Table1[[#This Row],[kelly/4 365]]*$U$2</f>
        <v>#DIV/0!</v>
      </c>
      <c r="O114" s="2"/>
      <c r="P114" s="2" t="e">
        <f>(Table1[[#This Row],[poisson_likelihood]] - (1-Table1[[#This Row],[poisson_likelihood]])/(1/Table1[[#This Row],[99/pinn implied]]-1))/4</f>
        <v>#DIV/0!</v>
      </c>
      <c r="Q114" s="7" t="e">
        <f>Table1[[#This Row],[kelly/4 99]]*$U$2</f>
        <v>#DIV/0!</v>
      </c>
      <c r="R114" s="2"/>
      <c r="S1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5" spans="1:19" x14ac:dyDescent="0.2">
      <c r="A115">
        <v>5452</v>
      </c>
      <c r="B115" t="s">
        <v>11</v>
      </c>
      <c r="C115" s="1">
        <v>45608</v>
      </c>
      <c r="D115" t="s">
        <v>13</v>
      </c>
      <c r="E115">
        <v>2.5</v>
      </c>
      <c r="F115" s="2">
        <v>0.62111801242235998</v>
      </c>
      <c r="G115" s="2">
        <v>0.54577832447992602</v>
      </c>
      <c r="H115" s="2">
        <v>0.59151640351504597</v>
      </c>
      <c r="I115" s="2">
        <v>0.56470588235294095</v>
      </c>
      <c r="J115" s="2">
        <v>0.54006968641114905</v>
      </c>
      <c r="K115" s="2">
        <v>-1.9532209156055198E-2</v>
      </c>
      <c r="L115" s="2"/>
      <c r="M115" s="2" t="e">
        <f>(Table1[[#This Row],[poisson_likelihood]] - (1-Table1[[#This Row],[poisson_likelihood]])/(1/Table1[[#This Row],[365 implied]]-1))/4</f>
        <v>#DIV/0!</v>
      </c>
      <c r="N115" s="7" t="e">
        <f>Table1[[#This Row],[kelly/4 365]]*$U$2</f>
        <v>#DIV/0!</v>
      </c>
      <c r="O115" s="2"/>
      <c r="P115" s="2" t="e">
        <f>(Table1[[#This Row],[poisson_likelihood]] - (1-Table1[[#This Row],[poisson_likelihood]])/(1/Table1[[#This Row],[99/pinn implied]]-1))/4</f>
        <v>#DIV/0!</v>
      </c>
      <c r="Q115" s="7" t="e">
        <f>Table1[[#This Row],[kelly/4 99]]*$U$2</f>
        <v>#DIV/0!</v>
      </c>
      <c r="R115" s="2"/>
      <c r="S1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6" spans="1:19" x14ac:dyDescent="0.2">
      <c r="A116">
        <v>5590</v>
      </c>
      <c r="B116" t="s">
        <v>82</v>
      </c>
      <c r="C116" s="1">
        <v>45608</v>
      </c>
      <c r="D116" t="s">
        <v>13</v>
      </c>
      <c r="E116">
        <v>2.5</v>
      </c>
      <c r="F116" s="2">
        <v>0.55555555555555503</v>
      </c>
      <c r="G116" s="2">
        <v>0.47766112337699301</v>
      </c>
      <c r="H116" s="2">
        <v>0.51825822786973696</v>
      </c>
      <c r="I116" s="2">
        <v>0.52571428571428502</v>
      </c>
      <c r="J116" s="2">
        <v>0.580204778156996</v>
      </c>
      <c r="K116" s="2">
        <v>-2.0979746823272399E-2</v>
      </c>
      <c r="L116" s="2"/>
      <c r="M116" s="2" t="e">
        <f>(Table1[[#This Row],[poisson_likelihood]] - (1-Table1[[#This Row],[poisson_likelihood]])/(1/Table1[[#This Row],[365 implied]]-1))/4</f>
        <v>#DIV/0!</v>
      </c>
      <c r="N116" s="7" t="e">
        <f>Table1[[#This Row],[kelly/4 365]]*$U$2</f>
        <v>#DIV/0!</v>
      </c>
      <c r="O116" s="2"/>
      <c r="P116" s="2" t="e">
        <f>(Table1[[#This Row],[poisson_likelihood]] - (1-Table1[[#This Row],[poisson_likelihood]])/(1/Table1[[#This Row],[99/pinn implied]]-1))/4</f>
        <v>#DIV/0!</v>
      </c>
      <c r="Q116" s="7" t="e">
        <f>Table1[[#This Row],[kelly/4 99]]*$U$2</f>
        <v>#DIV/0!</v>
      </c>
      <c r="R116" s="2"/>
      <c r="S1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7" spans="1:19" x14ac:dyDescent="0.2">
      <c r="A117">
        <v>5541</v>
      </c>
      <c r="B117" t="s">
        <v>58</v>
      </c>
      <c r="C117" s="1">
        <v>45608</v>
      </c>
      <c r="D117" t="s">
        <v>12</v>
      </c>
      <c r="E117">
        <v>1.5</v>
      </c>
      <c r="F117" s="2">
        <v>0.58823529411764697</v>
      </c>
      <c r="G117" s="2">
        <v>0.60748132909823505</v>
      </c>
      <c r="H117" s="2">
        <v>0.55353133304402802</v>
      </c>
      <c r="I117" s="2">
        <v>0.53977272727272696</v>
      </c>
      <c r="J117" s="2">
        <v>0.55033557046979797</v>
      </c>
      <c r="K117" s="2">
        <v>-2.1070262080411101E-2</v>
      </c>
      <c r="L117" s="2"/>
      <c r="M117" s="2" t="e">
        <f>(Table1[[#This Row],[poisson_likelihood]] - (1-Table1[[#This Row],[poisson_likelihood]])/(1/Table1[[#This Row],[365 implied]]-1))/4</f>
        <v>#DIV/0!</v>
      </c>
      <c r="N117" s="7" t="e">
        <f>Table1[[#This Row],[kelly/4 365]]*$U$2</f>
        <v>#DIV/0!</v>
      </c>
      <c r="O117" s="2"/>
      <c r="P117" s="2" t="e">
        <f>(Table1[[#This Row],[poisson_likelihood]] - (1-Table1[[#This Row],[poisson_likelihood]])/(1/Table1[[#This Row],[99/pinn implied]]-1))/4</f>
        <v>#DIV/0!</v>
      </c>
      <c r="Q117" s="7" t="e">
        <f>Table1[[#This Row],[kelly/4 99]]*$U$2</f>
        <v>#DIV/0!</v>
      </c>
      <c r="R117" s="2"/>
      <c r="S1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8" spans="1:19" x14ac:dyDescent="0.2">
      <c r="A118">
        <v>5618</v>
      </c>
      <c r="B118" t="s">
        <v>96</v>
      </c>
      <c r="C118" s="1">
        <v>45608</v>
      </c>
      <c r="D118" t="s">
        <v>13</v>
      </c>
      <c r="E118">
        <v>1.5</v>
      </c>
      <c r="F118" s="2">
        <v>0.48309178743961301</v>
      </c>
      <c r="G118" s="2">
        <v>0.40692169397226802</v>
      </c>
      <c r="H118" s="2">
        <v>0.43874275075296498</v>
      </c>
      <c r="I118" s="2">
        <v>0.4375</v>
      </c>
      <c r="J118" s="2">
        <v>0.4375</v>
      </c>
      <c r="K118" s="2">
        <v>-2.1449183631159201E-2</v>
      </c>
      <c r="L118" s="2"/>
      <c r="M118" s="2" t="e">
        <f>(Table1[[#This Row],[poisson_likelihood]] - (1-Table1[[#This Row],[poisson_likelihood]])/(1/Table1[[#This Row],[365 implied]]-1))/4</f>
        <v>#DIV/0!</v>
      </c>
      <c r="N118" s="7" t="e">
        <f>Table1[[#This Row],[kelly/4 365]]*$U$2</f>
        <v>#DIV/0!</v>
      </c>
      <c r="O118" s="2"/>
      <c r="P118" s="2" t="e">
        <f>(Table1[[#This Row],[poisson_likelihood]] - (1-Table1[[#This Row],[poisson_likelihood]])/(1/Table1[[#This Row],[99/pinn implied]]-1))/4</f>
        <v>#DIV/0!</v>
      </c>
      <c r="Q118" s="7" t="e">
        <f>Table1[[#This Row],[kelly/4 99]]*$U$2</f>
        <v>#DIV/0!</v>
      </c>
      <c r="R118" s="2"/>
      <c r="S1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9" spans="1:19" x14ac:dyDescent="0.2">
      <c r="A119">
        <v>5601</v>
      </c>
      <c r="B119" t="s">
        <v>88</v>
      </c>
      <c r="C119" s="1">
        <v>45608</v>
      </c>
      <c r="D119" t="s">
        <v>12</v>
      </c>
      <c r="E119">
        <v>3.5</v>
      </c>
      <c r="F119" s="2">
        <v>0.45871559633027498</v>
      </c>
      <c r="G119" s="2">
        <v>0.449551081016131</v>
      </c>
      <c r="H119" s="2">
        <v>0.412238702599248</v>
      </c>
      <c r="I119" s="2">
        <v>0.41111111111111098</v>
      </c>
      <c r="J119" s="2">
        <v>0.39802631578947301</v>
      </c>
      <c r="K119" s="2">
        <v>-2.1466022952041999E-2</v>
      </c>
      <c r="L119" s="2"/>
      <c r="M119" s="2" t="e">
        <f>(Table1[[#This Row],[poisson_likelihood]] - (1-Table1[[#This Row],[poisson_likelihood]])/(1/Table1[[#This Row],[365 implied]]-1))/4</f>
        <v>#DIV/0!</v>
      </c>
      <c r="N119" s="7" t="e">
        <f>Table1[[#This Row],[kelly/4 365]]*$U$2</f>
        <v>#DIV/0!</v>
      </c>
      <c r="O119" s="2"/>
      <c r="P119" s="2" t="e">
        <f>(Table1[[#This Row],[poisson_likelihood]] - (1-Table1[[#This Row],[poisson_likelihood]])/(1/Table1[[#This Row],[99/pinn implied]]-1))/4</f>
        <v>#DIV/0!</v>
      </c>
      <c r="Q119" s="7" t="e">
        <f>Table1[[#This Row],[kelly/4 99]]*$U$2</f>
        <v>#DIV/0!</v>
      </c>
      <c r="R119" s="2"/>
      <c r="S1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0" spans="1:19" x14ac:dyDescent="0.2">
      <c r="A120">
        <v>5491</v>
      </c>
      <c r="B120" t="s">
        <v>33</v>
      </c>
      <c r="C120" s="1">
        <v>45608</v>
      </c>
      <c r="D120" t="s">
        <v>12</v>
      </c>
      <c r="E120">
        <v>1.5</v>
      </c>
      <c r="F120" s="2">
        <v>0.66225165562913901</v>
      </c>
      <c r="G120" s="2">
        <v>0.67254413283917203</v>
      </c>
      <c r="H120" s="2">
        <v>0.63307490301348401</v>
      </c>
      <c r="I120" s="2">
        <v>0.66666666666666596</v>
      </c>
      <c r="J120" s="2">
        <v>0.64375000000000004</v>
      </c>
      <c r="K120" s="2">
        <v>-2.1596517867469502E-2</v>
      </c>
      <c r="L120" s="2"/>
      <c r="M120" s="2" t="e">
        <f>(Table1[[#This Row],[poisson_likelihood]] - (1-Table1[[#This Row],[poisson_likelihood]])/(1/Table1[[#This Row],[365 implied]]-1))/4</f>
        <v>#DIV/0!</v>
      </c>
      <c r="N120" s="7" t="e">
        <f>Table1[[#This Row],[kelly/4 365]]*$U$2</f>
        <v>#DIV/0!</v>
      </c>
      <c r="O120" s="2"/>
      <c r="P120" s="2" t="e">
        <f>(Table1[[#This Row],[poisson_likelihood]] - (1-Table1[[#This Row],[poisson_likelihood]])/(1/Table1[[#This Row],[99/pinn implied]]-1))/4</f>
        <v>#DIV/0!</v>
      </c>
      <c r="Q120" s="7" t="e">
        <f>Table1[[#This Row],[kelly/4 99]]*$U$2</f>
        <v>#DIV/0!</v>
      </c>
      <c r="R120" s="2"/>
      <c r="S1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1" spans="1:19" x14ac:dyDescent="0.2">
      <c r="A121">
        <v>5537</v>
      </c>
      <c r="B121" t="s">
        <v>56</v>
      </c>
      <c r="C121" s="1">
        <v>45608</v>
      </c>
      <c r="D121" t="s">
        <v>12</v>
      </c>
      <c r="E121">
        <v>1.5</v>
      </c>
      <c r="F121" s="2">
        <v>0.54945054945054905</v>
      </c>
      <c r="G121" s="2">
        <v>0.56128172433768397</v>
      </c>
      <c r="H121" s="2">
        <v>0.50899862109664096</v>
      </c>
      <c r="I121" s="2">
        <v>0.5</v>
      </c>
      <c r="J121" s="2">
        <v>0.50328947368420995</v>
      </c>
      <c r="K121" s="2">
        <v>-2.2445887074424301E-2</v>
      </c>
      <c r="L121" s="2"/>
      <c r="M121" s="2" t="e">
        <f>(Table1[[#This Row],[poisson_likelihood]] - (1-Table1[[#This Row],[poisson_likelihood]])/(1/Table1[[#This Row],[365 implied]]-1))/4</f>
        <v>#DIV/0!</v>
      </c>
      <c r="N121" s="7" t="e">
        <f>Table1[[#This Row],[kelly/4 365]]*$U$2</f>
        <v>#DIV/0!</v>
      </c>
      <c r="O121" s="2"/>
      <c r="P121" s="2" t="e">
        <f>(Table1[[#This Row],[poisson_likelihood]] - (1-Table1[[#This Row],[poisson_likelihood]])/(1/Table1[[#This Row],[99/pinn implied]]-1))/4</f>
        <v>#DIV/0!</v>
      </c>
      <c r="Q121" s="7" t="e">
        <f>Table1[[#This Row],[kelly/4 99]]*$U$2</f>
        <v>#DIV/0!</v>
      </c>
      <c r="R121" s="2"/>
      <c r="S1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2" spans="1:19" x14ac:dyDescent="0.2">
      <c r="A122">
        <v>5494</v>
      </c>
      <c r="B122" t="s">
        <v>34</v>
      </c>
      <c r="C122" s="1">
        <v>45608</v>
      </c>
      <c r="D122" t="s">
        <v>13</v>
      </c>
      <c r="E122">
        <v>2.5</v>
      </c>
      <c r="F122" s="2">
        <v>0.60606060606060597</v>
      </c>
      <c r="G122" s="2">
        <v>0.52531237761557303</v>
      </c>
      <c r="H122" s="2">
        <v>0.570650533984986</v>
      </c>
      <c r="I122" s="2">
        <v>0.55639097744360899</v>
      </c>
      <c r="J122" s="2">
        <v>0.54954954954954904</v>
      </c>
      <c r="K122" s="2">
        <v>-2.2471776509527999E-2</v>
      </c>
      <c r="L122" s="2"/>
      <c r="M122" s="2" t="e">
        <f>(Table1[[#This Row],[poisson_likelihood]] - (1-Table1[[#This Row],[poisson_likelihood]])/(1/Table1[[#This Row],[365 implied]]-1))/4</f>
        <v>#DIV/0!</v>
      </c>
      <c r="N122" s="7" t="e">
        <f>Table1[[#This Row],[kelly/4 365]]*$U$2</f>
        <v>#DIV/0!</v>
      </c>
      <c r="O122" s="2"/>
      <c r="P122" s="2" t="e">
        <f>(Table1[[#This Row],[poisson_likelihood]] - (1-Table1[[#This Row],[poisson_likelihood]])/(1/Table1[[#This Row],[99/pinn implied]]-1))/4</f>
        <v>#DIV/0!</v>
      </c>
      <c r="Q122" s="7" t="e">
        <f>Table1[[#This Row],[kelly/4 99]]*$U$2</f>
        <v>#DIV/0!</v>
      </c>
      <c r="R122" s="2"/>
      <c r="S1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3" spans="1:19" x14ac:dyDescent="0.2">
      <c r="A123">
        <v>5566</v>
      </c>
      <c r="B123" t="s">
        <v>70</v>
      </c>
      <c r="C123" s="1">
        <v>45608</v>
      </c>
      <c r="D123" t="s">
        <v>13</v>
      </c>
      <c r="E123">
        <v>2.5</v>
      </c>
      <c r="F123" s="2">
        <v>0.64102564102564097</v>
      </c>
      <c r="G123" s="2">
        <v>0.56209689506759097</v>
      </c>
      <c r="H123" s="2">
        <v>0.60776777958531003</v>
      </c>
      <c r="I123" s="2">
        <v>0.61581920903954801</v>
      </c>
      <c r="J123" s="2">
        <v>0.62962962962962898</v>
      </c>
      <c r="K123" s="2">
        <v>-2.3161724931659002E-2</v>
      </c>
      <c r="L123" s="2"/>
      <c r="M123" s="2" t="e">
        <f>(Table1[[#This Row],[poisson_likelihood]] - (1-Table1[[#This Row],[poisson_likelihood]])/(1/Table1[[#This Row],[365 implied]]-1))/4</f>
        <v>#DIV/0!</v>
      </c>
      <c r="N123" s="7" t="e">
        <f>Table1[[#This Row],[kelly/4 365]]*$U$2</f>
        <v>#DIV/0!</v>
      </c>
      <c r="O123" s="2"/>
      <c r="P123" s="2" t="e">
        <f>(Table1[[#This Row],[poisson_likelihood]] - (1-Table1[[#This Row],[poisson_likelihood]])/(1/Table1[[#This Row],[99/pinn implied]]-1))/4</f>
        <v>#DIV/0!</v>
      </c>
      <c r="Q123" s="7" t="e">
        <f>Table1[[#This Row],[kelly/4 99]]*$U$2</f>
        <v>#DIV/0!</v>
      </c>
      <c r="R123" s="2"/>
      <c r="S1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4" spans="1:19" x14ac:dyDescent="0.2">
      <c r="A124">
        <v>5527</v>
      </c>
      <c r="B124" t="s">
        <v>51</v>
      </c>
      <c r="C124" s="1">
        <v>45608</v>
      </c>
      <c r="D124" t="s">
        <v>12</v>
      </c>
      <c r="E124">
        <v>2.5</v>
      </c>
      <c r="F124" s="2">
        <v>0.56818181818181801</v>
      </c>
      <c r="G124" s="2">
        <v>0.57443244454604403</v>
      </c>
      <c r="H124" s="2">
        <v>0.52594044129275197</v>
      </c>
      <c r="I124" s="2">
        <v>0.53072625698324005</v>
      </c>
      <c r="J124" s="2">
        <v>0.53156146179401997</v>
      </c>
      <c r="K124" s="2">
        <v>-2.4455533988406501E-2</v>
      </c>
      <c r="L124" s="2"/>
      <c r="M124" s="2" t="e">
        <f>(Table1[[#This Row],[poisson_likelihood]] - (1-Table1[[#This Row],[poisson_likelihood]])/(1/Table1[[#This Row],[365 implied]]-1))/4</f>
        <v>#DIV/0!</v>
      </c>
      <c r="N124" s="7" t="e">
        <f>Table1[[#This Row],[kelly/4 365]]*$U$2</f>
        <v>#DIV/0!</v>
      </c>
      <c r="O124" s="2"/>
      <c r="P124" s="2" t="e">
        <f>(Table1[[#This Row],[poisson_likelihood]] - (1-Table1[[#This Row],[poisson_likelihood]])/(1/Table1[[#This Row],[99/pinn implied]]-1))/4</f>
        <v>#DIV/0!</v>
      </c>
      <c r="Q124" s="7" t="e">
        <f>Table1[[#This Row],[kelly/4 99]]*$U$2</f>
        <v>#DIV/0!</v>
      </c>
      <c r="R124" s="2"/>
      <c r="S1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5" spans="1:19" x14ac:dyDescent="0.2">
      <c r="A125">
        <v>5611</v>
      </c>
      <c r="B125" t="s">
        <v>93</v>
      </c>
      <c r="C125" s="1">
        <v>45608</v>
      </c>
      <c r="D125" t="s">
        <v>12</v>
      </c>
      <c r="E125">
        <v>2.5</v>
      </c>
      <c r="F125" s="2">
        <v>0.46511627906976699</v>
      </c>
      <c r="G125" s="2">
        <v>0.463088361365316</v>
      </c>
      <c r="H125" s="2">
        <v>0.41278086126554703</v>
      </c>
      <c r="I125" s="2">
        <v>0.38095238095237999</v>
      </c>
      <c r="J125" s="2">
        <v>0.4</v>
      </c>
      <c r="K125" s="2">
        <v>-2.4461119191103001E-2</v>
      </c>
      <c r="L125" s="2"/>
      <c r="M125" s="2" t="e">
        <f>(Table1[[#This Row],[poisson_likelihood]] - (1-Table1[[#This Row],[poisson_likelihood]])/(1/Table1[[#This Row],[365 implied]]-1))/4</f>
        <v>#DIV/0!</v>
      </c>
      <c r="N125" s="7" t="e">
        <f>Table1[[#This Row],[kelly/4 365]]*$U$2</f>
        <v>#DIV/0!</v>
      </c>
      <c r="O125" s="2"/>
      <c r="P125" s="2" t="e">
        <f>(Table1[[#This Row],[poisson_likelihood]] - (1-Table1[[#This Row],[poisson_likelihood]])/(1/Table1[[#This Row],[99/pinn implied]]-1))/4</f>
        <v>#DIV/0!</v>
      </c>
      <c r="Q125" s="7" t="e">
        <f>Table1[[#This Row],[kelly/4 99]]*$U$2</f>
        <v>#DIV/0!</v>
      </c>
      <c r="R125" s="2"/>
      <c r="S1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6" spans="1:19" x14ac:dyDescent="0.2">
      <c r="A126">
        <v>5460</v>
      </c>
      <c r="B126" t="s">
        <v>17</v>
      </c>
      <c r="C126" s="1">
        <v>45608</v>
      </c>
      <c r="D126" t="s">
        <v>13</v>
      </c>
      <c r="E126">
        <v>2.5</v>
      </c>
      <c r="F126" s="2">
        <v>0.54054054054054002</v>
      </c>
      <c r="G126" s="2">
        <v>0.456479481779347</v>
      </c>
      <c r="H126" s="2">
        <v>0.49370810026482598</v>
      </c>
      <c r="I126" s="2">
        <v>0.4375</v>
      </c>
      <c r="J126" s="2">
        <v>0.46757679180887302</v>
      </c>
      <c r="K126" s="2">
        <v>-2.5482357208844199E-2</v>
      </c>
      <c r="L126" s="2"/>
      <c r="M126" s="2" t="e">
        <f>(Table1[[#This Row],[poisson_likelihood]] - (1-Table1[[#This Row],[poisson_likelihood]])/(1/Table1[[#This Row],[365 implied]]-1))/4</f>
        <v>#DIV/0!</v>
      </c>
      <c r="N126" s="7" t="e">
        <f>Table1[[#This Row],[kelly/4 365]]*$U$2</f>
        <v>#DIV/0!</v>
      </c>
      <c r="O126" s="2"/>
      <c r="P126" s="2" t="e">
        <f>(Table1[[#This Row],[poisson_likelihood]] - (1-Table1[[#This Row],[poisson_likelihood]])/(1/Table1[[#This Row],[99/pinn implied]]-1))/4</f>
        <v>#DIV/0!</v>
      </c>
      <c r="Q126" s="7" t="e">
        <f>Table1[[#This Row],[kelly/4 99]]*$U$2</f>
        <v>#DIV/0!</v>
      </c>
      <c r="R126" s="2"/>
      <c r="S1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7" spans="1:19" x14ac:dyDescent="0.2">
      <c r="A127">
        <v>5619</v>
      </c>
      <c r="B127" t="s">
        <v>97</v>
      </c>
      <c r="C127" s="1">
        <v>45608</v>
      </c>
      <c r="D127" t="s">
        <v>12</v>
      </c>
      <c r="E127">
        <v>1.5</v>
      </c>
      <c r="F127" s="2">
        <v>0.61728395061728303</v>
      </c>
      <c r="G127" s="2">
        <v>0.61846440029911298</v>
      </c>
      <c r="H127" s="2">
        <v>0.57639416444317304</v>
      </c>
      <c r="I127" s="2">
        <v>0.57432432432432401</v>
      </c>
      <c r="J127" s="2">
        <v>0.55200000000000005</v>
      </c>
      <c r="K127" s="2">
        <v>-2.6710263549216899E-2</v>
      </c>
      <c r="L127" s="2"/>
      <c r="M127" s="2" t="e">
        <f>(Table1[[#This Row],[poisson_likelihood]] - (1-Table1[[#This Row],[poisson_likelihood]])/(1/Table1[[#This Row],[365 implied]]-1))/4</f>
        <v>#DIV/0!</v>
      </c>
      <c r="N127" s="7" t="e">
        <f>Table1[[#This Row],[kelly/4 365]]*$U$2</f>
        <v>#DIV/0!</v>
      </c>
      <c r="O127" s="2"/>
      <c r="P127" s="2" t="e">
        <f>(Table1[[#This Row],[poisson_likelihood]] - (1-Table1[[#This Row],[poisson_likelihood]])/(1/Table1[[#This Row],[99/pinn implied]]-1))/4</f>
        <v>#DIV/0!</v>
      </c>
      <c r="Q127" s="7" t="e">
        <f>Table1[[#This Row],[kelly/4 99]]*$U$2</f>
        <v>#DIV/0!</v>
      </c>
      <c r="R127" s="2"/>
      <c r="S1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8" spans="1:19" x14ac:dyDescent="0.2">
      <c r="A128">
        <v>5546</v>
      </c>
      <c r="B128" t="s">
        <v>60</v>
      </c>
      <c r="C128" s="1">
        <v>45608</v>
      </c>
      <c r="D128" t="s">
        <v>13</v>
      </c>
      <c r="E128">
        <v>2.5</v>
      </c>
      <c r="F128" s="2">
        <v>0.66225165562913901</v>
      </c>
      <c r="G128" s="2">
        <v>0.57977921073266203</v>
      </c>
      <c r="H128" s="2">
        <v>0.626067414485589</v>
      </c>
      <c r="I128" s="2">
        <v>0.61403508771929804</v>
      </c>
      <c r="J128" s="2">
        <v>0.63888888888888795</v>
      </c>
      <c r="K128" s="2">
        <v>-2.6783433395470301E-2</v>
      </c>
      <c r="L128" s="2"/>
      <c r="M128" s="2" t="e">
        <f>(Table1[[#This Row],[poisson_likelihood]] - (1-Table1[[#This Row],[poisson_likelihood]])/(1/Table1[[#This Row],[365 implied]]-1))/4</f>
        <v>#DIV/0!</v>
      </c>
      <c r="N128" s="7" t="e">
        <f>Table1[[#This Row],[kelly/4 365]]*$U$2</f>
        <v>#DIV/0!</v>
      </c>
      <c r="O128" s="2"/>
      <c r="P128" s="2" t="e">
        <f>(Table1[[#This Row],[poisson_likelihood]] - (1-Table1[[#This Row],[poisson_likelihood]])/(1/Table1[[#This Row],[99/pinn implied]]-1))/4</f>
        <v>#DIV/0!</v>
      </c>
      <c r="Q128" s="7" t="e">
        <f>Table1[[#This Row],[kelly/4 99]]*$U$2</f>
        <v>#DIV/0!</v>
      </c>
      <c r="R128" s="2"/>
      <c r="S1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9" spans="1:19" x14ac:dyDescent="0.2">
      <c r="A129">
        <v>5486</v>
      </c>
      <c r="B129" t="s">
        <v>30</v>
      </c>
      <c r="C129" s="1">
        <v>45608</v>
      </c>
      <c r="D129" t="s">
        <v>13</v>
      </c>
      <c r="E129">
        <v>3.5</v>
      </c>
      <c r="F129" s="2">
        <v>0.434782608695652</v>
      </c>
      <c r="G129" s="2">
        <v>0.36085467713597003</v>
      </c>
      <c r="H129" s="2">
        <v>0.373399806157516</v>
      </c>
      <c r="I129" s="2">
        <v>0.35028248587570598</v>
      </c>
      <c r="J129" s="2">
        <v>0.35472972972972899</v>
      </c>
      <c r="K129" s="2">
        <v>-2.7150085738021499E-2</v>
      </c>
      <c r="L129" s="2"/>
      <c r="M129" s="2" t="e">
        <f>(Table1[[#This Row],[poisson_likelihood]] - (1-Table1[[#This Row],[poisson_likelihood]])/(1/Table1[[#This Row],[365 implied]]-1))/4</f>
        <v>#DIV/0!</v>
      </c>
      <c r="N129" s="7" t="e">
        <f>Table1[[#This Row],[kelly/4 365]]*$U$2</f>
        <v>#DIV/0!</v>
      </c>
      <c r="O129" s="2"/>
      <c r="P129" s="2" t="e">
        <f>(Table1[[#This Row],[poisson_likelihood]] - (1-Table1[[#This Row],[poisson_likelihood]])/(1/Table1[[#This Row],[99/pinn implied]]-1))/4</f>
        <v>#DIV/0!</v>
      </c>
      <c r="Q129" s="7" t="e">
        <f>Table1[[#This Row],[kelly/4 99]]*$U$2</f>
        <v>#DIV/0!</v>
      </c>
      <c r="R129" s="2"/>
      <c r="S1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0" spans="1:19" x14ac:dyDescent="0.2">
      <c r="A130">
        <v>5453</v>
      </c>
      <c r="B130" t="s">
        <v>14</v>
      </c>
      <c r="C130" s="1">
        <v>45608</v>
      </c>
      <c r="D130" t="s">
        <v>12</v>
      </c>
      <c r="E130">
        <v>2.5</v>
      </c>
      <c r="F130" s="2">
        <v>0.44247787610619399</v>
      </c>
      <c r="G130" s="2">
        <v>0.42557142845985502</v>
      </c>
      <c r="H130" s="2">
        <v>0.38111433352393298</v>
      </c>
      <c r="I130" s="2">
        <v>0.38636363636363602</v>
      </c>
      <c r="J130" s="2">
        <v>0.41836734693877498</v>
      </c>
      <c r="K130" s="2">
        <v>-2.7516191713474102E-2</v>
      </c>
      <c r="L130" s="2"/>
      <c r="M130" s="2" t="e">
        <f>(Table1[[#This Row],[poisson_likelihood]] - (1-Table1[[#This Row],[poisson_likelihood]])/(1/Table1[[#This Row],[365 implied]]-1))/4</f>
        <v>#DIV/0!</v>
      </c>
      <c r="N130" s="7" t="e">
        <f>Table1[[#This Row],[kelly/4 365]]*$U$2</f>
        <v>#DIV/0!</v>
      </c>
      <c r="O130" s="2"/>
      <c r="P130" s="2" t="e">
        <f>(Table1[[#This Row],[poisson_likelihood]] - (1-Table1[[#This Row],[poisson_likelihood]])/(1/Table1[[#This Row],[99/pinn implied]]-1))/4</f>
        <v>#DIV/0!</v>
      </c>
      <c r="Q130" s="7" t="e">
        <f>Table1[[#This Row],[kelly/4 99]]*$U$2</f>
        <v>#DIV/0!</v>
      </c>
      <c r="R130" s="2"/>
      <c r="S1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1" spans="1:19" x14ac:dyDescent="0.2">
      <c r="A131">
        <v>5561</v>
      </c>
      <c r="B131" t="s">
        <v>68</v>
      </c>
      <c r="C131" s="1">
        <v>45608</v>
      </c>
      <c r="D131" t="s">
        <v>12</v>
      </c>
      <c r="E131">
        <v>2.5</v>
      </c>
      <c r="F131" s="2">
        <v>0.52356020942408299</v>
      </c>
      <c r="G131" s="2">
        <v>0.51285473571450002</v>
      </c>
      <c r="H131" s="2">
        <v>0.471076100463445</v>
      </c>
      <c r="I131" s="2">
        <v>0.45394736842105199</v>
      </c>
      <c r="J131" s="2">
        <v>0.467153284671532</v>
      </c>
      <c r="K131" s="2">
        <v>-2.7539738493082201E-2</v>
      </c>
      <c r="L131" s="2"/>
      <c r="M131" s="2" t="e">
        <f>(Table1[[#This Row],[poisson_likelihood]] - (1-Table1[[#This Row],[poisson_likelihood]])/(1/Table1[[#This Row],[365 implied]]-1))/4</f>
        <v>#DIV/0!</v>
      </c>
      <c r="N131" s="7" t="e">
        <f>Table1[[#This Row],[kelly/4 365]]*$U$2</f>
        <v>#DIV/0!</v>
      </c>
      <c r="O131" s="2"/>
      <c r="P131" s="2" t="e">
        <f>(Table1[[#This Row],[poisson_likelihood]] - (1-Table1[[#This Row],[poisson_likelihood]])/(1/Table1[[#This Row],[99/pinn implied]]-1))/4</f>
        <v>#DIV/0!</v>
      </c>
      <c r="Q131" s="7" t="e">
        <f>Table1[[#This Row],[kelly/4 99]]*$U$2</f>
        <v>#DIV/0!</v>
      </c>
      <c r="R131" s="2"/>
      <c r="S1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2" spans="1:19" x14ac:dyDescent="0.2">
      <c r="A132">
        <v>5516</v>
      </c>
      <c r="B132" t="s">
        <v>45</v>
      </c>
      <c r="C132" s="1">
        <v>45608</v>
      </c>
      <c r="D132" t="s">
        <v>13</v>
      </c>
      <c r="E132">
        <v>1.5</v>
      </c>
      <c r="F132" s="2">
        <v>0.42372881355932202</v>
      </c>
      <c r="G132" s="2">
        <v>0.32434426197870297</v>
      </c>
      <c r="H132" s="2">
        <v>0.35870912010848299</v>
      </c>
      <c r="I132" s="2">
        <v>0.39759036144578302</v>
      </c>
      <c r="J132" s="2">
        <v>0.39436619718309801</v>
      </c>
      <c r="K132" s="2">
        <v>-2.8207072894113901E-2</v>
      </c>
      <c r="L132" s="2"/>
      <c r="M132" s="2" t="e">
        <f>(Table1[[#This Row],[poisson_likelihood]] - (1-Table1[[#This Row],[poisson_likelihood]])/(1/Table1[[#This Row],[365 implied]]-1))/4</f>
        <v>#DIV/0!</v>
      </c>
      <c r="N132" s="7" t="e">
        <f>Table1[[#This Row],[kelly/4 365]]*$U$2</f>
        <v>#DIV/0!</v>
      </c>
      <c r="O132" s="2"/>
      <c r="P132" s="2" t="e">
        <f>(Table1[[#This Row],[poisson_likelihood]] - (1-Table1[[#This Row],[poisson_likelihood]])/(1/Table1[[#This Row],[99/pinn implied]]-1))/4</f>
        <v>#DIV/0!</v>
      </c>
      <c r="Q132" s="7" t="e">
        <f>Table1[[#This Row],[kelly/4 99]]*$U$2</f>
        <v>#DIV/0!</v>
      </c>
      <c r="R132" s="2"/>
      <c r="S1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3" spans="1:19" x14ac:dyDescent="0.2">
      <c r="A133">
        <v>5510</v>
      </c>
      <c r="B133" t="s">
        <v>42</v>
      </c>
      <c r="C133" s="1">
        <v>45608</v>
      </c>
      <c r="D133" t="s">
        <v>13</v>
      </c>
      <c r="E133">
        <v>1.5</v>
      </c>
      <c r="F133" s="2">
        <v>0.434782608695652</v>
      </c>
      <c r="G133" s="2">
        <v>0.340774165268311</v>
      </c>
      <c r="H133" s="2">
        <v>0.36969232529193902</v>
      </c>
      <c r="I133" s="2">
        <v>0.34659090909090901</v>
      </c>
      <c r="J133" s="2">
        <v>0.37288135593220301</v>
      </c>
      <c r="K133" s="2">
        <v>-2.8789933043949601E-2</v>
      </c>
      <c r="L133" s="2"/>
      <c r="M133" s="2" t="e">
        <f>(Table1[[#This Row],[poisson_likelihood]] - (1-Table1[[#This Row],[poisson_likelihood]])/(1/Table1[[#This Row],[365 implied]]-1))/4</f>
        <v>#DIV/0!</v>
      </c>
      <c r="N133" s="7" t="e">
        <f>Table1[[#This Row],[kelly/4 365]]*$U$2</f>
        <v>#DIV/0!</v>
      </c>
      <c r="O133" s="2"/>
      <c r="P133" s="2" t="e">
        <f>(Table1[[#This Row],[poisson_likelihood]] - (1-Table1[[#This Row],[poisson_likelihood]])/(1/Table1[[#This Row],[99/pinn implied]]-1))/4</f>
        <v>#DIV/0!</v>
      </c>
      <c r="Q133" s="7" t="e">
        <f>Table1[[#This Row],[kelly/4 99]]*$U$2</f>
        <v>#DIV/0!</v>
      </c>
      <c r="R133" s="2"/>
      <c r="S1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4" spans="1:19" x14ac:dyDescent="0.2">
      <c r="A134">
        <v>5571</v>
      </c>
      <c r="B134" t="s">
        <v>73</v>
      </c>
      <c r="C134" s="1">
        <v>45608</v>
      </c>
      <c r="D134" t="s">
        <v>12</v>
      </c>
      <c r="E134">
        <v>2.5</v>
      </c>
      <c r="F134" s="2">
        <v>0.434782608695652</v>
      </c>
      <c r="G134" s="2">
        <v>0.41011071622010098</v>
      </c>
      <c r="H134" s="2">
        <v>0.36602441658384399</v>
      </c>
      <c r="I134" s="2">
        <v>0.331395348837209</v>
      </c>
      <c r="J134" s="2">
        <v>0.35051546391752503</v>
      </c>
      <c r="K134" s="2">
        <v>-3.04122772802226E-2</v>
      </c>
      <c r="L134" s="2"/>
      <c r="M134" s="2" t="e">
        <f>(Table1[[#This Row],[poisson_likelihood]] - (1-Table1[[#This Row],[poisson_likelihood]])/(1/Table1[[#This Row],[365 implied]]-1))/4</f>
        <v>#DIV/0!</v>
      </c>
      <c r="N134" s="7" t="e">
        <f>Table1[[#This Row],[kelly/4 365]]*$U$2</f>
        <v>#DIV/0!</v>
      </c>
      <c r="O134" s="2"/>
      <c r="P134" s="2" t="e">
        <f>(Table1[[#This Row],[poisson_likelihood]] - (1-Table1[[#This Row],[poisson_likelihood]])/(1/Table1[[#This Row],[99/pinn implied]]-1))/4</f>
        <v>#DIV/0!</v>
      </c>
      <c r="Q134" s="7" t="e">
        <f>Table1[[#This Row],[kelly/4 99]]*$U$2</f>
        <v>#DIV/0!</v>
      </c>
      <c r="R134" s="2"/>
      <c r="S1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5" spans="1:19" x14ac:dyDescent="0.2">
      <c r="A135">
        <v>5591</v>
      </c>
      <c r="B135" t="s">
        <v>83</v>
      </c>
      <c r="C135" s="1">
        <v>45608</v>
      </c>
      <c r="D135" t="s">
        <v>12</v>
      </c>
      <c r="E135">
        <v>2.5</v>
      </c>
      <c r="F135" s="2">
        <v>0.49504950495049499</v>
      </c>
      <c r="G135" s="2">
        <v>0.47412191907908702</v>
      </c>
      <c r="H135" s="2">
        <v>0.432258466822382</v>
      </c>
      <c r="I135" s="2">
        <v>0.48</v>
      </c>
      <c r="J135" s="2">
        <v>0.44178082191780799</v>
      </c>
      <c r="K135" s="2">
        <v>-3.1087719857545899E-2</v>
      </c>
      <c r="L135" s="2"/>
      <c r="M135" s="2" t="e">
        <f>(Table1[[#This Row],[poisson_likelihood]] - (1-Table1[[#This Row],[poisson_likelihood]])/(1/Table1[[#This Row],[365 implied]]-1))/4</f>
        <v>#DIV/0!</v>
      </c>
      <c r="N135" s="7" t="e">
        <f>Table1[[#This Row],[kelly/4 365]]*$U$2</f>
        <v>#DIV/0!</v>
      </c>
      <c r="O135" s="2"/>
      <c r="P135" s="2" t="e">
        <f>(Table1[[#This Row],[poisson_likelihood]] - (1-Table1[[#This Row],[poisson_likelihood]])/(1/Table1[[#This Row],[99/pinn implied]]-1))/4</f>
        <v>#DIV/0!</v>
      </c>
      <c r="Q135" s="7" t="e">
        <f>Table1[[#This Row],[kelly/4 99]]*$U$2</f>
        <v>#DIV/0!</v>
      </c>
      <c r="R135" s="2"/>
      <c r="S1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6" spans="1:19" x14ac:dyDescent="0.2">
      <c r="A136">
        <v>5463</v>
      </c>
      <c r="B136" t="s">
        <v>19</v>
      </c>
      <c r="C136" s="1">
        <v>45608</v>
      </c>
      <c r="D136" t="s">
        <v>12</v>
      </c>
      <c r="E136">
        <v>3.5</v>
      </c>
      <c r="F136" s="2">
        <v>0.49019607843137197</v>
      </c>
      <c r="G136" s="2">
        <v>0.46399646578589698</v>
      </c>
      <c r="H136" s="2">
        <v>0.42377694190724602</v>
      </c>
      <c r="I136" s="2">
        <v>0.38418079096045199</v>
      </c>
      <c r="J136" s="2">
        <v>0.42711864406779598</v>
      </c>
      <c r="K136" s="2">
        <v>-3.2570922718561698E-2</v>
      </c>
      <c r="L136" s="2"/>
      <c r="M136" s="2" t="e">
        <f>(Table1[[#This Row],[poisson_likelihood]] - (1-Table1[[#This Row],[poisson_likelihood]])/(1/Table1[[#This Row],[365 implied]]-1))/4</f>
        <v>#DIV/0!</v>
      </c>
      <c r="N136" s="7" t="e">
        <f>Table1[[#This Row],[kelly/4 365]]*$U$2</f>
        <v>#DIV/0!</v>
      </c>
      <c r="O136" s="2"/>
      <c r="P136" s="2" t="e">
        <f>(Table1[[#This Row],[poisson_likelihood]] - (1-Table1[[#This Row],[poisson_likelihood]])/(1/Table1[[#This Row],[99/pinn implied]]-1))/4</f>
        <v>#DIV/0!</v>
      </c>
      <c r="Q136" s="7" t="e">
        <f>Table1[[#This Row],[kelly/4 99]]*$U$2</f>
        <v>#DIV/0!</v>
      </c>
      <c r="R136" s="2"/>
      <c r="S1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7" spans="1:19" x14ac:dyDescent="0.2">
      <c r="A137">
        <v>5522</v>
      </c>
      <c r="B137" t="s">
        <v>48</v>
      </c>
      <c r="C137" s="1">
        <v>45608</v>
      </c>
      <c r="D137" t="s">
        <v>13</v>
      </c>
      <c r="E137">
        <v>3.5</v>
      </c>
      <c r="F137" s="2">
        <v>0.60606060606060597</v>
      </c>
      <c r="G137" s="2">
        <v>0.51764658877699798</v>
      </c>
      <c r="H137" s="2">
        <v>0.55395963682120197</v>
      </c>
      <c r="I137" s="2">
        <v>0.52906976744185996</v>
      </c>
      <c r="J137" s="2">
        <v>0.53125</v>
      </c>
      <c r="K137" s="2">
        <v>-3.3064076632698197E-2</v>
      </c>
      <c r="L137" s="2"/>
      <c r="M137" s="2" t="e">
        <f>(Table1[[#This Row],[poisson_likelihood]] - (1-Table1[[#This Row],[poisson_likelihood]])/(1/Table1[[#This Row],[365 implied]]-1))/4</f>
        <v>#DIV/0!</v>
      </c>
      <c r="N137" s="7" t="e">
        <f>Table1[[#This Row],[kelly/4 365]]*$U$2</f>
        <v>#DIV/0!</v>
      </c>
      <c r="O137" s="2"/>
      <c r="P137" s="2" t="e">
        <f>(Table1[[#This Row],[poisson_likelihood]] - (1-Table1[[#This Row],[poisson_likelihood]])/(1/Table1[[#This Row],[99/pinn implied]]-1))/4</f>
        <v>#DIV/0!</v>
      </c>
      <c r="Q137" s="7" t="e">
        <f>Table1[[#This Row],[kelly/4 99]]*$U$2</f>
        <v>#DIV/0!</v>
      </c>
      <c r="R137" s="2"/>
      <c r="S1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8" spans="1:19" x14ac:dyDescent="0.2">
      <c r="A138">
        <v>5468</v>
      </c>
      <c r="B138" t="s">
        <v>21</v>
      </c>
      <c r="C138" s="1">
        <v>45608</v>
      </c>
      <c r="D138" t="s">
        <v>13</v>
      </c>
      <c r="E138">
        <v>2.5</v>
      </c>
      <c r="F138" s="2">
        <v>0.51020408163265296</v>
      </c>
      <c r="G138" s="2">
        <v>0.40422145212098798</v>
      </c>
      <c r="H138" s="2">
        <v>0.44501295881767</v>
      </c>
      <c r="I138" s="2">
        <v>0.48850574712643602</v>
      </c>
      <c r="J138" s="2">
        <v>0.48972602739726001</v>
      </c>
      <c r="K138" s="2">
        <v>-3.3274635603480401E-2</v>
      </c>
      <c r="L138" s="2"/>
      <c r="M138" s="2" t="e">
        <f>(Table1[[#This Row],[poisson_likelihood]] - (1-Table1[[#This Row],[poisson_likelihood]])/(1/Table1[[#This Row],[365 implied]]-1))/4</f>
        <v>#DIV/0!</v>
      </c>
      <c r="N138" s="7" t="e">
        <f>Table1[[#This Row],[kelly/4 365]]*$U$2</f>
        <v>#DIV/0!</v>
      </c>
      <c r="O138" s="2"/>
      <c r="P138" s="2" t="e">
        <f>(Table1[[#This Row],[poisson_likelihood]] - (1-Table1[[#This Row],[poisson_likelihood]])/(1/Table1[[#This Row],[99/pinn implied]]-1))/4</f>
        <v>#DIV/0!</v>
      </c>
      <c r="Q138" s="7" t="e">
        <f>Table1[[#This Row],[kelly/4 99]]*$U$2</f>
        <v>#DIV/0!</v>
      </c>
      <c r="R138" s="2"/>
      <c r="S1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9" spans="1:19" x14ac:dyDescent="0.2">
      <c r="A139">
        <v>5455</v>
      </c>
      <c r="B139" t="s">
        <v>15</v>
      </c>
      <c r="C139" s="1">
        <v>45608</v>
      </c>
      <c r="D139" t="s">
        <v>12</v>
      </c>
      <c r="E139">
        <v>2.5</v>
      </c>
      <c r="F139" s="2">
        <v>0.54347826086956497</v>
      </c>
      <c r="G139" s="2">
        <v>0.52524252327474996</v>
      </c>
      <c r="H139" s="2">
        <v>0.48242108977820702</v>
      </c>
      <c r="I139" s="2">
        <v>0.468926553672316</v>
      </c>
      <c r="J139" s="2">
        <v>0.46779661016949098</v>
      </c>
      <c r="K139" s="2">
        <v>-3.3436069883362597E-2</v>
      </c>
      <c r="L139" s="2"/>
      <c r="M139" s="2" t="e">
        <f>(Table1[[#This Row],[poisson_likelihood]] - (1-Table1[[#This Row],[poisson_likelihood]])/(1/Table1[[#This Row],[365 implied]]-1))/4</f>
        <v>#DIV/0!</v>
      </c>
      <c r="N139" s="7" t="e">
        <f>Table1[[#This Row],[kelly/4 365]]*$U$2</f>
        <v>#DIV/0!</v>
      </c>
      <c r="O139" s="2"/>
      <c r="P139" s="2" t="e">
        <f>(Table1[[#This Row],[poisson_likelihood]] - (1-Table1[[#This Row],[poisson_likelihood]])/(1/Table1[[#This Row],[99/pinn implied]]-1))/4</f>
        <v>#DIV/0!</v>
      </c>
      <c r="Q139" s="7" t="e">
        <f>Table1[[#This Row],[kelly/4 99]]*$U$2</f>
        <v>#DIV/0!</v>
      </c>
      <c r="R139" s="2"/>
      <c r="S1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0" spans="1:19" x14ac:dyDescent="0.2">
      <c r="A140">
        <v>5472</v>
      </c>
      <c r="B140" t="s">
        <v>23</v>
      </c>
      <c r="C140" s="1">
        <v>45608</v>
      </c>
      <c r="D140" t="s">
        <v>13</v>
      </c>
      <c r="E140">
        <v>2.5</v>
      </c>
      <c r="F140" s="2">
        <v>0.61728395061728303</v>
      </c>
      <c r="G140" s="2">
        <v>0.52304598806838998</v>
      </c>
      <c r="H140" s="2">
        <v>0.56460146639970898</v>
      </c>
      <c r="I140" s="2">
        <v>0.58762886597938102</v>
      </c>
      <c r="J140" s="2">
        <v>0.55944055944055904</v>
      </c>
      <c r="K140" s="2">
        <v>-3.4413558238899702E-2</v>
      </c>
      <c r="L140" s="2"/>
      <c r="M140" s="2" t="e">
        <f>(Table1[[#This Row],[poisson_likelihood]] - (1-Table1[[#This Row],[poisson_likelihood]])/(1/Table1[[#This Row],[365 implied]]-1))/4</f>
        <v>#DIV/0!</v>
      </c>
      <c r="N140" s="7" t="e">
        <f>Table1[[#This Row],[kelly/4 365]]*$U$2</f>
        <v>#DIV/0!</v>
      </c>
      <c r="O140" s="2"/>
      <c r="P140" s="2" t="e">
        <f>(Table1[[#This Row],[poisson_likelihood]] - (1-Table1[[#This Row],[poisson_likelihood]])/(1/Table1[[#This Row],[99/pinn implied]]-1))/4</f>
        <v>#DIV/0!</v>
      </c>
      <c r="Q140" s="7" t="e">
        <f>Table1[[#This Row],[kelly/4 99]]*$U$2</f>
        <v>#DIV/0!</v>
      </c>
      <c r="R140" s="2"/>
      <c r="S1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1" spans="1:19" x14ac:dyDescent="0.2">
      <c r="A141">
        <v>5570</v>
      </c>
      <c r="B141" t="s">
        <v>72</v>
      </c>
      <c r="C141" s="1">
        <v>45608</v>
      </c>
      <c r="D141" t="s">
        <v>13</v>
      </c>
      <c r="E141">
        <v>2.5</v>
      </c>
      <c r="F141" s="2">
        <v>0.59523809523809501</v>
      </c>
      <c r="G141" s="2">
        <v>0.49407594794481102</v>
      </c>
      <c r="H141" s="2">
        <v>0.53721913066258398</v>
      </c>
      <c r="I141" s="2">
        <v>0.55813953488372003</v>
      </c>
      <c r="J141" s="2">
        <v>0.54295532646048095</v>
      </c>
      <c r="K141" s="2">
        <v>-3.5835242826051002E-2</v>
      </c>
      <c r="L141" s="2"/>
      <c r="M141" s="2" t="e">
        <f>(Table1[[#This Row],[poisson_likelihood]] - (1-Table1[[#This Row],[poisson_likelihood]])/(1/Table1[[#This Row],[365 implied]]-1))/4</f>
        <v>#DIV/0!</v>
      </c>
      <c r="N141" s="7" t="e">
        <f>Table1[[#This Row],[kelly/4 365]]*$U$2</f>
        <v>#DIV/0!</v>
      </c>
      <c r="O141" s="2"/>
      <c r="P141" s="2" t="e">
        <f>(Table1[[#This Row],[poisson_likelihood]] - (1-Table1[[#This Row],[poisson_likelihood]])/(1/Table1[[#This Row],[99/pinn implied]]-1))/4</f>
        <v>#DIV/0!</v>
      </c>
      <c r="Q141" s="7" t="e">
        <f>Table1[[#This Row],[kelly/4 99]]*$U$2</f>
        <v>#DIV/0!</v>
      </c>
      <c r="R141" s="2"/>
      <c r="S1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2" spans="1:19" x14ac:dyDescent="0.2">
      <c r="A142">
        <v>5623</v>
      </c>
      <c r="B142" t="s">
        <v>99</v>
      </c>
      <c r="C142" s="1">
        <v>45608</v>
      </c>
      <c r="D142" t="s">
        <v>12</v>
      </c>
      <c r="E142">
        <v>2.5</v>
      </c>
      <c r="F142" s="2">
        <v>0.42372881355932202</v>
      </c>
      <c r="G142" s="2">
        <v>0.372881479425899</v>
      </c>
      <c r="H142" s="2">
        <v>0.34086954915326101</v>
      </c>
      <c r="I142" s="2">
        <v>0.35428571428571398</v>
      </c>
      <c r="J142" s="2">
        <v>0.34470989761092102</v>
      </c>
      <c r="K142" s="2">
        <v>-3.59462985290998E-2</v>
      </c>
      <c r="L142" s="2"/>
      <c r="M142" s="2" t="e">
        <f>(Table1[[#This Row],[poisson_likelihood]] - (1-Table1[[#This Row],[poisson_likelihood]])/(1/Table1[[#This Row],[365 implied]]-1))/4</f>
        <v>#DIV/0!</v>
      </c>
      <c r="N142" s="7" t="e">
        <f>Table1[[#This Row],[kelly/4 365]]*$U$2</f>
        <v>#DIV/0!</v>
      </c>
      <c r="O142" s="2"/>
      <c r="P142" s="2" t="e">
        <f>(Table1[[#This Row],[poisson_likelihood]] - (1-Table1[[#This Row],[poisson_likelihood]])/(1/Table1[[#This Row],[99/pinn implied]]-1))/4</f>
        <v>#DIV/0!</v>
      </c>
      <c r="Q142" s="7" t="e">
        <f>Table1[[#This Row],[kelly/4 99]]*$U$2</f>
        <v>#DIV/0!</v>
      </c>
      <c r="R142" s="2"/>
      <c r="S1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3" spans="1:19" x14ac:dyDescent="0.2">
      <c r="A143">
        <v>5597</v>
      </c>
      <c r="B143" t="s">
        <v>86</v>
      </c>
      <c r="C143" s="1">
        <v>45608</v>
      </c>
      <c r="D143" t="s">
        <v>12</v>
      </c>
      <c r="E143">
        <v>2.5</v>
      </c>
      <c r="F143" s="2">
        <v>0.48780487804877998</v>
      </c>
      <c r="G143" s="2">
        <v>0.45897935988144301</v>
      </c>
      <c r="H143" s="2">
        <v>0.41190943780247602</v>
      </c>
      <c r="I143" s="2">
        <v>0.37988826815642401</v>
      </c>
      <c r="J143" s="2">
        <v>0.38283828382838198</v>
      </c>
      <c r="K143" s="2">
        <v>-3.7044202977362599E-2</v>
      </c>
      <c r="L143" s="2"/>
      <c r="M143" s="2" t="e">
        <f>(Table1[[#This Row],[poisson_likelihood]] - (1-Table1[[#This Row],[poisson_likelihood]])/(1/Table1[[#This Row],[365 implied]]-1))/4</f>
        <v>#DIV/0!</v>
      </c>
      <c r="N143" s="7" t="e">
        <f>Table1[[#This Row],[kelly/4 365]]*$U$2</f>
        <v>#DIV/0!</v>
      </c>
      <c r="O143" s="2"/>
      <c r="P143" s="2" t="e">
        <f>(Table1[[#This Row],[poisson_likelihood]] - (1-Table1[[#This Row],[poisson_likelihood]])/(1/Table1[[#This Row],[99/pinn implied]]-1))/4</f>
        <v>#DIV/0!</v>
      </c>
      <c r="Q143" s="7" t="e">
        <f>Table1[[#This Row],[kelly/4 99]]*$U$2</f>
        <v>#DIV/0!</v>
      </c>
      <c r="R143" s="2"/>
      <c r="S1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4" spans="1:19" x14ac:dyDescent="0.2">
      <c r="A144">
        <v>5635</v>
      </c>
      <c r="B144" t="s">
        <v>105</v>
      </c>
      <c r="C144" s="1">
        <v>45608</v>
      </c>
      <c r="D144" t="s">
        <v>12</v>
      </c>
      <c r="E144">
        <v>3.5</v>
      </c>
      <c r="F144" s="2">
        <v>0.46511627906976699</v>
      </c>
      <c r="G144" s="2">
        <v>0.42398295097586902</v>
      </c>
      <c r="H144" s="2">
        <v>0.38551667278750301</v>
      </c>
      <c r="I144" s="2">
        <v>0.34020618556700999</v>
      </c>
      <c r="J144" s="2">
        <v>0.35609756097560902</v>
      </c>
      <c r="K144" s="2">
        <v>-3.7204163805840497E-2</v>
      </c>
      <c r="L144" s="2"/>
      <c r="M144" s="2" t="e">
        <f>(Table1[[#This Row],[poisson_likelihood]] - (1-Table1[[#This Row],[poisson_likelihood]])/(1/Table1[[#This Row],[365 implied]]-1))/4</f>
        <v>#DIV/0!</v>
      </c>
      <c r="N144" s="7" t="e">
        <f>Table1[[#This Row],[kelly/4 365]]*$U$2</f>
        <v>#DIV/0!</v>
      </c>
      <c r="O144" s="2"/>
      <c r="P144" s="2" t="e">
        <f>(Table1[[#This Row],[poisson_likelihood]] - (1-Table1[[#This Row],[poisson_likelihood]])/(1/Table1[[#This Row],[99/pinn implied]]-1))/4</f>
        <v>#DIV/0!</v>
      </c>
      <c r="Q144" s="7" t="e">
        <f>Table1[[#This Row],[kelly/4 99]]*$U$2</f>
        <v>#DIV/0!</v>
      </c>
      <c r="R144" s="2"/>
      <c r="S1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5" spans="1:19" x14ac:dyDescent="0.2">
      <c r="A145">
        <v>5533</v>
      </c>
      <c r="B145" t="s">
        <v>54</v>
      </c>
      <c r="C145" s="1">
        <v>45608</v>
      </c>
      <c r="D145" t="s">
        <v>12</v>
      </c>
      <c r="E145">
        <v>2.5</v>
      </c>
      <c r="F145" s="2">
        <v>0.55555555555555503</v>
      </c>
      <c r="G145" s="2">
        <v>0.53114515180247401</v>
      </c>
      <c r="H145" s="2">
        <v>0.48920216904219499</v>
      </c>
      <c r="I145" s="2">
        <v>0.46783625730994099</v>
      </c>
      <c r="J145" s="2">
        <v>0.49491525423728799</v>
      </c>
      <c r="K145" s="2">
        <v>-3.7323779913765197E-2</v>
      </c>
      <c r="L145" s="2"/>
      <c r="M145" s="2" t="e">
        <f>(Table1[[#This Row],[poisson_likelihood]] - (1-Table1[[#This Row],[poisson_likelihood]])/(1/Table1[[#This Row],[365 implied]]-1))/4</f>
        <v>#DIV/0!</v>
      </c>
      <c r="N145" s="7" t="e">
        <f>Table1[[#This Row],[kelly/4 365]]*$U$2</f>
        <v>#DIV/0!</v>
      </c>
      <c r="O145" s="2"/>
      <c r="P145" s="2" t="e">
        <f>(Table1[[#This Row],[poisson_likelihood]] - (1-Table1[[#This Row],[poisson_likelihood]])/(1/Table1[[#This Row],[99/pinn implied]]-1))/4</f>
        <v>#DIV/0!</v>
      </c>
      <c r="Q145" s="7" t="e">
        <f>Table1[[#This Row],[kelly/4 99]]*$U$2</f>
        <v>#DIV/0!</v>
      </c>
      <c r="R145" s="2"/>
      <c r="S1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6" spans="1:19" x14ac:dyDescent="0.2">
      <c r="A146">
        <v>5555</v>
      </c>
      <c r="B146" t="s">
        <v>65</v>
      </c>
      <c r="C146" s="1">
        <v>45608</v>
      </c>
      <c r="D146" t="s">
        <v>12</v>
      </c>
      <c r="E146">
        <v>1.5</v>
      </c>
      <c r="F146" s="2">
        <v>0.61728395061728303</v>
      </c>
      <c r="G146" s="2">
        <v>0.61155369588364195</v>
      </c>
      <c r="H146" s="2">
        <v>0.55910447032082999</v>
      </c>
      <c r="I146" s="2">
        <v>0.53409090909090895</v>
      </c>
      <c r="J146" s="2">
        <v>0.56081081081080997</v>
      </c>
      <c r="K146" s="2">
        <v>-3.8004337935586399E-2</v>
      </c>
      <c r="L146" s="2"/>
      <c r="M146" s="2" t="e">
        <f>(Table1[[#This Row],[poisson_likelihood]] - (1-Table1[[#This Row],[poisson_likelihood]])/(1/Table1[[#This Row],[365 implied]]-1))/4</f>
        <v>#DIV/0!</v>
      </c>
      <c r="N146" s="7" t="e">
        <f>Table1[[#This Row],[kelly/4 365]]*$U$2</f>
        <v>#DIV/0!</v>
      </c>
      <c r="O146" s="2"/>
      <c r="P146" s="2" t="e">
        <f>(Table1[[#This Row],[poisson_likelihood]] - (1-Table1[[#This Row],[poisson_likelihood]])/(1/Table1[[#This Row],[99/pinn implied]]-1))/4</f>
        <v>#DIV/0!</v>
      </c>
      <c r="Q146" s="7" t="e">
        <f>Table1[[#This Row],[kelly/4 99]]*$U$2</f>
        <v>#DIV/0!</v>
      </c>
      <c r="R146" s="2"/>
      <c r="S1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7" spans="1:19" x14ac:dyDescent="0.2">
      <c r="A147">
        <v>5457</v>
      </c>
      <c r="B147" t="s">
        <v>16</v>
      </c>
      <c r="C147" s="1">
        <v>45608</v>
      </c>
      <c r="D147" t="s">
        <v>12</v>
      </c>
      <c r="E147">
        <v>2.5</v>
      </c>
      <c r="F147" s="2">
        <v>0.476190476190476</v>
      </c>
      <c r="G147" s="2">
        <v>0.44120321911722199</v>
      </c>
      <c r="H147" s="2">
        <v>0.39317630327647002</v>
      </c>
      <c r="I147" s="2">
        <v>0.42399999999999999</v>
      </c>
      <c r="J147" s="2">
        <v>0.46698113207547098</v>
      </c>
      <c r="K147" s="2">
        <v>-3.9620400708957303E-2</v>
      </c>
      <c r="L147" s="2"/>
      <c r="M147" s="2" t="e">
        <f>(Table1[[#This Row],[poisson_likelihood]] - (1-Table1[[#This Row],[poisson_likelihood]])/(1/Table1[[#This Row],[365 implied]]-1))/4</f>
        <v>#DIV/0!</v>
      </c>
      <c r="N147" s="7" t="e">
        <f>Table1[[#This Row],[kelly/4 365]]*$U$2</f>
        <v>#DIV/0!</v>
      </c>
      <c r="O147" s="2"/>
      <c r="P147" s="2" t="e">
        <f>(Table1[[#This Row],[poisson_likelihood]] - (1-Table1[[#This Row],[poisson_likelihood]])/(1/Table1[[#This Row],[99/pinn implied]]-1))/4</f>
        <v>#DIV/0!</v>
      </c>
      <c r="Q147" s="7" t="e">
        <f>Table1[[#This Row],[kelly/4 99]]*$U$2</f>
        <v>#DIV/0!</v>
      </c>
      <c r="R147" s="2"/>
      <c r="S1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8" spans="1:19" x14ac:dyDescent="0.2">
      <c r="A148">
        <v>5582</v>
      </c>
      <c r="B148" t="s">
        <v>78</v>
      </c>
      <c r="C148" s="1">
        <v>45608</v>
      </c>
      <c r="D148" t="s">
        <v>13</v>
      </c>
      <c r="E148">
        <v>3.5</v>
      </c>
      <c r="F148" s="2">
        <v>0.57471264367816</v>
      </c>
      <c r="G148" s="2">
        <v>0.47407545580018801</v>
      </c>
      <c r="H148" s="2">
        <v>0.50689686243360299</v>
      </c>
      <c r="I148" s="2">
        <v>0.48823529411764699</v>
      </c>
      <c r="J148" s="2">
        <v>0.52500000000000002</v>
      </c>
      <c r="K148" s="2">
        <v>-3.98646822180845E-2</v>
      </c>
      <c r="L148" s="2"/>
      <c r="M148" s="2" t="e">
        <f>(Table1[[#This Row],[poisson_likelihood]] - (1-Table1[[#This Row],[poisson_likelihood]])/(1/Table1[[#This Row],[365 implied]]-1))/4</f>
        <v>#DIV/0!</v>
      </c>
      <c r="N148" s="7" t="e">
        <f>Table1[[#This Row],[kelly/4 365]]*$U$2</f>
        <v>#DIV/0!</v>
      </c>
      <c r="O148" s="2"/>
      <c r="P148" s="2" t="e">
        <f>(Table1[[#This Row],[poisson_likelihood]] - (1-Table1[[#This Row],[poisson_likelihood]])/(1/Table1[[#This Row],[99/pinn implied]]-1))/4</f>
        <v>#DIV/0!</v>
      </c>
      <c r="Q148" s="7" t="e">
        <f>Table1[[#This Row],[kelly/4 99]]*$U$2</f>
        <v>#DIV/0!</v>
      </c>
      <c r="R148" s="2"/>
      <c r="S14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9" spans="1:19" x14ac:dyDescent="0.2">
      <c r="A149">
        <v>5595</v>
      </c>
      <c r="B149" t="s">
        <v>85</v>
      </c>
      <c r="C149" s="1">
        <v>45608</v>
      </c>
      <c r="D149" t="s">
        <v>12</v>
      </c>
      <c r="E149">
        <v>1.5</v>
      </c>
      <c r="F149" s="2">
        <v>0.57471264367816</v>
      </c>
      <c r="G149" s="2">
        <v>0.55827708134594101</v>
      </c>
      <c r="H149" s="2">
        <v>0.50644282003946095</v>
      </c>
      <c r="I149" s="2">
        <v>0.47727272727272702</v>
      </c>
      <c r="J149" s="2">
        <v>0.48160535117056802</v>
      </c>
      <c r="K149" s="2">
        <v>-4.01315855173437E-2</v>
      </c>
      <c r="L149" s="2"/>
      <c r="M149" s="2" t="e">
        <f>(Table1[[#This Row],[poisson_likelihood]] - (1-Table1[[#This Row],[poisson_likelihood]])/(1/Table1[[#This Row],[365 implied]]-1))/4</f>
        <v>#DIV/0!</v>
      </c>
      <c r="N149" s="7" t="e">
        <f>Table1[[#This Row],[kelly/4 365]]*$U$2</f>
        <v>#DIV/0!</v>
      </c>
      <c r="O149" s="2"/>
      <c r="P149" s="2" t="e">
        <f>(Table1[[#This Row],[poisson_likelihood]] - (1-Table1[[#This Row],[poisson_likelihood]])/(1/Table1[[#This Row],[99/pinn implied]]-1))/4</f>
        <v>#DIV/0!</v>
      </c>
      <c r="Q149" s="7" t="e">
        <f>Table1[[#This Row],[kelly/4 99]]*$U$2</f>
        <v>#DIV/0!</v>
      </c>
      <c r="R149" s="2"/>
      <c r="S14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0" spans="1:19" x14ac:dyDescent="0.2">
      <c r="A150">
        <v>5547</v>
      </c>
      <c r="B150" t="s">
        <v>61</v>
      </c>
      <c r="C150" s="1">
        <v>45608</v>
      </c>
      <c r="D150" t="s">
        <v>12</v>
      </c>
      <c r="E150">
        <v>1.5</v>
      </c>
      <c r="F150" s="2">
        <v>0.58823529411764697</v>
      </c>
      <c r="G150" s="2">
        <v>0.570209818997092</v>
      </c>
      <c r="H150" s="2">
        <v>0.52212165551127598</v>
      </c>
      <c r="I150" s="2">
        <v>0.46666666666666601</v>
      </c>
      <c r="J150" s="2">
        <v>0.5</v>
      </c>
      <c r="K150" s="2">
        <v>-4.01404234395824E-2</v>
      </c>
      <c r="L150" s="2"/>
      <c r="M150" s="2" t="e">
        <f>(Table1[[#This Row],[poisson_likelihood]] - (1-Table1[[#This Row],[poisson_likelihood]])/(1/Table1[[#This Row],[365 implied]]-1))/4</f>
        <v>#DIV/0!</v>
      </c>
      <c r="N150" s="7" t="e">
        <f>Table1[[#This Row],[kelly/4 365]]*$U$2</f>
        <v>#DIV/0!</v>
      </c>
      <c r="O150" s="2"/>
      <c r="P150" s="2" t="e">
        <f>(Table1[[#This Row],[poisson_likelihood]] - (1-Table1[[#This Row],[poisson_likelihood]])/(1/Table1[[#This Row],[99/pinn implied]]-1))/4</f>
        <v>#DIV/0!</v>
      </c>
      <c r="Q150" s="7" t="e">
        <f>Table1[[#This Row],[kelly/4 99]]*$U$2</f>
        <v>#DIV/0!</v>
      </c>
      <c r="R150" s="2"/>
      <c r="S15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1" spans="1:19" x14ac:dyDescent="0.2">
      <c r="A151">
        <v>5600</v>
      </c>
      <c r="B151" t="s">
        <v>87</v>
      </c>
      <c r="C151" s="1">
        <v>45608</v>
      </c>
      <c r="D151" t="s">
        <v>13</v>
      </c>
      <c r="E151">
        <v>2.5</v>
      </c>
      <c r="F151" s="2">
        <v>0.56497175141242895</v>
      </c>
      <c r="G151" s="2">
        <v>0.45370639885293101</v>
      </c>
      <c r="H151" s="2">
        <v>0.49507604788638598</v>
      </c>
      <c r="I151" s="2">
        <v>0.46111111111111103</v>
      </c>
      <c r="J151" s="2">
        <v>0.49013157894736797</v>
      </c>
      <c r="K151" s="2">
        <v>-4.0167336117239098E-2</v>
      </c>
      <c r="L151" s="2"/>
      <c r="M151" s="2" t="e">
        <f>(Table1[[#This Row],[poisson_likelihood]] - (1-Table1[[#This Row],[poisson_likelihood]])/(1/Table1[[#This Row],[365 implied]]-1))/4</f>
        <v>#DIV/0!</v>
      </c>
      <c r="N151" s="7" t="e">
        <f>Table1[[#This Row],[kelly/4 365]]*$U$2</f>
        <v>#DIV/0!</v>
      </c>
      <c r="O151" s="2"/>
      <c r="P151" s="2" t="e">
        <f>(Table1[[#This Row],[poisson_likelihood]] - (1-Table1[[#This Row],[poisson_likelihood]])/(1/Table1[[#This Row],[99/pinn implied]]-1))/4</f>
        <v>#DIV/0!</v>
      </c>
      <c r="Q151" s="7" t="e">
        <f>Table1[[#This Row],[kelly/4 99]]*$U$2</f>
        <v>#DIV/0!</v>
      </c>
      <c r="R151" s="2"/>
      <c r="S15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2" spans="1:19" x14ac:dyDescent="0.2">
      <c r="A152">
        <v>5520</v>
      </c>
      <c r="B152" t="s">
        <v>47</v>
      </c>
      <c r="C152" s="1">
        <v>45608</v>
      </c>
      <c r="D152" t="s">
        <v>13</v>
      </c>
      <c r="E152">
        <v>1.5</v>
      </c>
      <c r="F152" s="2">
        <v>0.41666666666666602</v>
      </c>
      <c r="G152" s="2">
        <v>0.301780395165756</v>
      </c>
      <c r="H152" s="2">
        <v>0.32138524497809001</v>
      </c>
      <c r="I152" s="2">
        <v>0.34146341463414598</v>
      </c>
      <c r="J152" s="2">
        <v>0.352112676056338</v>
      </c>
      <c r="K152" s="2">
        <v>-4.0834895009389603E-2</v>
      </c>
      <c r="L152" s="2"/>
      <c r="M152" s="2" t="e">
        <f>(Table1[[#This Row],[poisson_likelihood]] - (1-Table1[[#This Row],[poisson_likelihood]])/(1/Table1[[#This Row],[365 implied]]-1))/4</f>
        <v>#DIV/0!</v>
      </c>
      <c r="N152" s="7" t="e">
        <f>Table1[[#This Row],[kelly/4 365]]*$U$2</f>
        <v>#DIV/0!</v>
      </c>
      <c r="O152" s="2"/>
      <c r="P152" s="2" t="e">
        <f>(Table1[[#This Row],[poisson_likelihood]] - (1-Table1[[#This Row],[poisson_likelihood]])/(1/Table1[[#This Row],[99/pinn implied]]-1))/4</f>
        <v>#DIV/0!</v>
      </c>
      <c r="Q152" s="7" t="e">
        <f>Table1[[#This Row],[kelly/4 99]]*$U$2</f>
        <v>#DIV/0!</v>
      </c>
      <c r="R152" s="2"/>
      <c r="S15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3" spans="1:19" x14ac:dyDescent="0.2">
      <c r="A153">
        <v>5475</v>
      </c>
      <c r="B153" t="s">
        <v>25</v>
      </c>
      <c r="C153" s="1">
        <v>45608</v>
      </c>
      <c r="D153" t="s">
        <v>12</v>
      </c>
      <c r="E153">
        <v>1.5</v>
      </c>
      <c r="F153" s="2">
        <v>0.60606060606060597</v>
      </c>
      <c r="G153" s="2">
        <v>0.589329921438139</v>
      </c>
      <c r="H153" s="2">
        <v>0.54147693289763499</v>
      </c>
      <c r="I153" s="2">
        <v>0.58682634730538896</v>
      </c>
      <c r="J153" s="2">
        <v>0.589090909090909</v>
      </c>
      <c r="K153" s="2">
        <v>-4.0985792584192902E-2</v>
      </c>
      <c r="L153" s="2"/>
      <c r="M153" s="2" t="e">
        <f>(Table1[[#This Row],[poisson_likelihood]] - (1-Table1[[#This Row],[poisson_likelihood]])/(1/Table1[[#This Row],[365 implied]]-1))/4</f>
        <v>#DIV/0!</v>
      </c>
      <c r="N153" s="7" t="e">
        <f>Table1[[#This Row],[kelly/4 365]]*$U$2</f>
        <v>#DIV/0!</v>
      </c>
      <c r="O153" s="2"/>
      <c r="P153" s="2" t="e">
        <f>(Table1[[#This Row],[poisson_likelihood]] - (1-Table1[[#This Row],[poisson_likelihood]])/(1/Table1[[#This Row],[99/pinn implied]]-1))/4</f>
        <v>#DIV/0!</v>
      </c>
      <c r="Q153" s="7" t="e">
        <f>Table1[[#This Row],[kelly/4 99]]*$U$2</f>
        <v>#DIV/0!</v>
      </c>
      <c r="R153" s="2"/>
      <c r="S15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4" spans="1:19" x14ac:dyDescent="0.2">
      <c r="A154">
        <v>5503</v>
      </c>
      <c r="B154" t="s">
        <v>39</v>
      </c>
      <c r="C154" s="1">
        <v>45608</v>
      </c>
      <c r="D154" t="s">
        <v>12</v>
      </c>
      <c r="E154">
        <v>1.5</v>
      </c>
      <c r="F154" s="2">
        <v>0.59523809523809501</v>
      </c>
      <c r="G154" s="2">
        <v>0.579829623746143</v>
      </c>
      <c r="H154" s="2">
        <v>0.52872372863603101</v>
      </c>
      <c r="I154" s="2">
        <v>0.56818181818181801</v>
      </c>
      <c r="J154" s="2">
        <v>0.53355704697986495</v>
      </c>
      <c r="K154" s="2">
        <v>-4.1082402901274802E-2</v>
      </c>
      <c r="L154" s="2"/>
      <c r="M154" s="2" t="e">
        <f>(Table1[[#This Row],[poisson_likelihood]] - (1-Table1[[#This Row],[poisson_likelihood]])/(1/Table1[[#This Row],[365 implied]]-1))/4</f>
        <v>#DIV/0!</v>
      </c>
      <c r="N154" s="7" t="e">
        <f>Table1[[#This Row],[kelly/4 365]]*$U$2</f>
        <v>#DIV/0!</v>
      </c>
      <c r="O154" s="2"/>
      <c r="P154" s="2" t="e">
        <f>(Table1[[#This Row],[poisson_likelihood]] - (1-Table1[[#This Row],[poisson_likelihood]])/(1/Table1[[#This Row],[99/pinn implied]]-1))/4</f>
        <v>#DIV/0!</v>
      </c>
      <c r="Q154" s="7" t="e">
        <f>Table1[[#This Row],[kelly/4 99]]*$U$2</f>
        <v>#DIV/0!</v>
      </c>
      <c r="R154" s="2"/>
      <c r="S15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5" spans="1:19" x14ac:dyDescent="0.2">
      <c r="A155">
        <v>5484</v>
      </c>
      <c r="B155" t="s">
        <v>29</v>
      </c>
      <c r="C155" s="1">
        <v>45608</v>
      </c>
      <c r="D155" t="s">
        <v>13</v>
      </c>
      <c r="E155">
        <v>3.5</v>
      </c>
      <c r="F155" s="2">
        <v>0.59523809523809501</v>
      </c>
      <c r="G155" s="2">
        <v>0.49230014285746498</v>
      </c>
      <c r="H155" s="2">
        <v>0.52824458844436994</v>
      </c>
      <c r="I155" s="2">
        <v>0.53714285714285703</v>
      </c>
      <c r="J155" s="2">
        <v>0.51525423728813502</v>
      </c>
      <c r="K155" s="2">
        <v>-4.1378342431418302E-2</v>
      </c>
      <c r="L155" s="2"/>
      <c r="M155" s="2" t="e">
        <f>(Table1[[#This Row],[poisson_likelihood]] - (1-Table1[[#This Row],[poisson_likelihood]])/(1/Table1[[#This Row],[365 implied]]-1))/4</f>
        <v>#DIV/0!</v>
      </c>
      <c r="N155" s="7" t="e">
        <f>Table1[[#This Row],[kelly/4 365]]*$U$2</f>
        <v>#DIV/0!</v>
      </c>
      <c r="O155" s="2"/>
      <c r="P155" s="2" t="e">
        <f>(Table1[[#This Row],[poisson_likelihood]] - (1-Table1[[#This Row],[poisson_likelihood]])/(1/Table1[[#This Row],[99/pinn implied]]-1))/4</f>
        <v>#DIV/0!</v>
      </c>
      <c r="Q155" s="7" t="e">
        <f>Table1[[#This Row],[kelly/4 99]]*$U$2</f>
        <v>#DIV/0!</v>
      </c>
      <c r="R155" s="2"/>
      <c r="S15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6" spans="1:19" x14ac:dyDescent="0.2">
      <c r="A156">
        <v>5535</v>
      </c>
      <c r="B156" t="s">
        <v>55</v>
      </c>
      <c r="C156" s="1">
        <v>45608</v>
      </c>
      <c r="D156" t="s">
        <v>12</v>
      </c>
      <c r="E156">
        <v>2.5</v>
      </c>
      <c r="F156" s="2">
        <v>0.427350427350427</v>
      </c>
      <c r="G156" s="2">
        <v>0.378213966450136</v>
      </c>
      <c r="H156" s="2">
        <v>0.33231514120542999</v>
      </c>
      <c r="I156" s="2">
        <v>0.30726256983240202</v>
      </c>
      <c r="J156" s="2">
        <v>0.32558139534883701</v>
      </c>
      <c r="K156" s="2">
        <v>-4.1489285369270802E-2</v>
      </c>
      <c r="L156" s="2"/>
      <c r="M156" s="2" t="e">
        <f>(Table1[[#This Row],[poisson_likelihood]] - (1-Table1[[#This Row],[poisson_likelihood]])/(1/Table1[[#This Row],[365 implied]]-1))/4</f>
        <v>#DIV/0!</v>
      </c>
      <c r="N156" s="7" t="e">
        <f>Table1[[#This Row],[kelly/4 365]]*$U$2</f>
        <v>#DIV/0!</v>
      </c>
      <c r="O156" s="2"/>
      <c r="P156" s="2" t="e">
        <f>(Table1[[#This Row],[poisson_likelihood]] - (1-Table1[[#This Row],[poisson_likelihood]])/(1/Table1[[#This Row],[99/pinn implied]]-1))/4</f>
        <v>#DIV/0!</v>
      </c>
      <c r="Q156" s="7" t="e">
        <f>Table1[[#This Row],[kelly/4 99]]*$U$2</f>
        <v>#DIV/0!</v>
      </c>
      <c r="R156" s="2"/>
      <c r="S15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7" spans="1:19" x14ac:dyDescent="0.2">
      <c r="A157">
        <v>5497</v>
      </c>
      <c r="B157" t="s">
        <v>36</v>
      </c>
      <c r="C157" s="1">
        <v>45608</v>
      </c>
      <c r="D157" t="s">
        <v>12</v>
      </c>
      <c r="E157">
        <v>1.5</v>
      </c>
      <c r="F157" s="2">
        <v>0.62893081761006198</v>
      </c>
      <c r="G157" s="2">
        <v>0.60532455893965298</v>
      </c>
      <c r="H157" s="2">
        <v>0.56694372669609805</v>
      </c>
      <c r="I157" s="2">
        <v>0.48823529411764699</v>
      </c>
      <c r="J157" s="2">
        <v>0.50871080139372804</v>
      </c>
      <c r="K157" s="2">
        <v>-4.1762489217459002E-2</v>
      </c>
      <c r="L157" s="2"/>
      <c r="M157" s="2" t="e">
        <f>(Table1[[#This Row],[poisson_likelihood]] - (1-Table1[[#This Row],[poisson_likelihood]])/(1/Table1[[#This Row],[365 implied]]-1))/4</f>
        <v>#DIV/0!</v>
      </c>
      <c r="N157" s="7" t="e">
        <f>Table1[[#This Row],[kelly/4 365]]*$U$2</f>
        <v>#DIV/0!</v>
      </c>
      <c r="O157" s="2"/>
      <c r="P157" s="2" t="e">
        <f>(Table1[[#This Row],[poisson_likelihood]] - (1-Table1[[#This Row],[poisson_likelihood]])/(1/Table1[[#This Row],[99/pinn implied]]-1))/4</f>
        <v>#DIV/0!</v>
      </c>
      <c r="Q157" s="7" t="e">
        <f>Table1[[#This Row],[kelly/4 99]]*$U$2</f>
        <v>#DIV/0!</v>
      </c>
      <c r="R157" s="2"/>
      <c r="S15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8" spans="1:19" x14ac:dyDescent="0.2">
      <c r="A158">
        <v>5500</v>
      </c>
      <c r="B158" t="s">
        <v>37</v>
      </c>
      <c r="C158" s="1">
        <v>45608</v>
      </c>
      <c r="D158" t="s">
        <v>13</v>
      </c>
      <c r="E158">
        <v>1.5</v>
      </c>
      <c r="F158" s="2">
        <v>0.42016806722688999</v>
      </c>
      <c r="G158" s="2">
        <v>0.296327181034515</v>
      </c>
      <c r="H158" s="2">
        <v>0.32197643355178501</v>
      </c>
      <c r="I158" s="2">
        <v>0.29213483146067398</v>
      </c>
      <c r="J158" s="2">
        <v>0.28523489932885898</v>
      </c>
      <c r="K158" s="2">
        <v>-4.2336247852672197E-2</v>
      </c>
      <c r="L158" s="2"/>
      <c r="M158" s="2" t="e">
        <f>(Table1[[#This Row],[poisson_likelihood]] - (1-Table1[[#This Row],[poisson_likelihood]])/(1/Table1[[#This Row],[365 implied]]-1))/4</f>
        <v>#DIV/0!</v>
      </c>
      <c r="N158" s="7" t="e">
        <f>Table1[[#This Row],[kelly/4 365]]*$U$2</f>
        <v>#DIV/0!</v>
      </c>
      <c r="O158" s="2"/>
      <c r="P158" s="2" t="e">
        <f>(Table1[[#This Row],[poisson_likelihood]] - (1-Table1[[#This Row],[poisson_likelihood]])/(1/Table1[[#This Row],[99/pinn implied]]-1))/4</f>
        <v>#DIV/0!</v>
      </c>
      <c r="Q158" s="7" t="e">
        <f>Table1[[#This Row],[kelly/4 99]]*$U$2</f>
        <v>#DIV/0!</v>
      </c>
      <c r="R158" s="2"/>
      <c r="S15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9" spans="1:19" x14ac:dyDescent="0.2">
      <c r="A159">
        <v>5627</v>
      </c>
      <c r="B159" t="s">
        <v>101</v>
      </c>
      <c r="C159" s="1">
        <v>45608</v>
      </c>
      <c r="D159" t="s">
        <v>12</v>
      </c>
      <c r="E159">
        <v>1.5</v>
      </c>
      <c r="F159" s="2">
        <v>0.59523809523809501</v>
      </c>
      <c r="G159" s="2">
        <v>0.58435766973931702</v>
      </c>
      <c r="H159" s="2">
        <v>0.525533263405496</v>
      </c>
      <c r="I159" s="2">
        <v>0.55813953488372003</v>
      </c>
      <c r="J159" s="2">
        <v>0.55709342560553599</v>
      </c>
      <c r="K159" s="2">
        <v>-4.3052984367193098E-2</v>
      </c>
      <c r="L159" s="2"/>
      <c r="M159" s="2" t="e">
        <f>(Table1[[#This Row],[poisson_likelihood]] - (1-Table1[[#This Row],[poisson_likelihood]])/(1/Table1[[#This Row],[365 implied]]-1))/4</f>
        <v>#DIV/0!</v>
      </c>
      <c r="N159" s="7" t="e">
        <f>Table1[[#This Row],[kelly/4 365]]*$U$2</f>
        <v>#DIV/0!</v>
      </c>
      <c r="O159" s="2"/>
      <c r="P159" s="2" t="e">
        <f>(Table1[[#This Row],[poisson_likelihood]] - (1-Table1[[#This Row],[poisson_likelihood]])/(1/Table1[[#This Row],[99/pinn implied]]-1))/4</f>
        <v>#DIV/0!</v>
      </c>
      <c r="Q159" s="7" t="e">
        <f>Table1[[#This Row],[kelly/4 99]]*$U$2</f>
        <v>#DIV/0!</v>
      </c>
      <c r="R159" s="2"/>
      <c r="S15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0" spans="1:19" x14ac:dyDescent="0.2">
      <c r="A160">
        <v>5532</v>
      </c>
      <c r="B160" t="s">
        <v>53</v>
      </c>
      <c r="C160" s="1">
        <v>45608</v>
      </c>
      <c r="D160" t="s">
        <v>13</v>
      </c>
      <c r="E160">
        <v>2.5</v>
      </c>
      <c r="F160" s="2">
        <v>0.56497175141242895</v>
      </c>
      <c r="G160" s="2">
        <v>0.44095086182587701</v>
      </c>
      <c r="H160" s="2">
        <v>0.48240145420150499</v>
      </c>
      <c r="I160" s="2">
        <v>0.43537414965986299</v>
      </c>
      <c r="J160" s="2">
        <v>0.4375</v>
      </c>
      <c r="K160" s="2">
        <v>-4.74511123582258E-2</v>
      </c>
      <c r="L160" s="2"/>
      <c r="M160" s="2" t="e">
        <f>(Table1[[#This Row],[poisson_likelihood]] - (1-Table1[[#This Row],[poisson_likelihood]])/(1/Table1[[#This Row],[365 implied]]-1))/4</f>
        <v>#DIV/0!</v>
      </c>
      <c r="N160" s="7" t="e">
        <f>Table1[[#This Row],[kelly/4 365]]*$U$2</f>
        <v>#DIV/0!</v>
      </c>
      <c r="O160" s="2"/>
      <c r="P160" s="2" t="e">
        <f>(Table1[[#This Row],[poisson_likelihood]] - (1-Table1[[#This Row],[poisson_likelihood]])/(1/Table1[[#This Row],[99/pinn implied]]-1))/4</f>
        <v>#DIV/0!</v>
      </c>
      <c r="Q160" s="7" t="e">
        <f>Table1[[#This Row],[kelly/4 99]]*$U$2</f>
        <v>#DIV/0!</v>
      </c>
      <c r="R160" s="2"/>
      <c r="S16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1" spans="1:19" x14ac:dyDescent="0.2">
      <c r="A161">
        <v>5465</v>
      </c>
      <c r="B161" t="s">
        <v>20</v>
      </c>
      <c r="C161" s="1">
        <v>45608</v>
      </c>
      <c r="D161" t="s">
        <v>12</v>
      </c>
      <c r="E161">
        <v>2.5</v>
      </c>
      <c r="F161" s="2">
        <v>0.61728395061728303</v>
      </c>
      <c r="G161" s="2">
        <v>0.58846760867605596</v>
      </c>
      <c r="H161" s="2">
        <v>0.54291284511139004</v>
      </c>
      <c r="I161" s="2">
        <v>0.57042253521126696</v>
      </c>
      <c r="J161" s="2">
        <v>0.57575757575757502</v>
      </c>
      <c r="K161" s="2">
        <v>-4.8581125370785197E-2</v>
      </c>
      <c r="L161" s="2"/>
      <c r="M161" s="2" t="e">
        <f>(Table1[[#This Row],[poisson_likelihood]] - (1-Table1[[#This Row],[poisson_likelihood]])/(1/Table1[[#This Row],[365 implied]]-1))/4</f>
        <v>#DIV/0!</v>
      </c>
      <c r="N161" s="7" t="e">
        <f>Table1[[#This Row],[kelly/4 365]]*$U$2</f>
        <v>#DIV/0!</v>
      </c>
      <c r="O161" s="2"/>
      <c r="P161" s="2" t="e">
        <f>(Table1[[#This Row],[poisson_likelihood]] - (1-Table1[[#This Row],[poisson_likelihood]])/(1/Table1[[#This Row],[99/pinn implied]]-1))/4</f>
        <v>#DIV/0!</v>
      </c>
      <c r="Q161" s="7" t="e">
        <f>Table1[[#This Row],[kelly/4 99]]*$U$2</f>
        <v>#DIV/0!</v>
      </c>
      <c r="R161" s="2"/>
      <c r="S16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2" spans="1:19" x14ac:dyDescent="0.2">
      <c r="A162">
        <v>5625</v>
      </c>
      <c r="B162" t="s">
        <v>100</v>
      </c>
      <c r="C162" s="1">
        <v>45608</v>
      </c>
      <c r="D162" t="s">
        <v>12</v>
      </c>
      <c r="E162">
        <v>2.5</v>
      </c>
      <c r="F162" s="2">
        <v>0.52083333333333304</v>
      </c>
      <c r="G162" s="2">
        <v>0.47178265122602098</v>
      </c>
      <c r="H162" s="2">
        <v>0.42656846675843102</v>
      </c>
      <c r="I162" s="2">
        <v>0.41721854304635703</v>
      </c>
      <c r="J162" s="2">
        <v>0.41573033707865098</v>
      </c>
      <c r="K162" s="2">
        <v>-4.9181669517340203E-2</v>
      </c>
      <c r="L162" s="2"/>
      <c r="M162" s="2" t="e">
        <f>(Table1[[#This Row],[poisson_likelihood]] - (1-Table1[[#This Row],[poisson_likelihood]])/(1/Table1[[#This Row],[365 implied]]-1))/4</f>
        <v>#DIV/0!</v>
      </c>
      <c r="N162" s="7" t="e">
        <f>Table1[[#This Row],[kelly/4 365]]*$U$2</f>
        <v>#DIV/0!</v>
      </c>
      <c r="O162" s="2"/>
      <c r="P162" s="2" t="e">
        <f>(Table1[[#This Row],[poisson_likelihood]] - (1-Table1[[#This Row],[poisson_likelihood]])/(1/Table1[[#This Row],[99/pinn implied]]-1))/4</f>
        <v>#DIV/0!</v>
      </c>
      <c r="Q162" s="7" t="e">
        <f>Table1[[#This Row],[kelly/4 99]]*$U$2</f>
        <v>#DIV/0!</v>
      </c>
      <c r="R162" s="2"/>
      <c r="S16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3" spans="1:19" x14ac:dyDescent="0.2">
      <c r="A163">
        <v>5487</v>
      </c>
      <c r="B163" t="s">
        <v>31</v>
      </c>
      <c r="C163" s="1">
        <v>45608</v>
      </c>
      <c r="D163" t="s">
        <v>12</v>
      </c>
      <c r="E163">
        <v>2.5</v>
      </c>
      <c r="F163" s="2">
        <v>0.53475935828876997</v>
      </c>
      <c r="G163" s="2">
        <v>0.48740932627289402</v>
      </c>
      <c r="H163" s="2">
        <v>0.44217201403793099</v>
      </c>
      <c r="I163" s="2">
        <v>0.43636363636363601</v>
      </c>
      <c r="J163" s="2">
        <v>0.434782608695652</v>
      </c>
      <c r="K163" s="2">
        <v>-4.9752394755479497E-2</v>
      </c>
      <c r="L163" s="2"/>
      <c r="M163" s="2" t="e">
        <f>(Table1[[#This Row],[poisson_likelihood]] - (1-Table1[[#This Row],[poisson_likelihood]])/(1/Table1[[#This Row],[365 implied]]-1))/4</f>
        <v>#DIV/0!</v>
      </c>
      <c r="N163" s="7" t="e">
        <f>Table1[[#This Row],[kelly/4 365]]*$U$2</f>
        <v>#DIV/0!</v>
      </c>
      <c r="O163" s="2"/>
      <c r="P163" s="2" t="e">
        <f>(Table1[[#This Row],[poisson_likelihood]] - (1-Table1[[#This Row],[poisson_likelihood]])/(1/Table1[[#This Row],[99/pinn implied]]-1))/4</f>
        <v>#DIV/0!</v>
      </c>
      <c r="Q163" s="7" t="e">
        <f>Table1[[#This Row],[kelly/4 99]]*$U$2</f>
        <v>#DIV/0!</v>
      </c>
      <c r="R163" s="2"/>
      <c r="S16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4" spans="1:19" x14ac:dyDescent="0.2">
      <c r="A164">
        <v>5594</v>
      </c>
      <c r="B164" t="s">
        <v>84</v>
      </c>
      <c r="C164" s="1">
        <v>45608</v>
      </c>
      <c r="D164" t="s">
        <v>13</v>
      </c>
      <c r="E164">
        <v>1.5</v>
      </c>
      <c r="F164" s="2">
        <v>0.434782608695652</v>
      </c>
      <c r="G164" s="2">
        <v>0.29731438500881302</v>
      </c>
      <c r="H164" s="2">
        <v>0.321585719960854</v>
      </c>
      <c r="I164" s="2">
        <v>0.273885350318471</v>
      </c>
      <c r="J164" s="2">
        <v>0.30769230769230699</v>
      </c>
      <c r="K164" s="2">
        <v>-5.0067854632698999E-2</v>
      </c>
      <c r="L164" s="2"/>
      <c r="M164" s="2" t="e">
        <f>(Table1[[#This Row],[poisson_likelihood]] - (1-Table1[[#This Row],[poisson_likelihood]])/(1/Table1[[#This Row],[365 implied]]-1))/4</f>
        <v>#DIV/0!</v>
      </c>
      <c r="N164" s="7" t="e">
        <f>Table1[[#This Row],[kelly/4 365]]*$U$2</f>
        <v>#DIV/0!</v>
      </c>
      <c r="O164" s="2"/>
      <c r="P164" s="2" t="e">
        <f>(Table1[[#This Row],[poisson_likelihood]] - (1-Table1[[#This Row],[poisson_likelihood]])/(1/Table1[[#This Row],[99/pinn implied]]-1))/4</f>
        <v>#DIV/0!</v>
      </c>
      <c r="Q164" s="7" t="e">
        <f>Table1[[#This Row],[kelly/4 99]]*$U$2</f>
        <v>#DIV/0!</v>
      </c>
      <c r="R164" s="2"/>
      <c r="S16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5" spans="1:19" x14ac:dyDescent="0.2">
      <c r="A165">
        <v>5615</v>
      </c>
      <c r="B165" t="s">
        <v>95</v>
      </c>
      <c r="C165" s="1">
        <v>45608</v>
      </c>
      <c r="D165" t="s">
        <v>12</v>
      </c>
      <c r="E165">
        <v>2.5</v>
      </c>
      <c r="F165" s="2">
        <v>0.42372881355932202</v>
      </c>
      <c r="G165" s="2">
        <v>0.35295534640948101</v>
      </c>
      <c r="H165" s="2">
        <v>0.30728860990794199</v>
      </c>
      <c r="I165" s="2">
        <v>0.277419354838709</v>
      </c>
      <c r="J165" s="2">
        <v>0.30740740740740702</v>
      </c>
      <c r="K165" s="2">
        <v>-5.0514500113466199E-2</v>
      </c>
      <c r="L165" s="2"/>
      <c r="M165" s="2" t="e">
        <f>(Table1[[#This Row],[poisson_likelihood]] - (1-Table1[[#This Row],[poisson_likelihood]])/(1/Table1[[#This Row],[365 implied]]-1))/4</f>
        <v>#DIV/0!</v>
      </c>
      <c r="N165" s="7" t="e">
        <f>Table1[[#This Row],[kelly/4 365]]*$U$2</f>
        <v>#DIV/0!</v>
      </c>
      <c r="O165" s="2"/>
      <c r="P165" s="2" t="e">
        <f>(Table1[[#This Row],[poisson_likelihood]] - (1-Table1[[#This Row],[poisson_likelihood]])/(1/Table1[[#This Row],[99/pinn implied]]-1))/4</f>
        <v>#DIV/0!</v>
      </c>
      <c r="Q165" s="7" t="e">
        <f>Table1[[#This Row],[kelly/4 99]]*$U$2</f>
        <v>#DIV/0!</v>
      </c>
      <c r="R165" s="2"/>
      <c r="S16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6" spans="1:19" x14ac:dyDescent="0.2">
      <c r="A166">
        <v>5568</v>
      </c>
      <c r="B166" t="s">
        <v>71</v>
      </c>
      <c r="C166" s="1">
        <v>45608</v>
      </c>
      <c r="D166" t="s">
        <v>13</v>
      </c>
      <c r="E166">
        <v>2.5</v>
      </c>
      <c r="F166" s="2">
        <v>0.52356020942408299</v>
      </c>
      <c r="G166" s="2">
        <v>0.39260329112256698</v>
      </c>
      <c r="H166" s="2">
        <v>0.42617396530316498</v>
      </c>
      <c r="I166" s="2">
        <v>0.44692737430167501</v>
      </c>
      <c r="J166" s="2">
        <v>0.40531561461794002</v>
      </c>
      <c r="K166" s="2">
        <v>-5.1101023700811703E-2</v>
      </c>
      <c r="L166" s="2"/>
      <c r="M166" s="2" t="e">
        <f>(Table1[[#This Row],[poisson_likelihood]] - (1-Table1[[#This Row],[poisson_likelihood]])/(1/Table1[[#This Row],[365 implied]]-1))/4</f>
        <v>#DIV/0!</v>
      </c>
      <c r="N166" s="7" t="e">
        <f>Table1[[#This Row],[kelly/4 365]]*$U$2</f>
        <v>#DIV/0!</v>
      </c>
      <c r="O166" s="2"/>
      <c r="P166" s="2" t="e">
        <f>(Table1[[#This Row],[poisson_likelihood]] - (1-Table1[[#This Row],[poisson_likelihood]])/(1/Table1[[#This Row],[99/pinn implied]]-1))/4</f>
        <v>#DIV/0!</v>
      </c>
      <c r="Q166" s="7" t="e">
        <f>Table1[[#This Row],[kelly/4 99]]*$U$2</f>
        <v>#DIV/0!</v>
      </c>
      <c r="R166" s="2"/>
      <c r="S16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7" spans="1:19" x14ac:dyDescent="0.2">
      <c r="A167">
        <v>5630</v>
      </c>
      <c r="B167" t="s">
        <v>102</v>
      </c>
      <c r="C167" s="1">
        <v>45608</v>
      </c>
      <c r="D167" t="s">
        <v>13</v>
      </c>
      <c r="E167">
        <v>2.5</v>
      </c>
      <c r="F167" s="2">
        <v>0.65359477124182996</v>
      </c>
      <c r="G167" s="2">
        <v>0.53670134391855395</v>
      </c>
      <c r="H167" s="2">
        <v>0.582780460132311</v>
      </c>
      <c r="I167" s="2">
        <v>0.59887005649717495</v>
      </c>
      <c r="J167" s="2">
        <v>0.61616161616161602</v>
      </c>
      <c r="K167" s="2">
        <v>-5.1106554715831899E-2</v>
      </c>
      <c r="L167" s="2"/>
      <c r="M167" s="2" t="e">
        <f>(Table1[[#This Row],[poisson_likelihood]] - (1-Table1[[#This Row],[poisson_likelihood]])/(1/Table1[[#This Row],[365 implied]]-1))/4</f>
        <v>#DIV/0!</v>
      </c>
      <c r="N167" s="7" t="e">
        <f>Table1[[#This Row],[kelly/4 365]]*$U$2</f>
        <v>#DIV/0!</v>
      </c>
      <c r="O167" s="2"/>
      <c r="P167" s="2" t="e">
        <f>(Table1[[#This Row],[poisson_likelihood]] - (1-Table1[[#This Row],[poisson_likelihood]])/(1/Table1[[#This Row],[99/pinn implied]]-1))/4</f>
        <v>#DIV/0!</v>
      </c>
      <c r="Q167" s="7" t="e">
        <f>Table1[[#This Row],[kelly/4 99]]*$U$2</f>
        <v>#DIV/0!</v>
      </c>
      <c r="R167" s="2"/>
      <c r="S16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8" spans="1:19" x14ac:dyDescent="0.2">
      <c r="A168">
        <v>5482</v>
      </c>
      <c r="B168" t="s">
        <v>28</v>
      </c>
      <c r="C168" s="1">
        <v>45608</v>
      </c>
      <c r="D168" t="s">
        <v>13</v>
      </c>
      <c r="E168">
        <v>2.5</v>
      </c>
      <c r="F168" s="2">
        <v>0.61728395061728303</v>
      </c>
      <c r="G168" s="2">
        <v>0.49476233354892701</v>
      </c>
      <c r="H168" s="2">
        <v>0.53832824816003799</v>
      </c>
      <c r="I168" s="2">
        <v>0.51497005988023903</v>
      </c>
      <c r="J168" s="2">
        <v>0.55714285714285705</v>
      </c>
      <c r="K168" s="2">
        <v>-5.1575902411587597E-2</v>
      </c>
      <c r="L168" s="2"/>
      <c r="M168" s="2" t="e">
        <f>(Table1[[#This Row],[poisson_likelihood]] - (1-Table1[[#This Row],[poisson_likelihood]])/(1/Table1[[#This Row],[365 implied]]-1))/4</f>
        <v>#DIV/0!</v>
      </c>
      <c r="N168" s="7" t="e">
        <f>Table1[[#This Row],[kelly/4 365]]*$U$2</f>
        <v>#DIV/0!</v>
      </c>
      <c r="O168" s="2"/>
      <c r="P168" s="2" t="e">
        <f>(Table1[[#This Row],[poisson_likelihood]] - (1-Table1[[#This Row],[poisson_likelihood]])/(1/Table1[[#This Row],[99/pinn implied]]-1))/4</f>
        <v>#DIV/0!</v>
      </c>
      <c r="Q168" s="7" t="e">
        <f>Table1[[#This Row],[kelly/4 99]]*$U$2</f>
        <v>#DIV/0!</v>
      </c>
      <c r="R168" s="2"/>
      <c r="S16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9" spans="1:19" x14ac:dyDescent="0.2">
      <c r="A169">
        <v>5502</v>
      </c>
      <c r="B169" t="s">
        <v>38</v>
      </c>
      <c r="C169" s="1">
        <v>45608</v>
      </c>
      <c r="D169" t="s">
        <v>13</v>
      </c>
      <c r="E169">
        <v>2.5</v>
      </c>
      <c r="F169" s="2">
        <v>0.62111801242235998</v>
      </c>
      <c r="G169" s="2">
        <v>0.49922117872723798</v>
      </c>
      <c r="H169" s="2">
        <v>0.54295261451752197</v>
      </c>
      <c r="I169" s="2">
        <v>0.52808988764044895</v>
      </c>
      <c r="J169" s="2">
        <v>0.57382550335570404</v>
      </c>
      <c r="K169" s="2">
        <v>-5.1576348617536398E-2</v>
      </c>
      <c r="L169" s="2"/>
      <c r="M169" s="2" t="e">
        <f>(Table1[[#This Row],[poisson_likelihood]] - (1-Table1[[#This Row],[poisson_likelihood]])/(1/Table1[[#This Row],[365 implied]]-1))/4</f>
        <v>#DIV/0!</v>
      </c>
      <c r="N169" s="7" t="e">
        <f>Table1[[#This Row],[kelly/4 365]]*$U$2</f>
        <v>#DIV/0!</v>
      </c>
      <c r="O169" s="2"/>
      <c r="P169" s="2" t="e">
        <f>(Table1[[#This Row],[poisson_likelihood]] - (1-Table1[[#This Row],[poisson_likelihood]])/(1/Table1[[#This Row],[99/pinn implied]]-1))/4</f>
        <v>#DIV/0!</v>
      </c>
      <c r="Q169" s="7" t="e">
        <f>Table1[[#This Row],[kelly/4 99]]*$U$2</f>
        <v>#DIV/0!</v>
      </c>
      <c r="R169" s="2"/>
      <c r="S16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0" spans="1:19" x14ac:dyDescent="0.2">
      <c r="A170">
        <v>5613</v>
      </c>
      <c r="B170" t="s">
        <v>94</v>
      </c>
      <c r="C170" s="1">
        <v>45608</v>
      </c>
      <c r="D170" t="s">
        <v>12</v>
      </c>
      <c r="E170">
        <v>2.5</v>
      </c>
      <c r="F170" s="2">
        <v>0.61728395061728303</v>
      </c>
      <c r="G170" s="2">
        <v>0.57508310479288305</v>
      </c>
      <c r="H170" s="2">
        <v>0.53307070213715002</v>
      </c>
      <c r="I170" s="2">
        <v>0.55000000000000004</v>
      </c>
      <c r="J170" s="2">
        <v>0.54924242424242398</v>
      </c>
      <c r="K170" s="2">
        <v>-5.5010267152345103E-2</v>
      </c>
      <c r="L170" s="2"/>
      <c r="M170" s="2" t="e">
        <f>(Table1[[#This Row],[poisson_likelihood]] - (1-Table1[[#This Row],[poisson_likelihood]])/(1/Table1[[#This Row],[365 implied]]-1))/4</f>
        <v>#DIV/0!</v>
      </c>
      <c r="N170" s="7" t="e">
        <f>Table1[[#This Row],[kelly/4 365]]*$U$2</f>
        <v>#DIV/0!</v>
      </c>
      <c r="O170" s="2"/>
      <c r="P170" s="2" t="e">
        <f>(Table1[[#This Row],[poisson_likelihood]] - (1-Table1[[#This Row],[poisson_likelihood]])/(1/Table1[[#This Row],[99/pinn implied]]-1))/4</f>
        <v>#DIV/0!</v>
      </c>
      <c r="Q170" s="7" t="e">
        <f>Table1[[#This Row],[kelly/4 99]]*$U$2</f>
        <v>#DIV/0!</v>
      </c>
      <c r="R170" s="2"/>
      <c r="S17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1" spans="1:19" x14ac:dyDescent="0.2">
      <c r="A171">
        <v>5564</v>
      </c>
      <c r="B171" t="s">
        <v>69</v>
      </c>
      <c r="C171" s="1">
        <v>45608</v>
      </c>
      <c r="D171" t="s">
        <v>13</v>
      </c>
      <c r="E171">
        <v>2.5</v>
      </c>
      <c r="F171" s="2">
        <v>0.54347826086956497</v>
      </c>
      <c r="G171" s="2">
        <v>0.41103943938228499</v>
      </c>
      <c r="H171" s="2">
        <v>0.44252520484104202</v>
      </c>
      <c r="I171" s="2">
        <v>0.42261904761904701</v>
      </c>
      <c r="J171" s="2">
        <v>0.41489361702127597</v>
      </c>
      <c r="K171" s="2">
        <v>-5.52838163965719E-2</v>
      </c>
      <c r="L171" s="2"/>
      <c r="M171" s="2" t="e">
        <f>(Table1[[#This Row],[poisson_likelihood]] - (1-Table1[[#This Row],[poisson_likelihood]])/(1/Table1[[#This Row],[365 implied]]-1))/4</f>
        <v>#DIV/0!</v>
      </c>
      <c r="N171" s="7" t="e">
        <f>Table1[[#This Row],[kelly/4 365]]*$U$2</f>
        <v>#DIV/0!</v>
      </c>
      <c r="O171" s="2"/>
      <c r="P171" s="2" t="e">
        <f>(Table1[[#This Row],[poisson_likelihood]] - (1-Table1[[#This Row],[poisson_likelihood]])/(1/Table1[[#This Row],[99/pinn implied]]-1))/4</f>
        <v>#DIV/0!</v>
      </c>
      <c r="Q171" s="7" t="e">
        <f>Table1[[#This Row],[kelly/4 99]]*$U$2</f>
        <v>#DIV/0!</v>
      </c>
      <c r="R171" s="2"/>
      <c r="S17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2" spans="1:19" x14ac:dyDescent="0.2">
      <c r="A172">
        <v>5514</v>
      </c>
      <c r="B172" t="s">
        <v>44</v>
      </c>
      <c r="C172" s="1">
        <v>45608</v>
      </c>
      <c r="D172" t="s">
        <v>13</v>
      </c>
      <c r="E172">
        <v>2.5</v>
      </c>
      <c r="F172" s="2">
        <v>0.44247787610619399</v>
      </c>
      <c r="G172" s="2">
        <v>0.31773360651085097</v>
      </c>
      <c r="H172" s="2">
        <v>0.31325308812458802</v>
      </c>
      <c r="I172" s="2">
        <v>0.31952662721893399</v>
      </c>
      <c r="J172" s="2">
        <v>0.389210019267822</v>
      </c>
      <c r="K172" s="2">
        <v>-5.7946035880640699E-2</v>
      </c>
      <c r="L172" s="2"/>
      <c r="M172" s="2" t="e">
        <f>(Table1[[#This Row],[poisson_likelihood]] - (1-Table1[[#This Row],[poisson_likelihood]])/(1/Table1[[#This Row],[365 implied]]-1))/4</f>
        <v>#DIV/0!</v>
      </c>
      <c r="N172" s="7" t="e">
        <f>Table1[[#This Row],[kelly/4 365]]*$U$2</f>
        <v>#DIV/0!</v>
      </c>
      <c r="O172" s="2"/>
      <c r="P172" s="2" t="e">
        <f>(Table1[[#This Row],[poisson_likelihood]] - (1-Table1[[#This Row],[poisson_likelihood]])/(1/Table1[[#This Row],[99/pinn implied]]-1))/4</f>
        <v>#DIV/0!</v>
      </c>
      <c r="Q172" s="7" t="e">
        <f>Table1[[#This Row],[kelly/4 99]]*$U$2</f>
        <v>#DIV/0!</v>
      </c>
      <c r="R172" s="2"/>
      <c r="S17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3" spans="1:19" x14ac:dyDescent="0.2">
      <c r="A173">
        <v>5609</v>
      </c>
      <c r="B173" t="s">
        <v>92</v>
      </c>
      <c r="C173" s="1">
        <v>45608</v>
      </c>
      <c r="D173" t="s">
        <v>12</v>
      </c>
      <c r="E173">
        <v>2.5</v>
      </c>
      <c r="F173" s="2">
        <v>0.48780487804877998</v>
      </c>
      <c r="G173" s="2">
        <v>0.41306935441516801</v>
      </c>
      <c r="H173" s="2">
        <v>0.36524317742822399</v>
      </c>
      <c r="I173" s="2">
        <v>0.33734939759036098</v>
      </c>
      <c r="J173" s="2">
        <v>0.38314176245210702</v>
      </c>
      <c r="K173" s="2">
        <v>-5.9821782445747602E-2</v>
      </c>
      <c r="L173" s="2"/>
      <c r="M173" s="2" t="e">
        <f>(Table1[[#This Row],[poisson_likelihood]] - (1-Table1[[#This Row],[poisson_likelihood]])/(1/Table1[[#This Row],[365 implied]]-1))/4</f>
        <v>#DIV/0!</v>
      </c>
      <c r="N173" s="7" t="e">
        <f>Table1[[#This Row],[kelly/4 365]]*$U$2</f>
        <v>#DIV/0!</v>
      </c>
      <c r="O173" s="2"/>
      <c r="P173" s="2" t="e">
        <f>(Table1[[#This Row],[poisson_likelihood]] - (1-Table1[[#This Row],[poisson_likelihood]])/(1/Table1[[#This Row],[99/pinn implied]]-1))/4</f>
        <v>#DIV/0!</v>
      </c>
      <c r="Q173" s="7" t="e">
        <f>Table1[[#This Row],[kelly/4 99]]*$U$2</f>
        <v>#DIV/0!</v>
      </c>
      <c r="R173" s="2"/>
      <c r="S17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4" spans="1:19" x14ac:dyDescent="0.2">
      <c r="A174">
        <v>5524</v>
      </c>
      <c r="B174" t="s">
        <v>49</v>
      </c>
      <c r="C174" s="1">
        <v>45608</v>
      </c>
      <c r="D174" t="s">
        <v>13</v>
      </c>
      <c r="E174">
        <v>2.5</v>
      </c>
      <c r="F174" s="2">
        <v>0.48780487804877998</v>
      </c>
      <c r="G174" s="2">
        <v>0.33688000664356399</v>
      </c>
      <c r="H174" s="2">
        <v>0.36463547288437498</v>
      </c>
      <c r="I174" s="2">
        <v>0.375</v>
      </c>
      <c r="J174" s="2">
        <v>0.36021505376343999</v>
      </c>
      <c r="K174" s="2">
        <v>-6.01184001397689E-2</v>
      </c>
      <c r="L174" s="2"/>
      <c r="M174" s="2" t="e">
        <f>(Table1[[#This Row],[poisson_likelihood]] - (1-Table1[[#This Row],[poisson_likelihood]])/(1/Table1[[#This Row],[365 implied]]-1))/4</f>
        <v>#DIV/0!</v>
      </c>
      <c r="N174" s="7" t="e">
        <f>Table1[[#This Row],[kelly/4 365]]*$U$2</f>
        <v>#DIV/0!</v>
      </c>
      <c r="O174" s="2"/>
      <c r="P174" s="2" t="e">
        <f>(Table1[[#This Row],[poisson_likelihood]] - (1-Table1[[#This Row],[poisson_likelihood]])/(1/Table1[[#This Row],[99/pinn implied]]-1))/4</f>
        <v>#DIV/0!</v>
      </c>
      <c r="Q174" s="7" t="e">
        <f>Table1[[#This Row],[kelly/4 99]]*$U$2</f>
        <v>#DIV/0!</v>
      </c>
      <c r="R174" s="2"/>
      <c r="S17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5" spans="1:19" x14ac:dyDescent="0.2">
      <c r="A175">
        <v>5587</v>
      </c>
      <c r="B175" t="s">
        <v>81</v>
      </c>
      <c r="C175" s="1">
        <v>45608</v>
      </c>
      <c r="D175" t="s">
        <v>12</v>
      </c>
      <c r="E175">
        <v>2.5</v>
      </c>
      <c r="F175" s="2">
        <v>0.51546391752577303</v>
      </c>
      <c r="G175" s="2">
        <v>0.43578436292176997</v>
      </c>
      <c r="H175" s="2">
        <v>0.39564643789024401</v>
      </c>
      <c r="I175" s="2">
        <v>0.35227272727272702</v>
      </c>
      <c r="J175" s="2">
        <v>0.35714285714285698</v>
      </c>
      <c r="K175" s="2">
        <v>-6.1820720875778001E-2</v>
      </c>
      <c r="L175" s="2"/>
      <c r="M175" s="2" t="e">
        <f>(Table1[[#This Row],[poisson_likelihood]] - (1-Table1[[#This Row],[poisson_likelihood]])/(1/Table1[[#This Row],[365 implied]]-1))/4</f>
        <v>#DIV/0!</v>
      </c>
      <c r="N175" s="7" t="e">
        <f>Table1[[#This Row],[kelly/4 365]]*$U$2</f>
        <v>#DIV/0!</v>
      </c>
      <c r="O175" s="2"/>
      <c r="P175" s="2" t="e">
        <f>(Table1[[#This Row],[poisson_likelihood]] - (1-Table1[[#This Row],[poisson_likelihood]])/(1/Table1[[#This Row],[99/pinn implied]]-1))/4</f>
        <v>#DIV/0!</v>
      </c>
      <c r="Q175" s="7" t="e">
        <f>Table1[[#This Row],[kelly/4 99]]*$U$2</f>
        <v>#DIV/0!</v>
      </c>
      <c r="R175" s="2"/>
      <c r="S17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6" spans="1:19" x14ac:dyDescent="0.2">
      <c r="A176">
        <v>5586</v>
      </c>
      <c r="B176" t="s">
        <v>80</v>
      </c>
      <c r="C176" s="1">
        <v>45608</v>
      </c>
      <c r="D176" t="s">
        <v>13</v>
      </c>
      <c r="E176">
        <v>2.5</v>
      </c>
      <c r="F176" s="2">
        <v>0.64516129032257996</v>
      </c>
      <c r="G176" s="2">
        <v>0.51315114901935499</v>
      </c>
      <c r="H176" s="2">
        <v>0.55687650307386205</v>
      </c>
      <c r="I176" s="2">
        <v>0.54545454545454497</v>
      </c>
      <c r="J176" s="2">
        <v>0.53040540540540504</v>
      </c>
      <c r="K176" s="2">
        <v>-6.2200645561596997E-2</v>
      </c>
      <c r="L176" s="2"/>
      <c r="M176" s="2" t="e">
        <f>(Table1[[#This Row],[poisson_likelihood]] - (1-Table1[[#This Row],[poisson_likelihood]])/(1/Table1[[#This Row],[365 implied]]-1))/4</f>
        <v>#DIV/0!</v>
      </c>
      <c r="N176" s="7" t="e">
        <f>Table1[[#This Row],[kelly/4 365]]*$U$2</f>
        <v>#DIV/0!</v>
      </c>
      <c r="O176" s="2"/>
      <c r="P176" s="2" t="e">
        <f>(Table1[[#This Row],[poisson_likelihood]] - (1-Table1[[#This Row],[poisson_likelihood]])/(1/Table1[[#This Row],[99/pinn implied]]-1))/4</f>
        <v>#DIV/0!</v>
      </c>
      <c r="Q176" s="7" t="e">
        <f>Table1[[#This Row],[kelly/4 99]]*$U$2</f>
        <v>#DIV/0!</v>
      </c>
      <c r="R176" s="2"/>
      <c r="S17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7" spans="1:19" x14ac:dyDescent="0.2">
      <c r="A177">
        <v>5539</v>
      </c>
      <c r="B177" t="s">
        <v>57</v>
      </c>
      <c r="C177" s="1">
        <v>45608</v>
      </c>
      <c r="D177" t="s">
        <v>12</v>
      </c>
      <c r="E177">
        <v>1.5</v>
      </c>
      <c r="F177" s="2">
        <v>0.625</v>
      </c>
      <c r="G177" s="2">
        <v>0.56846643407228603</v>
      </c>
      <c r="H177" s="2">
        <v>0.52462358000194098</v>
      </c>
      <c r="I177" s="2">
        <v>0.50318471337579596</v>
      </c>
      <c r="J177" s="2">
        <v>0.50183150183150105</v>
      </c>
      <c r="K177" s="2">
        <v>-6.69176133320388E-2</v>
      </c>
      <c r="L177" s="2"/>
      <c r="M177" s="2" t="e">
        <f>(Table1[[#This Row],[poisson_likelihood]] - (1-Table1[[#This Row],[poisson_likelihood]])/(1/Table1[[#This Row],[365 implied]]-1))/4</f>
        <v>#DIV/0!</v>
      </c>
      <c r="N177" s="7" t="e">
        <f>Table1[[#This Row],[kelly/4 365]]*$U$2</f>
        <v>#DIV/0!</v>
      </c>
      <c r="O177" s="2"/>
      <c r="P177" s="2" t="e">
        <f>(Table1[[#This Row],[poisson_likelihood]] - (1-Table1[[#This Row],[poisson_likelihood]])/(1/Table1[[#This Row],[99/pinn implied]]-1))/4</f>
        <v>#DIV/0!</v>
      </c>
      <c r="Q177" s="7" t="e">
        <f>Table1[[#This Row],[kelly/4 99]]*$U$2</f>
        <v>#DIV/0!</v>
      </c>
      <c r="R177" s="2"/>
      <c r="S17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8" spans="1:19" x14ac:dyDescent="0.2">
      <c r="A178">
        <v>5518</v>
      </c>
      <c r="B178" t="s">
        <v>46</v>
      </c>
      <c r="C178" s="1">
        <v>45608</v>
      </c>
      <c r="D178" t="s">
        <v>13</v>
      </c>
      <c r="E178">
        <v>2.5</v>
      </c>
      <c r="F178" s="2">
        <v>0.58823529411764697</v>
      </c>
      <c r="G178" s="2">
        <v>0.44192294970641599</v>
      </c>
      <c r="H178" s="2">
        <v>0.47746505638744702</v>
      </c>
      <c r="I178" s="2">
        <v>0.45294117647058801</v>
      </c>
      <c r="J178" s="2">
        <v>0.47386759581881499</v>
      </c>
      <c r="K178" s="2">
        <v>-6.7253358621906706E-2</v>
      </c>
      <c r="L178" s="2"/>
      <c r="M178" s="2" t="e">
        <f>(Table1[[#This Row],[poisson_likelihood]] - (1-Table1[[#This Row],[poisson_likelihood]])/(1/Table1[[#This Row],[365 implied]]-1))/4</f>
        <v>#DIV/0!</v>
      </c>
      <c r="N178" s="7" t="e">
        <f>Table1[[#This Row],[kelly/4 365]]*$U$2</f>
        <v>#DIV/0!</v>
      </c>
      <c r="O178" s="2"/>
      <c r="P178" s="2" t="e">
        <f>(Table1[[#This Row],[poisson_likelihood]] - (1-Table1[[#This Row],[poisson_likelihood]])/(1/Table1[[#This Row],[99/pinn implied]]-1))/4</f>
        <v>#DIV/0!</v>
      </c>
      <c r="Q178" s="7" t="e">
        <f>Table1[[#This Row],[kelly/4 99]]*$U$2</f>
        <v>#DIV/0!</v>
      </c>
      <c r="R178" s="2"/>
      <c r="S17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9" spans="1:19" x14ac:dyDescent="0.2">
      <c r="A179">
        <v>5512</v>
      </c>
      <c r="B179" t="s">
        <v>43</v>
      </c>
      <c r="C179" s="1">
        <v>45608</v>
      </c>
      <c r="D179" t="s">
        <v>13</v>
      </c>
      <c r="E179">
        <v>3.5</v>
      </c>
      <c r="F179" s="2">
        <v>0.52356020942408299</v>
      </c>
      <c r="G179" s="2">
        <v>0.387365360211401</v>
      </c>
      <c r="H179" s="2">
        <v>0.39484672057241699</v>
      </c>
      <c r="I179" s="2">
        <v>0.417721518987341</v>
      </c>
      <c r="J179" s="2">
        <v>0.44360902255639001</v>
      </c>
      <c r="K179" s="2">
        <v>-6.7539220798539204E-2</v>
      </c>
      <c r="L179" s="2"/>
      <c r="M179" s="2" t="e">
        <f>(Table1[[#This Row],[poisson_likelihood]] - (1-Table1[[#This Row],[poisson_likelihood]])/(1/Table1[[#This Row],[365 implied]]-1))/4</f>
        <v>#DIV/0!</v>
      </c>
      <c r="N179" s="7" t="e">
        <f>Table1[[#This Row],[kelly/4 365]]*$U$2</f>
        <v>#DIV/0!</v>
      </c>
      <c r="O179" s="2"/>
      <c r="P179" s="2" t="e">
        <f>(Table1[[#This Row],[poisson_likelihood]] - (1-Table1[[#This Row],[poisson_likelihood]])/(1/Table1[[#This Row],[99/pinn implied]]-1))/4</f>
        <v>#DIV/0!</v>
      </c>
      <c r="Q179" s="7" t="e">
        <f>Table1[[#This Row],[kelly/4 99]]*$U$2</f>
        <v>#DIV/0!</v>
      </c>
      <c r="R179" s="2"/>
      <c r="S17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0" spans="1:19" x14ac:dyDescent="0.2">
      <c r="A180">
        <v>5544</v>
      </c>
      <c r="B180" t="s">
        <v>59</v>
      </c>
      <c r="C180" s="1">
        <v>45608</v>
      </c>
      <c r="D180" t="s">
        <v>13</v>
      </c>
      <c r="E180">
        <v>4.5</v>
      </c>
      <c r="F180" s="2">
        <v>0.61728395061728303</v>
      </c>
      <c r="G180" s="2">
        <v>0.47199290442375502</v>
      </c>
      <c r="H180" s="2">
        <v>0.50425653356731703</v>
      </c>
      <c r="I180" s="2">
        <v>0.483333333333333</v>
      </c>
      <c r="J180" s="2">
        <v>0.52302631578947301</v>
      </c>
      <c r="K180" s="2">
        <v>-7.3832425653607106E-2</v>
      </c>
      <c r="L180" s="2"/>
      <c r="M180" s="2" t="e">
        <f>(Table1[[#This Row],[poisson_likelihood]] - (1-Table1[[#This Row],[poisson_likelihood]])/(1/Table1[[#This Row],[365 implied]]-1))/4</f>
        <v>#DIV/0!</v>
      </c>
      <c r="N180" s="7" t="e">
        <f>Table1[[#This Row],[kelly/4 365]]*$U$2</f>
        <v>#DIV/0!</v>
      </c>
      <c r="O180" s="2"/>
      <c r="P180" s="2" t="e">
        <f>(Table1[[#This Row],[poisson_likelihood]] - (1-Table1[[#This Row],[poisson_likelihood]])/(1/Table1[[#This Row],[99/pinn implied]]-1))/4</f>
        <v>#DIV/0!</v>
      </c>
      <c r="Q180" s="7" t="e">
        <f>Table1[[#This Row],[kelly/4 99]]*$U$2</f>
        <v>#DIV/0!</v>
      </c>
      <c r="R180" s="2"/>
      <c r="S18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1" spans="1:19" x14ac:dyDescent="0.2">
      <c r="A181">
        <v>5633</v>
      </c>
      <c r="B181" t="s">
        <v>104</v>
      </c>
      <c r="C181" s="1">
        <v>45608</v>
      </c>
      <c r="D181" t="s">
        <v>12</v>
      </c>
      <c r="E181">
        <v>2.5</v>
      </c>
      <c r="F181" s="2">
        <v>0.52910052910052896</v>
      </c>
      <c r="G181" s="2">
        <v>0.43815991152863398</v>
      </c>
      <c r="H181" s="2">
        <v>0.38497776728875999</v>
      </c>
      <c r="I181" s="2">
        <v>0.298969072164948</v>
      </c>
      <c r="J181" s="2">
        <v>0.36170212765957399</v>
      </c>
      <c r="K181" s="2">
        <v>-7.6514612310180294E-2</v>
      </c>
      <c r="L181" s="2"/>
      <c r="M181" s="2" t="e">
        <f>(Table1[[#This Row],[poisson_likelihood]] - (1-Table1[[#This Row],[poisson_likelihood]])/(1/Table1[[#This Row],[365 implied]]-1))/4</f>
        <v>#DIV/0!</v>
      </c>
      <c r="N181" s="7" t="e">
        <f>Table1[[#This Row],[kelly/4 365]]*$U$2</f>
        <v>#DIV/0!</v>
      </c>
      <c r="O181" s="2"/>
      <c r="P181" s="2" t="e">
        <f>(Table1[[#This Row],[poisson_likelihood]] - (1-Table1[[#This Row],[poisson_likelihood]])/(1/Table1[[#This Row],[99/pinn implied]]-1))/4</f>
        <v>#DIV/0!</v>
      </c>
      <c r="Q181" s="7" t="e">
        <f>Table1[[#This Row],[kelly/4 99]]*$U$2</f>
        <v>#DIV/0!</v>
      </c>
      <c r="R181" s="2"/>
      <c r="S18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2" spans="1:19" x14ac:dyDescent="0.2">
      <c r="A182">
        <v>5605</v>
      </c>
      <c r="B182" t="s">
        <v>90</v>
      </c>
      <c r="C182" s="1">
        <v>45608</v>
      </c>
      <c r="D182" t="s">
        <v>12</v>
      </c>
      <c r="E182">
        <v>2.5</v>
      </c>
      <c r="F182" s="2">
        <v>0.59523809523809501</v>
      </c>
      <c r="G182" s="2">
        <v>0.51273492221616801</v>
      </c>
      <c r="H182" s="2">
        <v>0.47064698037184399</v>
      </c>
      <c r="I182" s="2">
        <v>0.40462427745664697</v>
      </c>
      <c r="J182" s="2">
        <v>0.46735395189003398</v>
      </c>
      <c r="K182" s="2">
        <v>-7.6953335652684293E-2</v>
      </c>
      <c r="L182" s="2"/>
      <c r="M182" s="2" t="e">
        <f>(Table1[[#This Row],[poisson_likelihood]] - (1-Table1[[#This Row],[poisson_likelihood]])/(1/Table1[[#This Row],[365 implied]]-1))/4</f>
        <v>#DIV/0!</v>
      </c>
      <c r="N182" s="7" t="e">
        <f>Table1[[#This Row],[kelly/4 365]]*$U$2</f>
        <v>#DIV/0!</v>
      </c>
      <c r="O182" s="2"/>
      <c r="P182" s="2" t="e">
        <f>(Table1[[#This Row],[poisson_likelihood]] - (1-Table1[[#This Row],[poisson_likelihood]])/(1/Table1[[#This Row],[99/pinn implied]]-1))/4</f>
        <v>#DIV/0!</v>
      </c>
      <c r="Q182" s="7" t="e">
        <f>Table1[[#This Row],[kelly/4 99]]*$U$2</f>
        <v>#DIV/0!</v>
      </c>
      <c r="R182" s="2"/>
      <c r="S18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3" spans="1:19" x14ac:dyDescent="0.2">
      <c r="A183">
        <v>5530</v>
      </c>
      <c r="B183" t="s">
        <v>52</v>
      </c>
      <c r="C183" s="1">
        <v>45608</v>
      </c>
      <c r="D183" t="s">
        <v>13</v>
      </c>
      <c r="E183">
        <v>2.5</v>
      </c>
      <c r="F183" s="2">
        <v>0.52083333333333304</v>
      </c>
      <c r="G183" s="2">
        <v>0.36190277208848498</v>
      </c>
      <c r="H183" s="2">
        <v>0.373235936896611</v>
      </c>
      <c r="I183" s="2">
        <v>0.33333333333333298</v>
      </c>
      <c r="J183" s="2">
        <v>0.39642857142857102</v>
      </c>
      <c r="K183" s="2">
        <v>-7.7007337271332896E-2</v>
      </c>
      <c r="L183" s="2"/>
      <c r="M183" s="2" t="e">
        <f>(Table1[[#This Row],[poisson_likelihood]] - (1-Table1[[#This Row],[poisson_likelihood]])/(1/Table1[[#This Row],[365 implied]]-1))/4</f>
        <v>#DIV/0!</v>
      </c>
      <c r="N183" s="7" t="e">
        <f>Table1[[#This Row],[kelly/4 365]]*$U$2</f>
        <v>#DIV/0!</v>
      </c>
      <c r="O183" s="2"/>
      <c r="P183" s="2" t="e">
        <f>(Table1[[#This Row],[poisson_likelihood]] - (1-Table1[[#This Row],[poisson_likelihood]])/(1/Table1[[#This Row],[99/pinn implied]]-1))/4</f>
        <v>#DIV/0!</v>
      </c>
      <c r="Q183" s="7" t="e">
        <f>Table1[[#This Row],[kelly/4 99]]*$U$2</f>
        <v>#DIV/0!</v>
      </c>
      <c r="R183" s="2"/>
      <c r="S18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4" spans="1:19" x14ac:dyDescent="0.2">
      <c r="A184">
        <v>5603</v>
      </c>
      <c r="B184" t="s">
        <v>89</v>
      </c>
      <c r="C184" s="1">
        <v>45608</v>
      </c>
      <c r="D184" t="s">
        <v>12</v>
      </c>
      <c r="E184">
        <v>1.5</v>
      </c>
      <c r="F184" s="2">
        <v>0.58823529411764697</v>
      </c>
      <c r="G184" s="2">
        <v>0.51686554513454896</v>
      </c>
      <c r="H184" s="2">
        <v>0.46073439821175499</v>
      </c>
      <c r="I184" s="2">
        <v>0.379746835443038</v>
      </c>
      <c r="J184" s="2">
        <v>0.409266409266409</v>
      </c>
      <c r="K184" s="2">
        <v>-7.7411258228576807E-2</v>
      </c>
      <c r="L184" s="2"/>
      <c r="M184" s="2" t="e">
        <f>(Table1[[#This Row],[poisson_likelihood]] - (1-Table1[[#This Row],[poisson_likelihood]])/(1/Table1[[#This Row],[365 implied]]-1))/4</f>
        <v>#DIV/0!</v>
      </c>
      <c r="N184" s="7" t="e">
        <f>Table1[[#This Row],[kelly/4 365]]*$U$2</f>
        <v>#DIV/0!</v>
      </c>
      <c r="O184" s="2"/>
      <c r="P184" s="2" t="e">
        <f>(Table1[[#This Row],[poisson_likelihood]] - (1-Table1[[#This Row],[poisson_likelihood]])/(1/Table1[[#This Row],[99/pinn implied]]-1))/4</f>
        <v>#DIV/0!</v>
      </c>
      <c r="Q184" s="7" t="e">
        <f>Table1[[#This Row],[kelly/4 99]]*$U$2</f>
        <v>#DIV/0!</v>
      </c>
      <c r="R184" s="2"/>
      <c r="S18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5" spans="1:19" x14ac:dyDescent="0.2">
      <c r="A185">
        <v>5621</v>
      </c>
      <c r="B185" t="s">
        <v>98</v>
      </c>
      <c r="C185" s="1">
        <v>45608</v>
      </c>
      <c r="D185" t="s">
        <v>12</v>
      </c>
      <c r="E185">
        <v>2.5</v>
      </c>
      <c r="F185" s="2">
        <v>0.625</v>
      </c>
      <c r="G185" s="2">
        <v>0.52438539087308</v>
      </c>
      <c r="H185" s="2">
        <v>0.48037431739556902</v>
      </c>
      <c r="I185" s="2">
        <v>0.50574712643678099</v>
      </c>
      <c r="J185" s="2">
        <v>0.49659863945578198</v>
      </c>
      <c r="K185" s="2">
        <v>-9.6417121736286596E-2</v>
      </c>
      <c r="L185" s="2"/>
      <c r="M185" s="2" t="e">
        <f>(Table1[[#This Row],[poisson_likelihood]] - (1-Table1[[#This Row],[poisson_likelihood]])/(1/Table1[[#This Row],[365 implied]]-1))/4</f>
        <v>#DIV/0!</v>
      </c>
      <c r="N185" s="7" t="e">
        <f>Table1[[#This Row],[kelly/4 365]]*$U$2</f>
        <v>#DIV/0!</v>
      </c>
      <c r="O185" s="2"/>
      <c r="P185" s="2" t="e">
        <f>(Table1[[#This Row],[poisson_likelihood]] - (1-Table1[[#This Row],[poisson_likelihood]])/(1/Table1[[#This Row],[99/pinn implied]]-1))/4</f>
        <v>#DIV/0!</v>
      </c>
      <c r="Q185" s="7" t="e">
        <f>Table1[[#This Row],[kelly/4 99]]*$U$2</f>
        <v>#DIV/0!</v>
      </c>
      <c r="R185" s="2"/>
      <c r="S18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6" spans="1:19" x14ac:dyDescent="0.2">
      <c r="A186">
        <v>5557</v>
      </c>
      <c r="B186" t="s">
        <v>66</v>
      </c>
      <c r="C186" s="1">
        <v>45608</v>
      </c>
      <c r="D186" t="s">
        <v>12</v>
      </c>
      <c r="E186">
        <v>2.5</v>
      </c>
      <c r="F186" s="2">
        <v>0.62111801242235998</v>
      </c>
      <c r="G186" s="2">
        <v>0.49232038357387498</v>
      </c>
      <c r="H186" s="2">
        <v>0.44801121585651299</v>
      </c>
      <c r="I186" s="2">
        <v>0.41011235955056102</v>
      </c>
      <c r="J186" s="2">
        <v>0.448160535117056</v>
      </c>
      <c r="K186" s="2">
        <v>-0.11422210757008699</v>
      </c>
      <c r="L186" s="2"/>
      <c r="M186" s="2" t="e">
        <f>(Table1[[#This Row],[poisson_likelihood]] - (1-Table1[[#This Row],[poisson_likelihood]])/(1/Table1[[#This Row],[365 implied]]-1))/4</f>
        <v>#DIV/0!</v>
      </c>
      <c r="N186" s="7" t="e">
        <f>Table1[[#This Row],[kelly/4 365]]*$U$2</f>
        <v>#DIV/0!</v>
      </c>
      <c r="O186" s="2"/>
      <c r="P186" s="2" t="e">
        <f>(Table1[[#This Row],[poisson_likelihood]] - (1-Table1[[#This Row],[poisson_likelihood]])/(1/Table1[[#This Row],[99/pinn implied]]-1))/4</f>
        <v>#DIV/0!</v>
      </c>
      <c r="Q186" s="7" t="e">
        <f>Table1[[#This Row],[kelly/4 99]]*$U$2</f>
        <v>#DIV/0!</v>
      </c>
      <c r="R186" s="2"/>
      <c r="S18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7" spans="1:19" x14ac:dyDescent="0.2">
      <c r="A187">
        <v>5505</v>
      </c>
      <c r="B187" t="s">
        <v>40</v>
      </c>
      <c r="C187" s="1">
        <v>45608</v>
      </c>
      <c r="D187" t="s">
        <v>12</v>
      </c>
      <c r="E187">
        <v>1.5</v>
      </c>
      <c r="F187" s="2">
        <v>0.63694267515923497</v>
      </c>
      <c r="G187" s="2">
        <v>0.52121207381685197</v>
      </c>
      <c r="H187" s="2">
        <v>0.46536821929094802</v>
      </c>
      <c r="I187" s="2">
        <v>0.47474747474747397</v>
      </c>
      <c r="J187" s="2">
        <v>0.49773755656108598</v>
      </c>
      <c r="K187" s="2">
        <v>-0.118145568295267</v>
      </c>
      <c r="L187" s="2"/>
      <c r="M187" s="2" t="e">
        <f>(Table1[[#This Row],[poisson_likelihood]] - (1-Table1[[#This Row],[poisson_likelihood]])/(1/Table1[[#This Row],[365 implied]]-1))/4</f>
        <v>#DIV/0!</v>
      </c>
      <c r="N187" s="7" t="e">
        <f>Table1[[#This Row],[kelly/4 365]]*$U$2</f>
        <v>#DIV/0!</v>
      </c>
      <c r="O187" s="2"/>
      <c r="P187" s="2" t="e">
        <f>(Table1[[#This Row],[poisson_likelihood]] - (1-Table1[[#This Row],[poisson_likelihood]])/(1/Table1[[#This Row],[99/pinn implied]]-1))/4</f>
        <v>#DIV/0!</v>
      </c>
      <c r="Q187" s="7" t="e">
        <f>Table1[[#This Row],[kelly/4 99]]*$U$2</f>
        <v>#DIV/0!</v>
      </c>
      <c r="R187" s="2"/>
      <c r="S18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modelled_likelihoods_weight4_20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2024-11-12T12:58:24Z</dcterms:created>
  <dcterms:modified xsi:type="dcterms:W3CDTF">2024-11-13T15:01:12Z</dcterms:modified>
</cp:coreProperties>
</file>