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BC4C9AFC-59AA-C440-AE2E-A5B6FFAA9008}" xr6:coauthVersionLast="47" xr6:coauthVersionMax="47" xr10:uidLastSave="{00000000-0000-0000-0000-000000000000}"/>
  <bookViews>
    <workbookView xWindow="-28800" yWindow="5100" windowWidth="28800" windowHeight="1750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41" i="1"/>
  <c r="L41" i="1"/>
  <c r="L35" i="1"/>
  <c r="O35" i="1"/>
  <c r="O33" i="1"/>
  <c r="L33" i="1"/>
  <c r="O32" i="1"/>
  <c r="L32" i="1"/>
  <c r="O34" i="1"/>
  <c r="L34" i="1"/>
  <c r="O28" i="1"/>
  <c r="L28" i="1"/>
  <c r="O36" i="1"/>
  <c r="L36" i="1"/>
  <c r="O31" i="1"/>
  <c r="L31" i="1"/>
  <c r="O29" i="1"/>
  <c r="L29" i="1"/>
  <c r="O26" i="1"/>
  <c r="L26" i="1"/>
  <c r="O23" i="1"/>
  <c r="L23" i="1"/>
  <c r="O22" i="1"/>
  <c r="L22" i="1"/>
  <c r="O25" i="1"/>
  <c r="L25" i="1"/>
  <c r="O24" i="1"/>
  <c r="L24" i="1"/>
  <c r="O20" i="1"/>
  <c r="L20" i="1"/>
  <c r="O16" i="1"/>
  <c r="L16" i="1"/>
  <c r="L13" i="1"/>
  <c r="O13" i="1"/>
  <c r="O40" i="1"/>
  <c r="L40" i="1"/>
  <c r="O39" i="1"/>
  <c r="L39" i="1"/>
  <c r="O37" i="1"/>
  <c r="L37" i="1"/>
  <c r="O27" i="1"/>
  <c r="L27" i="1"/>
  <c r="O17" i="1"/>
  <c r="L17" i="1"/>
  <c r="O18" i="1"/>
  <c r="L18" i="1"/>
  <c r="O12" i="1"/>
  <c r="L12" i="1"/>
  <c r="O38" i="1"/>
  <c r="L38" i="1"/>
  <c r="O21" i="1"/>
  <c r="L21" i="1"/>
  <c r="O8" i="1"/>
  <c r="L8" i="1"/>
  <c r="O10" i="1"/>
  <c r="L10" i="1"/>
  <c r="O6" i="1"/>
  <c r="L6" i="1"/>
  <c r="O5" i="1"/>
  <c r="L5" i="1"/>
  <c r="O19" i="1"/>
  <c r="L19" i="1"/>
  <c r="L14" i="1"/>
  <c r="M14" i="1" s="1"/>
  <c r="N14" i="1" s="1"/>
  <c r="O14" i="1"/>
  <c r="O11" i="1"/>
  <c r="L11" i="1"/>
  <c r="O9" i="1"/>
  <c r="L9" i="1"/>
  <c r="O7" i="1"/>
  <c r="L7" i="1"/>
  <c r="O4" i="1"/>
  <c r="L4" i="1"/>
  <c r="O3" i="1"/>
  <c r="L3" i="1"/>
  <c r="O2" i="1"/>
  <c r="P7" i="1"/>
  <c r="Q7" i="1" s="1"/>
  <c r="P8" i="1"/>
  <c r="Q8" i="1" s="1"/>
  <c r="P9" i="1"/>
  <c r="Q9" i="1" s="1"/>
  <c r="P15" i="1"/>
  <c r="Q15" i="1" s="1"/>
  <c r="P16" i="1"/>
  <c r="Q16" i="1" s="1"/>
  <c r="P17" i="1"/>
  <c r="Q17" i="1" s="1"/>
  <c r="P24" i="1"/>
  <c r="Q24" i="1" s="1"/>
  <c r="P25" i="1"/>
  <c r="Q25" i="1" s="1"/>
  <c r="P31" i="1"/>
  <c r="Q31" i="1" s="1"/>
  <c r="P32" i="1"/>
  <c r="Q32" i="1" s="1"/>
  <c r="P33" i="1"/>
  <c r="Q33" i="1" s="1"/>
  <c r="P39" i="1"/>
  <c r="Q39" i="1" s="1"/>
  <c r="P41" i="1"/>
  <c r="Q41" i="1" s="1"/>
  <c r="P48" i="1"/>
  <c r="Q48" i="1" s="1"/>
  <c r="P49" i="1"/>
  <c r="Q49" i="1" s="1"/>
  <c r="P55" i="1"/>
  <c r="Q55" i="1" s="1"/>
  <c r="P56" i="1"/>
  <c r="Q56" i="1" s="1"/>
  <c r="P57" i="1"/>
  <c r="Q57" i="1" s="1"/>
  <c r="P63" i="1"/>
  <c r="Q63" i="1" s="1"/>
  <c r="P64" i="1"/>
  <c r="Q64" i="1" s="1"/>
  <c r="P65" i="1"/>
  <c r="Q65" i="1" s="1"/>
  <c r="P72" i="1"/>
  <c r="Q72" i="1" s="1"/>
  <c r="P73" i="1"/>
  <c r="Q73" i="1" s="1"/>
  <c r="P80" i="1"/>
  <c r="Q80" i="1" s="1"/>
  <c r="P81" i="1"/>
  <c r="Q81" i="1" s="1"/>
  <c r="P88" i="1"/>
  <c r="Q88" i="1" s="1"/>
  <c r="P89" i="1"/>
  <c r="Q89" i="1" s="1"/>
  <c r="P96" i="1"/>
  <c r="Q96" i="1" s="1"/>
  <c r="P97" i="1"/>
  <c r="Q97" i="1" s="1"/>
  <c r="P103" i="1"/>
  <c r="Q103" i="1" s="1"/>
  <c r="P104" i="1"/>
  <c r="Q104" i="1" s="1"/>
  <c r="P105" i="1"/>
  <c r="Q105" i="1" s="1"/>
  <c r="P111" i="1"/>
  <c r="Q111" i="1" s="1"/>
  <c r="P112" i="1"/>
  <c r="Q112" i="1" s="1"/>
  <c r="P113" i="1"/>
  <c r="Q113" i="1" s="1"/>
  <c r="P120" i="1"/>
  <c r="Q120" i="1" s="1"/>
  <c r="P127" i="1"/>
  <c r="Q127" i="1" s="1"/>
  <c r="P128" i="1"/>
  <c r="Q128" i="1" s="1"/>
  <c r="P136" i="1"/>
  <c r="Q136" i="1" s="1"/>
  <c r="P145" i="1"/>
  <c r="Q145" i="1" s="1"/>
  <c r="P151" i="1"/>
  <c r="Q151" i="1" s="1"/>
  <c r="P152" i="1"/>
  <c r="Q152" i="1" s="1"/>
  <c r="P153" i="1"/>
  <c r="Q153" i="1" s="1"/>
  <c r="P159" i="1"/>
  <c r="Q159" i="1" s="1"/>
  <c r="P160" i="1"/>
  <c r="Q160" i="1" s="1"/>
  <c r="P161" i="1"/>
  <c r="Q161" i="1" s="1"/>
  <c r="P167" i="1"/>
  <c r="Q167" i="1" s="1"/>
  <c r="P168" i="1"/>
  <c r="Q168" i="1" s="1"/>
  <c r="P169" i="1"/>
  <c r="Q169" i="1" s="1"/>
  <c r="L2" i="1"/>
  <c r="M9" i="1"/>
  <c r="N9" i="1" s="1"/>
  <c r="M16" i="1"/>
  <c r="N16" i="1" s="1"/>
  <c r="M17" i="1"/>
  <c r="N17" i="1" s="1"/>
  <c r="M24" i="1"/>
  <c r="N24" i="1" s="1"/>
  <c r="M25" i="1"/>
  <c r="N25" i="1" s="1"/>
  <c r="M32" i="1"/>
  <c r="N32" i="1" s="1"/>
  <c r="M33" i="1"/>
  <c r="N33" i="1" s="1"/>
  <c r="M40" i="1"/>
  <c r="N40" i="1" s="1"/>
  <c r="M41" i="1"/>
  <c r="N41" i="1" s="1"/>
  <c r="M48" i="1"/>
  <c r="N48" i="1" s="1"/>
  <c r="M49" i="1"/>
  <c r="N49" i="1" s="1"/>
  <c r="M56" i="1"/>
  <c r="N56" i="1" s="1"/>
  <c r="M57" i="1"/>
  <c r="N57" i="1" s="1"/>
  <c r="M64" i="1"/>
  <c r="N64" i="1" s="1"/>
  <c r="M65" i="1"/>
  <c r="N65" i="1" s="1"/>
  <c r="M73" i="1"/>
  <c r="N73" i="1" s="1"/>
  <c r="M80" i="1"/>
  <c r="N80" i="1" s="1"/>
  <c r="M81" i="1"/>
  <c r="N81" i="1" s="1"/>
  <c r="M88" i="1"/>
  <c r="N88" i="1" s="1"/>
  <c r="M89" i="1"/>
  <c r="N89" i="1" s="1"/>
  <c r="M97" i="1"/>
  <c r="N97" i="1" s="1"/>
  <c r="M104" i="1"/>
  <c r="N104" i="1" s="1"/>
  <c r="M112" i="1"/>
  <c r="N112" i="1" s="1"/>
  <c r="M120" i="1"/>
  <c r="N120" i="1" s="1"/>
  <c r="M121" i="1"/>
  <c r="N121" i="1" s="1"/>
  <c r="M128" i="1"/>
  <c r="N128" i="1" s="1"/>
  <c r="M129" i="1"/>
  <c r="N129" i="1" s="1"/>
  <c r="M137" i="1"/>
  <c r="N137" i="1" s="1"/>
  <c r="M144" i="1"/>
  <c r="N144" i="1" s="1"/>
  <c r="M145" i="1"/>
  <c r="N145" i="1" s="1"/>
  <c r="M152" i="1"/>
  <c r="N152" i="1" s="1"/>
  <c r="M153" i="1"/>
  <c r="N153" i="1" s="1"/>
  <c r="M161" i="1"/>
  <c r="N161" i="1" s="1"/>
  <c r="M169" i="1"/>
  <c r="N169" i="1" s="1"/>
  <c r="Q76" i="1"/>
  <c r="Q102" i="1"/>
  <c r="Q134" i="1"/>
  <c r="Q164" i="1"/>
  <c r="N166" i="1"/>
  <c r="V1" i="1"/>
  <c r="S59" i="1"/>
  <c r="S107" i="1"/>
  <c r="S34" i="1"/>
  <c r="S126" i="1"/>
  <c r="S15" i="1"/>
  <c r="S145" i="1"/>
  <c r="S54" i="1"/>
  <c r="S120" i="1"/>
  <c r="S95" i="1"/>
  <c r="S71" i="1"/>
  <c r="S53" i="1"/>
  <c r="S117" i="1"/>
  <c r="S165" i="1"/>
  <c r="S131" i="1"/>
  <c r="S41" i="1"/>
  <c r="S50" i="1"/>
  <c r="S102" i="1"/>
  <c r="S28" i="1"/>
  <c r="S130" i="1"/>
  <c r="S57" i="1"/>
  <c r="S110" i="1"/>
  <c r="S111" i="1"/>
  <c r="S79" i="1"/>
  <c r="S62" i="1"/>
  <c r="S89" i="1"/>
  <c r="S121" i="1"/>
  <c r="S58" i="1"/>
  <c r="S159" i="1"/>
  <c r="S31" i="1"/>
  <c r="S140" i="1"/>
  <c r="S30" i="1"/>
  <c r="S116" i="1"/>
  <c r="S47" i="1"/>
  <c r="S6" i="1"/>
  <c r="S156" i="1"/>
  <c r="S5" i="1"/>
  <c r="S163" i="1"/>
  <c r="S103" i="1"/>
  <c r="S86" i="1"/>
  <c r="S23" i="1"/>
  <c r="S142" i="1"/>
  <c r="S10" i="1"/>
  <c r="S141" i="1"/>
  <c r="S83" i="1"/>
  <c r="S96" i="1"/>
  <c r="S36" i="1"/>
  <c r="S147" i="1"/>
  <c r="S153" i="1"/>
  <c r="S29" i="1"/>
  <c r="S26" i="1"/>
  <c r="S164" i="1"/>
  <c r="S106" i="1"/>
  <c r="S55" i="1"/>
  <c r="S22" i="1"/>
  <c r="S128" i="1"/>
  <c r="S56" i="1"/>
  <c r="S124" i="1"/>
  <c r="S129" i="1"/>
  <c r="S46" i="1"/>
  <c r="S152" i="1"/>
  <c r="S37" i="1"/>
  <c r="S77" i="1"/>
  <c r="S85" i="1"/>
  <c r="S80" i="1"/>
  <c r="S92" i="1"/>
  <c r="S115" i="1"/>
  <c r="S43" i="1"/>
  <c r="S18" i="1"/>
  <c r="S136" i="1"/>
  <c r="S105" i="1"/>
  <c r="S78" i="1"/>
  <c r="S12" i="1"/>
  <c r="S135" i="1"/>
  <c r="S40" i="1"/>
  <c r="S132" i="1"/>
  <c r="S39" i="1"/>
  <c r="S154" i="1"/>
  <c r="S94" i="1"/>
  <c r="S75" i="1"/>
  <c r="S17" i="1"/>
  <c r="S144" i="1"/>
  <c r="S27" i="1"/>
  <c r="S138" i="1"/>
  <c r="S127" i="1"/>
  <c r="S44" i="1"/>
  <c r="S70" i="1"/>
  <c r="S109" i="1"/>
  <c r="S139" i="1"/>
  <c r="S19" i="1"/>
  <c r="S119" i="1"/>
  <c r="S33" i="1"/>
  <c r="S167" i="1"/>
  <c r="S11" i="1"/>
  <c r="S61" i="1"/>
  <c r="S108" i="1"/>
  <c r="S150" i="1"/>
  <c r="S4" i="1"/>
  <c r="S114" i="1"/>
  <c r="S60" i="1"/>
  <c r="S151" i="1"/>
  <c r="S9" i="1"/>
  <c r="S52" i="1"/>
  <c r="S112" i="1"/>
  <c r="S122" i="1"/>
  <c r="S66" i="1"/>
  <c r="S158" i="1"/>
  <c r="S32" i="1"/>
  <c r="S14" i="1"/>
  <c r="S162" i="1"/>
  <c r="S7" i="1"/>
  <c r="S146" i="1"/>
  <c r="S169" i="1"/>
  <c r="S3" i="1"/>
  <c r="S148" i="1"/>
  <c r="S42" i="1"/>
  <c r="S161" i="1"/>
  <c r="S13" i="1"/>
  <c r="S113" i="1"/>
  <c r="S68" i="1"/>
  <c r="S133" i="1"/>
  <c r="S20" i="1"/>
  <c r="S166" i="1"/>
  <c r="S25" i="1"/>
  <c r="S104" i="1"/>
  <c r="S76" i="1"/>
  <c r="S168" i="1"/>
  <c r="S16" i="1"/>
  <c r="S88" i="1"/>
  <c r="S84" i="1"/>
  <c r="S99" i="1"/>
  <c r="S82" i="1"/>
  <c r="S24" i="1"/>
  <c r="S160" i="1"/>
  <c r="S100" i="1"/>
  <c r="S91" i="1"/>
  <c r="S134" i="1"/>
  <c r="S45" i="1"/>
  <c r="S137" i="1"/>
  <c r="S48" i="1"/>
  <c r="S63" i="1"/>
  <c r="S90" i="1"/>
  <c r="S155" i="1"/>
  <c r="S35" i="1"/>
  <c r="S73" i="1"/>
  <c r="S101" i="1"/>
  <c r="S98" i="1"/>
  <c r="S74" i="1"/>
  <c r="S67" i="1"/>
  <c r="S65" i="1"/>
  <c r="S72" i="1"/>
  <c r="S87" i="1"/>
  <c r="S123" i="1"/>
  <c r="S51" i="1"/>
  <c r="S118" i="1"/>
  <c r="S64" i="1"/>
  <c r="S149" i="1"/>
  <c r="S8" i="1"/>
  <c r="S157" i="1"/>
  <c r="S38" i="1"/>
  <c r="S143" i="1"/>
  <c r="S21" i="1"/>
  <c r="S125" i="1"/>
  <c r="S49" i="1"/>
  <c r="S81" i="1"/>
  <c r="S93" i="1"/>
  <c r="S69" i="1"/>
  <c r="S97" i="1"/>
  <c r="P59" i="1"/>
  <c r="Q59" i="1" s="1"/>
  <c r="P107" i="1"/>
  <c r="Q107" i="1" s="1"/>
  <c r="P34" i="1"/>
  <c r="Q34" i="1" s="1"/>
  <c r="P126" i="1"/>
  <c r="Q126" i="1" s="1"/>
  <c r="P54" i="1"/>
  <c r="Q54" i="1" s="1"/>
  <c r="P95" i="1"/>
  <c r="Q95" i="1" s="1"/>
  <c r="P71" i="1"/>
  <c r="Q71" i="1" s="1"/>
  <c r="P53" i="1"/>
  <c r="Q53" i="1" s="1"/>
  <c r="P117" i="1"/>
  <c r="Q117" i="1" s="1"/>
  <c r="P165" i="1"/>
  <c r="Q165" i="1" s="1"/>
  <c r="P131" i="1"/>
  <c r="Q131" i="1" s="1"/>
  <c r="P50" i="1"/>
  <c r="Q50" i="1" s="1"/>
  <c r="P102" i="1"/>
  <c r="P28" i="1"/>
  <c r="Q28" i="1" s="1"/>
  <c r="P130" i="1"/>
  <c r="Q130" i="1" s="1"/>
  <c r="P110" i="1"/>
  <c r="Q110" i="1" s="1"/>
  <c r="P79" i="1"/>
  <c r="Q79" i="1" s="1"/>
  <c r="P62" i="1"/>
  <c r="Q62" i="1" s="1"/>
  <c r="P121" i="1"/>
  <c r="Q121" i="1" s="1"/>
  <c r="P58" i="1"/>
  <c r="Q58" i="1" s="1"/>
  <c r="P140" i="1"/>
  <c r="Q140" i="1" s="1"/>
  <c r="P30" i="1"/>
  <c r="Q30" i="1" s="1"/>
  <c r="P116" i="1"/>
  <c r="Q116" i="1" s="1"/>
  <c r="P47" i="1"/>
  <c r="Q47" i="1" s="1"/>
  <c r="P6" i="1"/>
  <c r="Q6" i="1" s="1"/>
  <c r="P156" i="1"/>
  <c r="Q156" i="1" s="1"/>
  <c r="P5" i="1"/>
  <c r="Q5" i="1" s="1"/>
  <c r="P163" i="1"/>
  <c r="Q163" i="1" s="1"/>
  <c r="P86" i="1"/>
  <c r="Q86" i="1" s="1"/>
  <c r="P23" i="1"/>
  <c r="Q23" i="1" s="1"/>
  <c r="P142" i="1"/>
  <c r="Q142" i="1" s="1"/>
  <c r="P10" i="1"/>
  <c r="Q10" i="1" s="1"/>
  <c r="P141" i="1"/>
  <c r="Q141" i="1" s="1"/>
  <c r="P83" i="1"/>
  <c r="Q83" i="1" s="1"/>
  <c r="P36" i="1"/>
  <c r="Q36" i="1" s="1"/>
  <c r="P147" i="1"/>
  <c r="Q147" i="1" s="1"/>
  <c r="P29" i="1"/>
  <c r="Q29" i="1" s="1"/>
  <c r="P26" i="1"/>
  <c r="Q26" i="1" s="1"/>
  <c r="P164" i="1"/>
  <c r="P106" i="1"/>
  <c r="Q106" i="1" s="1"/>
  <c r="P22" i="1"/>
  <c r="Q22" i="1" s="1"/>
  <c r="P124" i="1"/>
  <c r="Q124" i="1" s="1"/>
  <c r="P129" i="1"/>
  <c r="Q129" i="1" s="1"/>
  <c r="P46" i="1"/>
  <c r="Q46" i="1" s="1"/>
  <c r="P37" i="1"/>
  <c r="Q37" i="1" s="1"/>
  <c r="P77" i="1"/>
  <c r="Q77" i="1" s="1"/>
  <c r="P85" i="1"/>
  <c r="Q85" i="1" s="1"/>
  <c r="P92" i="1"/>
  <c r="Q92" i="1" s="1"/>
  <c r="P115" i="1"/>
  <c r="Q115" i="1" s="1"/>
  <c r="P43" i="1"/>
  <c r="Q43" i="1" s="1"/>
  <c r="P18" i="1"/>
  <c r="Q18" i="1" s="1"/>
  <c r="P78" i="1"/>
  <c r="Q78" i="1" s="1"/>
  <c r="P12" i="1"/>
  <c r="Q12" i="1" s="1"/>
  <c r="P135" i="1"/>
  <c r="Q135" i="1" s="1"/>
  <c r="P40" i="1"/>
  <c r="Q40" i="1" s="1"/>
  <c r="P132" i="1"/>
  <c r="Q132" i="1" s="1"/>
  <c r="P154" i="1"/>
  <c r="Q154" i="1" s="1"/>
  <c r="P94" i="1"/>
  <c r="Q94" i="1" s="1"/>
  <c r="P75" i="1"/>
  <c r="Q75" i="1" s="1"/>
  <c r="P144" i="1"/>
  <c r="Q144" i="1" s="1"/>
  <c r="P27" i="1"/>
  <c r="Q27" i="1" s="1"/>
  <c r="P138" i="1"/>
  <c r="Q138" i="1" s="1"/>
  <c r="P44" i="1"/>
  <c r="Q44" i="1" s="1"/>
  <c r="P70" i="1"/>
  <c r="Q70" i="1" s="1"/>
  <c r="P109" i="1"/>
  <c r="Q109" i="1" s="1"/>
  <c r="P139" i="1"/>
  <c r="Q139" i="1" s="1"/>
  <c r="P19" i="1"/>
  <c r="Q19" i="1" s="1"/>
  <c r="P119" i="1"/>
  <c r="Q119" i="1" s="1"/>
  <c r="P11" i="1"/>
  <c r="Q11" i="1" s="1"/>
  <c r="P61" i="1"/>
  <c r="Q61" i="1" s="1"/>
  <c r="P108" i="1"/>
  <c r="Q108" i="1" s="1"/>
  <c r="P150" i="1"/>
  <c r="Q150" i="1" s="1"/>
  <c r="P4" i="1"/>
  <c r="Q4" i="1" s="1"/>
  <c r="P114" i="1"/>
  <c r="Q114" i="1" s="1"/>
  <c r="P60" i="1"/>
  <c r="Q60" i="1" s="1"/>
  <c r="P52" i="1"/>
  <c r="Q52" i="1" s="1"/>
  <c r="P122" i="1"/>
  <c r="Q122" i="1" s="1"/>
  <c r="P66" i="1"/>
  <c r="Q66" i="1" s="1"/>
  <c r="P158" i="1"/>
  <c r="Q158" i="1" s="1"/>
  <c r="P14" i="1"/>
  <c r="Q14" i="1" s="1"/>
  <c r="P162" i="1"/>
  <c r="Q162" i="1" s="1"/>
  <c r="P146" i="1"/>
  <c r="Q146" i="1" s="1"/>
  <c r="P3" i="1"/>
  <c r="Q3" i="1" s="1"/>
  <c r="P148" i="1"/>
  <c r="Q148" i="1" s="1"/>
  <c r="P42" i="1"/>
  <c r="Q42" i="1" s="1"/>
  <c r="P13" i="1"/>
  <c r="Q13" i="1" s="1"/>
  <c r="P68" i="1"/>
  <c r="Q68" i="1" s="1"/>
  <c r="P133" i="1"/>
  <c r="Q133" i="1" s="1"/>
  <c r="P20" i="1"/>
  <c r="Q20" i="1" s="1"/>
  <c r="P166" i="1"/>
  <c r="Q166" i="1" s="1"/>
  <c r="P76" i="1"/>
  <c r="P84" i="1"/>
  <c r="Q84" i="1" s="1"/>
  <c r="P99" i="1"/>
  <c r="Q99" i="1" s="1"/>
  <c r="P82" i="1"/>
  <c r="Q82" i="1" s="1"/>
  <c r="P100" i="1"/>
  <c r="Q100" i="1" s="1"/>
  <c r="P91" i="1"/>
  <c r="Q91" i="1" s="1"/>
  <c r="P134" i="1"/>
  <c r="P45" i="1"/>
  <c r="Q45" i="1" s="1"/>
  <c r="P137" i="1"/>
  <c r="Q137" i="1" s="1"/>
  <c r="P90" i="1"/>
  <c r="Q90" i="1" s="1"/>
  <c r="P155" i="1"/>
  <c r="Q155" i="1" s="1"/>
  <c r="P35" i="1"/>
  <c r="Q35" i="1" s="1"/>
  <c r="P101" i="1"/>
  <c r="Q101" i="1" s="1"/>
  <c r="P98" i="1"/>
  <c r="Q98" i="1" s="1"/>
  <c r="P74" i="1"/>
  <c r="Q74" i="1" s="1"/>
  <c r="P67" i="1"/>
  <c r="Q67" i="1" s="1"/>
  <c r="P87" i="1"/>
  <c r="Q87" i="1" s="1"/>
  <c r="P123" i="1"/>
  <c r="Q123" i="1" s="1"/>
  <c r="P51" i="1"/>
  <c r="Q51" i="1" s="1"/>
  <c r="P118" i="1"/>
  <c r="Q118" i="1" s="1"/>
  <c r="P149" i="1"/>
  <c r="Q149" i="1" s="1"/>
  <c r="P157" i="1"/>
  <c r="Q157" i="1" s="1"/>
  <c r="P38" i="1"/>
  <c r="Q38" i="1" s="1"/>
  <c r="P143" i="1"/>
  <c r="Q143" i="1" s="1"/>
  <c r="P21" i="1"/>
  <c r="Q21" i="1" s="1"/>
  <c r="P125" i="1"/>
  <c r="Q125" i="1" s="1"/>
  <c r="P93" i="1"/>
  <c r="Q93" i="1" s="1"/>
  <c r="P69" i="1"/>
  <c r="Q69" i="1" s="1"/>
  <c r="M59" i="1"/>
  <c r="N59" i="1" s="1"/>
  <c r="M107" i="1"/>
  <c r="N107" i="1" s="1"/>
  <c r="M34" i="1"/>
  <c r="N34" i="1" s="1"/>
  <c r="M126" i="1"/>
  <c r="N126" i="1" s="1"/>
  <c r="M15" i="1"/>
  <c r="N15" i="1" s="1"/>
  <c r="M54" i="1"/>
  <c r="N54" i="1" s="1"/>
  <c r="M95" i="1"/>
  <c r="N95" i="1" s="1"/>
  <c r="M71" i="1"/>
  <c r="N71" i="1" s="1"/>
  <c r="M53" i="1"/>
  <c r="N53" i="1" s="1"/>
  <c r="M117" i="1"/>
  <c r="N117" i="1" s="1"/>
  <c r="M165" i="1"/>
  <c r="N165" i="1" s="1"/>
  <c r="M131" i="1"/>
  <c r="N131" i="1" s="1"/>
  <c r="M50" i="1"/>
  <c r="N50" i="1" s="1"/>
  <c r="M102" i="1"/>
  <c r="N102" i="1" s="1"/>
  <c r="M28" i="1"/>
  <c r="N28" i="1" s="1"/>
  <c r="M130" i="1"/>
  <c r="N130" i="1" s="1"/>
  <c r="M110" i="1"/>
  <c r="N110" i="1" s="1"/>
  <c r="M111" i="1"/>
  <c r="N111" i="1" s="1"/>
  <c r="M79" i="1"/>
  <c r="N79" i="1" s="1"/>
  <c r="M62" i="1"/>
  <c r="N62" i="1" s="1"/>
  <c r="M58" i="1"/>
  <c r="N58" i="1" s="1"/>
  <c r="M159" i="1"/>
  <c r="N159" i="1" s="1"/>
  <c r="M31" i="1"/>
  <c r="N31" i="1" s="1"/>
  <c r="M140" i="1"/>
  <c r="N140" i="1" s="1"/>
  <c r="M30" i="1"/>
  <c r="N30" i="1" s="1"/>
  <c r="M116" i="1"/>
  <c r="N116" i="1" s="1"/>
  <c r="M47" i="1"/>
  <c r="N47" i="1" s="1"/>
  <c r="M6" i="1"/>
  <c r="N6" i="1" s="1"/>
  <c r="M156" i="1"/>
  <c r="N156" i="1" s="1"/>
  <c r="M5" i="1"/>
  <c r="N5" i="1" s="1"/>
  <c r="M163" i="1"/>
  <c r="N163" i="1" s="1"/>
  <c r="M103" i="1"/>
  <c r="N103" i="1" s="1"/>
  <c r="M86" i="1"/>
  <c r="N86" i="1" s="1"/>
  <c r="M23" i="1"/>
  <c r="N23" i="1" s="1"/>
  <c r="M142" i="1"/>
  <c r="N142" i="1" s="1"/>
  <c r="M10" i="1"/>
  <c r="N10" i="1" s="1"/>
  <c r="M141" i="1"/>
  <c r="N141" i="1" s="1"/>
  <c r="M83" i="1"/>
  <c r="N83" i="1" s="1"/>
  <c r="M96" i="1"/>
  <c r="N96" i="1" s="1"/>
  <c r="M36" i="1"/>
  <c r="N36" i="1" s="1"/>
  <c r="M147" i="1"/>
  <c r="N147" i="1" s="1"/>
  <c r="M29" i="1"/>
  <c r="N29" i="1" s="1"/>
  <c r="M26" i="1"/>
  <c r="N26" i="1" s="1"/>
  <c r="M164" i="1"/>
  <c r="N164" i="1" s="1"/>
  <c r="M106" i="1"/>
  <c r="N106" i="1" s="1"/>
  <c r="M55" i="1"/>
  <c r="N55" i="1" s="1"/>
  <c r="M22" i="1"/>
  <c r="N22" i="1" s="1"/>
  <c r="M124" i="1"/>
  <c r="N124" i="1" s="1"/>
  <c r="M46" i="1"/>
  <c r="N46" i="1" s="1"/>
  <c r="M37" i="1"/>
  <c r="N37" i="1" s="1"/>
  <c r="M77" i="1"/>
  <c r="N77" i="1" s="1"/>
  <c r="M85" i="1"/>
  <c r="N85" i="1" s="1"/>
  <c r="M92" i="1"/>
  <c r="N92" i="1" s="1"/>
  <c r="M115" i="1"/>
  <c r="N115" i="1" s="1"/>
  <c r="M43" i="1"/>
  <c r="N43" i="1" s="1"/>
  <c r="M18" i="1"/>
  <c r="N18" i="1" s="1"/>
  <c r="M136" i="1"/>
  <c r="N136" i="1" s="1"/>
  <c r="M105" i="1"/>
  <c r="N105" i="1" s="1"/>
  <c r="M78" i="1"/>
  <c r="N78" i="1" s="1"/>
  <c r="M12" i="1"/>
  <c r="N12" i="1" s="1"/>
  <c r="M135" i="1"/>
  <c r="N135" i="1" s="1"/>
  <c r="M132" i="1"/>
  <c r="N132" i="1" s="1"/>
  <c r="M39" i="1"/>
  <c r="N39" i="1" s="1"/>
  <c r="M154" i="1"/>
  <c r="N154" i="1" s="1"/>
  <c r="M94" i="1"/>
  <c r="N94" i="1" s="1"/>
  <c r="M75" i="1"/>
  <c r="N75" i="1" s="1"/>
  <c r="M27" i="1"/>
  <c r="N27" i="1" s="1"/>
  <c r="M138" i="1"/>
  <c r="N138" i="1" s="1"/>
  <c r="M127" i="1"/>
  <c r="N127" i="1" s="1"/>
  <c r="M44" i="1"/>
  <c r="N44" i="1" s="1"/>
  <c r="M70" i="1"/>
  <c r="N70" i="1" s="1"/>
  <c r="M109" i="1"/>
  <c r="N109" i="1" s="1"/>
  <c r="M139" i="1"/>
  <c r="N139" i="1" s="1"/>
  <c r="M19" i="1"/>
  <c r="N19" i="1" s="1"/>
  <c r="M119" i="1"/>
  <c r="N119" i="1" s="1"/>
  <c r="M167" i="1"/>
  <c r="N167" i="1" s="1"/>
  <c r="M11" i="1"/>
  <c r="N11" i="1" s="1"/>
  <c r="M61" i="1"/>
  <c r="N61" i="1" s="1"/>
  <c r="M108" i="1"/>
  <c r="N108" i="1" s="1"/>
  <c r="M150" i="1"/>
  <c r="N150" i="1" s="1"/>
  <c r="M4" i="1"/>
  <c r="N4" i="1" s="1"/>
  <c r="M114" i="1"/>
  <c r="N114" i="1" s="1"/>
  <c r="M60" i="1"/>
  <c r="N60" i="1" s="1"/>
  <c r="M151" i="1"/>
  <c r="N151" i="1" s="1"/>
  <c r="M52" i="1"/>
  <c r="N52" i="1" s="1"/>
  <c r="M122" i="1"/>
  <c r="N122" i="1" s="1"/>
  <c r="M66" i="1"/>
  <c r="N66" i="1" s="1"/>
  <c r="M158" i="1"/>
  <c r="N158" i="1" s="1"/>
  <c r="M162" i="1"/>
  <c r="N162" i="1" s="1"/>
  <c r="M7" i="1"/>
  <c r="N7" i="1" s="1"/>
  <c r="M146" i="1"/>
  <c r="N146" i="1" s="1"/>
  <c r="M3" i="1"/>
  <c r="N3" i="1" s="1"/>
  <c r="M148" i="1"/>
  <c r="N148" i="1" s="1"/>
  <c r="M42" i="1"/>
  <c r="N42" i="1" s="1"/>
  <c r="M13" i="1"/>
  <c r="N13" i="1" s="1"/>
  <c r="M113" i="1"/>
  <c r="N113" i="1" s="1"/>
  <c r="M68" i="1"/>
  <c r="N68" i="1" s="1"/>
  <c r="M133" i="1"/>
  <c r="N133" i="1" s="1"/>
  <c r="M20" i="1"/>
  <c r="N20" i="1" s="1"/>
  <c r="M166" i="1"/>
  <c r="M76" i="1"/>
  <c r="N76" i="1" s="1"/>
  <c r="M168" i="1"/>
  <c r="N168" i="1" s="1"/>
  <c r="M84" i="1"/>
  <c r="N84" i="1" s="1"/>
  <c r="M99" i="1"/>
  <c r="N99" i="1" s="1"/>
  <c r="M82" i="1"/>
  <c r="N82" i="1" s="1"/>
  <c r="M160" i="1"/>
  <c r="N160" i="1" s="1"/>
  <c r="M100" i="1"/>
  <c r="N100" i="1" s="1"/>
  <c r="M91" i="1"/>
  <c r="N91" i="1" s="1"/>
  <c r="M134" i="1"/>
  <c r="N134" i="1" s="1"/>
  <c r="M45" i="1"/>
  <c r="N45" i="1" s="1"/>
  <c r="M63" i="1"/>
  <c r="N63" i="1" s="1"/>
  <c r="M90" i="1"/>
  <c r="N90" i="1" s="1"/>
  <c r="M155" i="1"/>
  <c r="N155" i="1" s="1"/>
  <c r="M35" i="1"/>
  <c r="N35" i="1" s="1"/>
  <c r="M101" i="1"/>
  <c r="N101" i="1" s="1"/>
  <c r="M98" i="1"/>
  <c r="N98" i="1" s="1"/>
  <c r="M74" i="1"/>
  <c r="N74" i="1" s="1"/>
  <c r="M67" i="1"/>
  <c r="N67" i="1" s="1"/>
  <c r="M72" i="1"/>
  <c r="N72" i="1" s="1"/>
  <c r="M87" i="1"/>
  <c r="N87" i="1" s="1"/>
  <c r="M123" i="1"/>
  <c r="N123" i="1" s="1"/>
  <c r="M51" i="1"/>
  <c r="N51" i="1" s="1"/>
  <c r="M118" i="1"/>
  <c r="N118" i="1" s="1"/>
  <c r="M149" i="1"/>
  <c r="N149" i="1" s="1"/>
  <c r="M8" i="1"/>
  <c r="N8" i="1" s="1"/>
  <c r="M157" i="1"/>
  <c r="N157" i="1" s="1"/>
  <c r="M38" i="1"/>
  <c r="N38" i="1" s="1"/>
  <c r="M143" i="1"/>
  <c r="N143" i="1" s="1"/>
  <c r="M21" i="1"/>
  <c r="N21" i="1" s="1"/>
  <c r="M125" i="1"/>
  <c r="N125" i="1" s="1"/>
  <c r="M93" i="1"/>
  <c r="N93" i="1" s="1"/>
  <c r="M69" i="1"/>
  <c r="N69" i="1" s="1"/>
  <c r="V4" i="1" l="1"/>
</calcChain>
</file>

<file path=xl/sharedStrings.xml><?xml version="1.0" encoding="utf-8"?>
<sst xmlns="http://schemas.openxmlformats.org/spreadsheetml/2006/main" count="394" uniqueCount="110">
  <si>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</si>
  <si>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</si>
  <si>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</si>
  <si>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</si>
  <si>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</si>
  <si>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</si>
  <si>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</si>
  <si>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</si>
  <si>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</si>
  <si>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</si>
  <si>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</si>
  <si>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Alex Tuch</t>
  </si>
  <si>
    <t>Over</t>
  </si>
  <si>
    <t>Under</t>
  </si>
  <si>
    <t>Brendan Gallagher</t>
  </si>
  <si>
    <t>Cole Caufield</t>
  </si>
  <si>
    <t>Dylan Cozens</t>
  </si>
  <si>
    <t>Jack Quinn</t>
  </si>
  <si>
    <t>Jason Zucker</t>
  </si>
  <si>
    <t>JJ Peterka</t>
  </si>
  <si>
    <t>Juraj Slafkovsky</t>
  </si>
  <si>
    <t>Kirby Dach</t>
  </si>
  <si>
    <t>Mike Matheson</t>
  </si>
  <si>
    <t>Nick Suzuki</t>
  </si>
  <si>
    <t>Rasmus Dahlin</t>
  </si>
  <si>
    <t>Tage Thompson</t>
  </si>
  <si>
    <t>Bryan Rust</t>
  </si>
  <si>
    <t>Drew O'Connor</t>
  </si>
  <si>
    <t>Erik Karlsson</t>
  </si>
  <si>
    <t>Evgeni Malkin</t>
  </si>
  <si>
    <t>Jamie Benn</t>
  </si>
  <si>
    <t>Jason Robertson</t>
  </si>
  <si>
    <t>Kris Letang</t>
  </si>
  <si>
    <t>Mason Marchment</t>
  </si>
  <si>
    <t>Matt Duchene</t>
  </si>
  <si>
    <t>Michael Bunting</t>
  </si>
  <si>
    <t>Miro Heiskanen</t>
  </si>
  <si>
    <t>Rickard Rakell</t>
  </si>
  <si>
    <t>Roope Hintz</t>
  </si>
  <si>
    <t>Sidney Crosby</t>
  </si>
  <si>
    <t>Thomas Harley</t>
  </si>
  <si>
    <t>Tyler Seguin</t>
  </si>
  <si>
    <t>Wyatt Johnston</t>
  </si>
  <si>
    <t>Bobby Brink</t>
  </si>
  <si>
    <t>Fabian Zetterlund</t>
  </si>
  <si>
    <t>Joel Farabee</t>
  </si>
  <si>
    <t>Mikael Granlund</t>
  </si>
  <si>
    <t>Morgan Frost</t>
  </si>
  <si>
    <t>Owen Tippett</t>
  </si>
  <si>
    <t>Scott Laughton</t>
  </si>
  <si>
    <t>Sean Couturier</t>
  </si>
  <si>
    <t>Travis Konecny</t>
  </si>
  <si>
    <t>Travis Sanheim</t>
  </si>
  <si>
    <t>Tyler Toffoli</t>
  </si>
  <si>
    <t>Tyson Foerster</t>
  </si>
  <si>
    <t>William Eklund</t>
  </si>
  <si>
    <t>Adrian Kempe</t>
  </si>
  <si>
    <t>Alex Laferriere</t>
  </si>
  <si>
    <t>Blake Coleman</t>
  </si>
  <si>
    <t>Jonathan Huberdeau</t>
  </si>
  <si>
    <t>Kevin Fiala</t>
  </si>
  <si>
    <t>MacKenzie Weegar</t>
  </si>
  <si>
    <t>Mikael Backlund</t>
  </si>
  <si>
    <t>Nazem Kadri</t>
  </si>
  <si>
    <t>Phillip Danault</t>
  </si>
  <si>
    <t>Quinton Byfield</t>
  </si>
  <si>
    <t>Rasmus Andersson</t>
  </si>
  <si>
    <t>Trevor Moore</t>
  </si>
  <si>
    <t>Warren Foegele</t>
  </si>
  <si>
    <t>Yegor Sharangovich</t>
  </si>
  <si>
    <t>Anze Kopitar</t>
  </si>
  <si>
    <t>Artturi Lehkonen</t>
  </si>
  <si>
    <t>Brady Skjei</t>
  </si>
  <si>
    <t>Cale Makar</t>
  </si>
  <si>
    <t>Casey Mittelstadt</t>
  </si>
  <si>
    <t>Devon Toews</t>
  </si>
  <si>
    <t>Filip Forsberg</t>
  </si>
  <si>
    <t>Jonathan Marchessault</t>
  </si>
  <si>
    <t>Mikko Rantanen</t>
  </si>
  <si>
    <t>Nathan MacKinnon</t>
  </si>
  <si>
    <t>Roman Josi</t>
  </si>
  <si>
    <t>Ryan O'Reilly</t>
  </si>
  <si>
    <t>Steven Stamkos</t>
  </si>
  <si>
    <t>Alex Pietrangelo</t>
  </si>
  <si>
    <t>Andrei Svechnikov</t>
  </si>
  <si>
    <t>Brent Burns</t>
  </si>
  <si>
    <t>Jack Eichel</t>
  </si>
  <si>
    <t>Jack Roslovic</t>
  </si>
  <si>
    <t>Jordan Martinook</t>
  </si>
  <si>
    <t>Martin Necas</t>
  </si>
  <si>
    <t>Noah Hanifin</t>
  </si>
  <si>
    <t>Pavel Dorofeyev</t>
  </si>
  <si>
    <t>Sebastian Aho</t>
  </si>
  <si>
    <t>Seth Jarvis</t>
  </si>
  <si>
    <t>Shea Theodore</t>
  </si>
  <si>
    <t>Tomas Hertl</t>
  </si>
  <si>
    <t>William Karlsson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</si>
  <si>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</si>
  <si>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</si>
  <si>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</si>
  <si>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</si>
  <si>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</si>
  <si>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</si>
  <si>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</si>
  <si>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</si>
  <si>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</si>
  <si>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</si>
  <si>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W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</si>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</sst>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  <xf numFmtId="44" fontId="0" fillId="34" borderId="0" xfId="2" applyNumberFormat="1" applyFont="1" applyFill="1"/>
    <xf numFmtId="10" fontId="0" fillId="0" borderId="0" xfId="2" applyNumberFormat="1" applyFont="1" applyFill="1"/>
    <xf numFmtId="10" fontId="0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69" totalsRowShown="0">
  <autoFilter ref="A1:S169" xr:uid="{00000000-0009-0000-0100-000001000000}"/>
  <sortState xmlns:xlrd2="http://schemas.microsoft.com/office/spreadsheetml/2017/richdata2" ref="A2:S169">
    <sortCondition descending="1" ref="K1:K169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3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2" dataCellStyle="Percent"/>
    <tableColumn id="7" xr3:uid="{00000000-0010-0000-0000-000007000000}" name="normal_likelihood" dataDxfId="11" dataCellStyle="Percent"/>
    <tableColumn id="8" xr3:uid="{00000000-0010-0000-0000-000008000000}" name="poisson_likelihood" dataDxfId="10" dataCellStyle="Percent"/>
    <tableColumn id="9" xr3:uid="{00000000-0010-0000-0000-000009000000}" name="raw_data_likelihood" dataDxfId="9" dataCellStyle="Percent"/>
    <tableColumn id="10" xr3:uid="{00000000-0010-0000-0000-00000A000000}" name="weighted_likelihood" dataDxfId="8" dataCellStyle="Percent"/>
    <tableColumn id="11" xr3:uid="{00000000-0010-0000-0000-00000B000000}" name="poisson_kelly" dataDxfId="7" dataCellStyle="Percent"/>
    <tableColumn id="12" xr3:uid="{00000000-0010-0000-0000-00000C000000}" name="365 implied" dataDxfId="6" dataCellStyle="Percent">
      <calculatedColumnFormula>1/1.55</calculatedColumnFormula>
    </tableColumn>
    <tableColumn id="13" xr3:uid="{00000000-0010-0000-0000-00000D000000}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DxfId="4" dataCellStyle="Percent">
      <calculatedColumnFormula>Table1[[#This Row],[kelly/4 365]]*0.8*$U$2</calculatedColumnFormula>
    </tableColumn>
    <tableColumn id="15" xr3:uid="{00000000-0010-0000-0000-00000F000000}" name="99/pinn implied" dataDxfId="3" dataCellStyle="Percent">
      <calculatedColumnFormula>1/1.57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DxfId="1" dataCellStyle="Percent">
      <calculatedColumnFormula>Table1[[#This Row],[kelly/4 99]]*0.8*$U$2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9"/>
  <sheetViews>
    <sheetView tabSelected="1" topLeftCell="D1" workbookViewId="0">
      <selection activeCell="T4" sqref="T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3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97</v>
      </c>
      <c r="M1" s="2" t="s">
        <v>98</v>
      </c>
      <c r="N1" s="3" t="s">
        <v>99</v>
      </c>
      <c r="O1" s="2" t="s">
        <v>100</v>
      </c>
      <c r="P1" s="2" t="s">
        <v>101</v>
      </c>
      <c r="Q1" s="3" t="s">
        <v>102</v>
      </c>
      <c r="R1" s="4" t="s">
        <v>103</v>
      </c>
      <c r="S1" s="3" t="s">
        <v>104</v>
      </c>
      <c r="U1" t="s">
        <v>105</v>
      </c>
      <c r="V1" s="5">
        <f>SUM(K2:K41)</f>
        <v>1.2025977763914544</v>
      </c>
    </row>
    <row r="2" spans="1:22" x14ac:dyDescent="0.2">
      <c r="A2">
        <v>5296</v>
      </c>
      <c r="B2" t="s">
        <v>19</v>
      </c>
      <c r="C2" s="1">
        <v>45607</v>
      </c>
      <c r="D2" t="s">
        <v>13</v>
      </c>
      <c r="E2">
        <v>3.5</v>
      </c>
      <c r="F2" s="2">
        <v>0.61728395061728303</v>
      </c>
      <c r="G2" s="2">
        <v>0.71255683389741797</v>
      </c>
      <c r="H2" s="2">
        <v>0.74415241141789801</v>
      </c>
      <c r="I2" s="2">
        <v>0.79069767441860395</v>
      </c>
      <c r="J2" s="2">
        <v>0.74482758620689604</v>
      </c>
      <c r="K2" s="2">
        <v>8.2873752619756005E-2</v>
      </c>
      <c r="L2" s="2">
        <f t="shared" ref="L2" si="0">1/1.55</f>
        <v>0.64516129032258063</v>
      </c>
      <c r="M2" s="2">
        <f>(Table1[[#This Row],[poisson_likelihood]] - (1-Table1[[#This Row],[poisson_likelihood]])/(1/Table1[[#This Row],[365 implied]]-1))/4</f>
        <v>6.9743744408064509E-2</v>
      </c>
      <c r="N2" s="7">
        <f>Table1[[#This Row],[kelly/4 365]]*0.8*$U$2</f>
        <v>41.846246644838708</v>
      </c>
      <c r="O2" s="2">
        <f t="shared" ref="O2" si="1">1/1.57</f>
        <v>0.63694267515923564</v>
      </c>
      <c r="P2" s="2">
        <f>(Table1[[#This Row],[poisson_likelihood]] - (1-Table1[[#This Row],[poisson_likelihood]])/(1/Table1[[#This Row],[99/pinn implied]]-1))/4</f>
        <v>7.3824248213201715E-2</v>
      </c>
      <c r="Q2" s="9">
        <f>Table1[[#This Row],[kelly/4 99]]*0.8*$U$2</f>
        <v>44.294548927921028</v>
      </c>
      <c r="R2" s="11" t="s">
        <v>107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25.24789288891499</v>
      </c>
      <c r="U2" s="3">
        <v>750</v>
      </c>
    </row>
    <row r="3" spans="1:22" x14ac:dyDescent="0.2">
      <c r="A3">
        <v>5396</v>
      </c>
      <c r="B3" t="s">
        <v>69</v>
      </c>
      <c r="C3" s="1">
        <v>45607</v>
      </c>
      <c r="D3" t="s">
        <v>13</v>
      </c>
      <c r="E3">
        <v>2.5</v>
      </c>
      <c r="F3" s="2">
        <v>0.57471264367816</v>
      </c>
      <c r="G3" s="2">
        <v>0.654707110362439</v>
      </c>
      <c r="H3" s="2">
        <v>0.71256255801775403</v>
      </c>
      <c r="I3" s="2">
        <v>0.66666666666666596</v>
      </c>
      <c r="J3" s="2">
        <v>0.62235067437379499</v>
      </c>
      <c r="K3" s="2">
        <v>8.1033395591517607E-2</v>
      </c>
      <c r="L3" s="2">
        <f>1/1.71</f>
        <v>0.58479532163742687</v>
      </c>
      <c r="M3" s="2">
        <f>(Table1[[#This Row],[poisson_likelihood]] - (1-Table1[[#This Row],[poisson_likelihood]])/(1/Table1[[#This Row],[365 implied]]-1))/4</f>
        <v>7.6930272609281508E-2</v>
      </c>
      <c r="N3" s="7">
        <f>Table1[[#This Row],[kelly/4 365]]*0.8*$U$2</f>
        <v>46.158163565568906</v>
      </c>
      <c r="O3" s="2">
        <f>1/1.74</f>
        <v>0.57471264367816088</v>
      </c>
      <c r="P3" s="2">
        <f>(Table1[[#This Row],[poisson_likelihood]] - (1-Table1[[#This Row],[poisson_likelihood]])/(1/Table1[[#This Row],[99/pinn implied]]-1))/4</f>
        <v>8.1033395591517607E-2</v>
      </c>
      <c r="Q3" s="9">
        <f>Table1[[#This Row],[kelly/4 99]]*0.8*$U$2</f>
        <v>48.620037354910565</v>
      </c>
      <c r="R3" s="11" t="s">
        <v>108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-48.620037354910565</v>
      </c>
    </row>
    <row r="4" spans="1:22" x14ac:dyDescent="0.2">
      <c r="A4">
        <v>5380</v>
      </c>
      <c r="B4" t="s">
        <v>61</v>
      </c>
      <c r="C4" s="1">
        <v>45607</v>
      </c>
      <c r="D4" t="s">
        <v>13</v>
      </c>
      <c r="E4">
        <v>2.5</v>
      </c>
      <c r="F4" s="2">
        <v>0.56497175141242895</v>
      </c>
      <c r="G4" s="2">
        <v>0.60641405054007702</v>
      </c>
      <c r="H4" s="2">
        <v>0.66398088120691101</v>
      </c>
      <c r="I4" s="2">
        <v>0.61797752808988704</v>
      </c>
      <c r="J4" s="2">
        <v>0.61333333333333295</v>
      </c>
      <c r="K4" s="2">
        <v>5.68981038104652E-2</v>
      </c>
      <c r="L4" s="2">
        <f>1/1.76</f>
        <v>0.56818181818181823</v>
      </c>
      <c r="M4" s="2">
        <f>(Table1[[#This Row],[poisson_likelihood]] - (1-Table1[[#This Row],[poisson_likelihood]])/(1/Table1[[#This Row],[365 implied]]-1))/4</f>
        <v>5.5462615435580023E-2</v>
      </c>
      <c r="N4" s="9">
        <f>Table1[[#This Row],[kelly/4 365]]*0.8*$U$2</f>
        <v>33.277569261348013</v>
      </c>
      <c r="O4" s="2">
        <f>1/1.76</f>
        <v>0.56818181818181823</v>
      </c>
      <c r="P4" s="2">
        <f>(Table1[[#This Row],[poisson_likelihood]] - (1-Table1[[#This Row],[poisson_likelihood]])/(1/Table1[[#This Row],[99/pinn implied]]-1))/4</f>
        <v>5.5462615435580023E-2</v>
      </c>
      <c r="Q4" s="7">
        <f>Table1[[#This Row],[kelly/4 99]]*0.8*$U$2</f>
        <v>33.277569261348013</v>
      </c>
      <c r="R4" s="11" t="s">
        <v>107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25.290952638624482</v>
      </c>
      <c r="U4" t="s">
        <v>106</v>
      </c>
      <c r="V4" s="6">
        <f>SUM(S:S)</f>
        <v>76.15130722789479</v>
      </c>
    </row>
    <row r="5" spans="1:22" x14ac:dyDescent="0.2">
      <c r="A5">
        <v>5319</v>
      </c>
      <c r="B5" t="s">
        <v>31</v>
      </c>
      <c r="C5" s="1">
        <v>45607</v>
      </c>
      <c r="D5" t="s">
        <v>12</v>
      </c>
      <c r="E5">
        <v>2.5</v>
      </c>
      <c r="F5" s="2">
        <v>0.56497175141242895</v>
      </c>
      <c r="G5" s="2">
        <v>0.68434958060150097</v>
      </c>
      <c r="H5" s="2">
        <v>0.66315511360158597</v>
      </c>
      <c r="I5" s="2">
        <v>0.581920903954802</v>
      </c>
      <c r="J5" s="2">
        <v>0.53559322033898304</v>
      </c>
      <c r="K5" s="2">
        <v>5.6423555543769002E-2</v>
      </c>
      <c r="L5" s="2">
        <f>1/1.74</f>
        <v>0.57471264367816088</v>
      </c>
      <c r="M5" s="2">
        <f>(Table1[[#This Row],[poisson_likelihood]] - (1-Table1[[#This Row],[poisson_likelihood]])/(1/Table1[[#This Row],[365 implied]]-1))/4</f>
        <v>5.198983029282421E-2</v>
      </c>
      <c r="N5" s="7">
        <f>Table1[[#This Row],[kelly/4 365]]*0.8*$U$2</f>
        <v>31.193898175694525</v>
      </c>
      <c r="O5" s="2">
        <f>1/1.746</f>
        <v>0.57273768613974796</v>
      </c>
      <c r="P5" s="2">
        <f>(Table1[[#This Row],[poisson_likelihood]] - (1-Table1[[#This Row],[poisson_likelihood]])/(1/Table1[[#This Row],[99/pinn implied]]-1))/4</f>
        <v>5.2905103333903886E-2</v>
      </c>
      <c r="Q5" s="9">
        <f>Table1[[#This Row],[kelly/4 99]]*0.8*$U$2</f>
        <v>31.743062000342334</v>
      </c>
      <c r="R5" s="11" t="s">
        <v>108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-31.743062000342334</v>
      </c>
    </row>
    <row r="6" spans="1:22" x14ac:dyDescent="0.2">
      <c r="A6">
        <v>5317</v>
      </c>
      <c r="B6" t="s">
        <v>30</v>
      </c>
      <c r="C6" s="1">
        <v>45607</v>
      </c>
      <c r="D6" t="s">
        <v>12</v>
      </c>
      <c r="E6">
        <v>1.5</v>
      </c>
      <c r="F6" s="2">
        <v>0.58823529411764697</v>
      </c>
      <c r="G6" s="2">
        <v>0.67282026651590299</v>
      </c>
      <c r="H6" s="2">
        <v>0.66226946942060905</v>
      </c>
      <c r="I6" s="2">
        <v>0.581920903954802</v>
      </c>
      <c r="J6" s="2">
        <v>0.55593220338982996</v>
      </c>
      <c r="K6" s="2">
        <v>4.49493207196556E-2</v>
      </c>
      <c r="L6" s="2">
        <f>1/1.68</f>
        <v>0.59523809523809523</v>
      </c>
      <c r="M6" s="2">
        <f>(Table1[[#This Row],[poisson_likelihood]] - (1-Table1[[#This Row],[poisson_likelihood]])/(1/Table1[[#This Row],[365 implied]]-1))/4</f>
        <v>4.1401731112729101E-2</v>
      </c>
      <c r="N6" s="7">
        <f>Table1[[#This Row],[kelly/4 365]]*0.8*$U$2</f>
        <v>24.841038667637463</v>
      </c>
      <c r="O6" s="2">
        <f>1/1.694</f>
        <v>0.59031877213695394</v>
      </c>
      <c r="P6" s="2">
        <f>(Table1[[#This Row],[poisson_likelihood]] - (1-Table1[[#This Row],[poisson_likelihood]])/(1/Table1[[#This Row],[99/pinn implied]]-1))/4</f>
        <v>4.3906513400040245E-2</v>
      </c>
      <c r="Q6" s="9">
        <f>Table1[[#This Row],[kelly/4 99]]*0.8*$U$2</f>
        <v>26.343908040024147</v>
      </c>
      <c r="R6" s="11" t="s">
        <v>107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18.282672179776753</v>
      </c>
    </row>
    <row r="7" spans="1:22" x14ac:dyDescent="0.2">
      <c r="A7">
        <v>5393</v>
      </c>
      <c r="B7" t="s">
        <v>68</v>
      </c>
      <c r="C7" s="1">
        <v>45607</v>
      </c>
      <c r="D7" t="s">
        <v>12</v>
      </c>
      <c r="E7">
        <v>1.5</v>
      </c>
      <c r="F7" s="2">
        <v>0.63694267515923497</v>
      </c>
      <c r="G7" s="2">
        <v>0.71048708813579597</v>
      </c>
      <c r="H7" s="2">
        <v>0.69901666396547102</v>
      </c>
      <c r="I7" s="2">
        <v>0.60606060606060597</v>
      </c>
      <c r="J7" s="2">
        <v>0.63667820069204095</v>
      </c>
      <c r="K7" s="2">
        <v>4.2743930888504297E-2</v>
      </c>
      <c r="L7" s="2">
        <f>1/1.55</f>
        <v>0.64516129032258063</v>
      </c>
      <c r="M7" s="2">
        <f>(Table1[[#This Row],[poisson_likelihood]] - (1-Table1[[#This Row],[poisson_likelihood]])/(1/Table1[[#This Row],[365 implied]]-1))/4</f>
        <v>3.7943558702945496E-2</v>
      </c>
      <c r="N7" s="9">
        <f>Table1[[#This Row],[kelly/4 365]]*0.8*$U$2</f>
        <v>22.766135221767296</v>
      </c>
      <c r="O7" s="10">
        <f>1/1.55</f>
        <v>0.64516129032258063</v>
      </c>
      <c r="P7" s="2">
        <f>(Table1[[#This Row],[poisson_likelihood]] - (1-Table1[[#This Row],[poisson_likelihood]])/(1/Table1[[#This Row],[99/pinn implied]]-1))/4</f>
        <v>3.7943558702945496E-2</v>
      </c>
      <c r="Q7" s="7">
        <f>Table1[[#This Row],[kelly/4 99]]*0.8*$U$2</f>
        <v>22.766135221767296</v>
      </c>
      <c r="R7" s="11" t="s">
        <v>108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-22.766135221767296</v>
      </c>
    </row>
    <row r="8" spans="1:22" x14ac:dyDescent="0.2">
      <c r="A8">
        <v>5440</v>
      </c>
      <c r="B8" t="s">
        <v>91</v>
      </c>
      <c r="C8" s="1">
        <v>45607</v>
      </c>
      <c r="D8" t="s">
        <v>13</v>
      </c>
      <c r="E8">
        <v>2.5</v>
      </c>
      <c r="F8" s="2">
        <v>0.60606060606060597</v>
      </c>
      <c r="G8" s="2">
        <v>0.60873272621281105</v>
      </c>
      <c r="H8" s="2">
        <v>0.67081094467980196</v>
      </c>
      <c r="I8" s="2">
        <v>0.670886075949367</v>
      </c>
      <c r="J8" s="2">
        <v>0.62195121951219501</v>
      </c>
      <c r="K8" s="2">
        <v>4.10915610467978E-2</v>
      </c>
      <c r="L8" s="2">
        <f>1/1.64</f>
        <v>0.6097560975609756</v>
      </c>
      <c r="M8" s="2">
        <f>(Table1[[#This Row],[poisson_likelihood]] - (1-Table1[[#This Row],[poisson_likelihood]])/(1/Table1[[#This Row],[365 implied]]-1))/4</f>
        <v>3.9113261435498148E-2</v>
      </c>
      <c r="N8" s="9">
        <f>Table1[[#This Row],[kelly/4 365]]*0.8*$U$2</f>
        <v>23.467956861298891</v>
      </c>
      <c r="O8" s="2">
        <f>1/1.628</f>
        <v>0.61425061425061434</v>
      </c>
      <c r="P8" s="2">
        <f>(Table1[[#This Row],[poisson_likelihood]] - (1-Table1[[#This Row],[poisson_likelihood]])/(1/Table1[[#This Row],[99/pinn implied]]-1))/4</f>
        <v>3.6656137714457582E-2</v>
      </c>
      <c r="Q8" s="7">
        <f>Table1[[#This Row],[kelly/4 99]]*0.8*$U$2</f>
        <v>21.993682628674549</v>
      </c>
      <c r="R8" s="11" t="s">
        <v>108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-23.467956861298891</v>
      </c>
    </row>
    <row r="9" spans="1:22" x14ac:dyDescent="0.2">
      <c r="A9">
        <v>5384</v>
      </c>
      <c r="B9" t="s">
        <v>63</v>
      </c>
      <c r="C9" s="1">
        <v>45607</v>
      </c>
      <c r="D9" t="s">
        <v>13</v>
      </c>
      <c r="E9">
        <v>3.5</v>
      </c>
      <c r="F9" s="2">
        <v>0.61728395061728303</v>
      </c>
      <c r="G9" s="2">
        <v>0.63226474178737802</v>
      </c>
      <c r="H9" s="2">
        <v>0.67851501141073001</v>
      </c>
      <c r="I9" s="2">
        <v>0.58659217877094905</v>
      </c>
      <c r="J9" s="2">
        <v>0.59800664451827201</v>
      </c>
      <c r="K9" s="2">
        <v>3.9997709066686801E-2</v>
      </c>
      <c r="L9" s="2">
        <f>1/1.58</f>
        <v>0.63291139240506322</v>
      </c>
      <c r="M9" s="2">
        <f>(Table1[[#This Row],[poisson_likelihood]] - (1-Table1[[#This Row],[poisson_likelihood]])/(1/Table1[[#This Row],[365 implied]]-1))/4</f>
        <v>3.1057637081445461E-2</v>
      </c>
      <c r="N9" s="9">
        <f>Table1[[#This Row],[kelly/4 365]]*0.8*$U$2</f>
        <v>18.634582248867275</v>
      </c>
      <c r="O9" s="2">
        <f>1/1.571</f>
        <v>0.63653723742838964</v>
      </c>
      <c r="P9" s="2">
        <f>(Table1[[#This Row],[poisson_likelihood]] - (1-Table1[[#This Row],[poisson_likelihood]])/(1/Table1[[#This Row],[99/pinn implied]]-1))/4</f>
        <v>2.8873503908168424E-2</v>
      </c>
      <c r="Q9" s="7">
        <f>Table1[[#This Row],[kelly/4 99]]*0.8*$U$2</f>
        <v>17.324102344901057</v>
      </c>
      <c r="R9" s="11" t="s">
        <v>107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10.808057704343021</v>
      </c>
    </row>
    <row r="10" spans="1:22" x14ac:dyDescent="0.2">
      <c r="A10">
        <v>5325</v>
      </c>
      <c r="B10" t="s">
        <v>34</v>
      </c>
      <c r="C10" s="1">
        <v>45607</v>
      </c>
      <c r="D10" t="s">
        <v>12</v>
      </c>
      <c r="E10">
        <v>1.5</v>
      </c>
      <c r="F10" s="2">
        <v>0.62111801242235998</v>
      </c>
      <c r="G10" s="2">
        <v>0.73979053508197801</v>
      </c>
      <c r="H10" s="2">
        <v>0.68104824456875002</v>
      </c>
      <c r="I10" s="2">
        <v>0.65853658536585302</v>
      </c>
      <c r="J10" s="2">
        <v>0.63928571428571401</v>
      </c>
      <c r="K10" s="2">
        <v>3.9544128588396801E-2</v>
      </c>
      <c r="L10" s="2">
        <f>1/1.58</f>
        <v>0.63291139240506322</v>
      </c>
      <c r="M10" s="2">
        <f>(Table1[[#This Row],[poisson_likelihood]] - (1-Table1[[#This Row],[poisson_likelihood]])/(1/Table1[[#This Row],[365 implied]]-1))/4</f>
        <v>3.2782856214924605E-2</v>
      </c>
      <c r="N10" s="9">
        <f>Table1[[#This Row],[kelly/4 365]]*0.8*$U$2</f>
        <v>19.669713728954761</v>
      </c>
      <c r="O10" s="2">
        <f>1/1.571</f>
        <v>0.63653723742838964</v>
      </c>
      <c r="P10" s="2">
        <f>(Table1[[#This Row],[poisson_likelihood]] - (1-Table1[[#This Row],[poisson_likelihood]])/(1/Table1[[#This Row],[99/pinn implied]]-1))/4</f>
        <v>3.0615933545317914E-2</v>
      </c>
      <c r="Q10" s="7">
        <f>Table1[[#This Row],[kelly/4 99]]*0.8*$U$2</f>
        <v>18.369560127190748</v>
      </c>
      <c r="R10" s="11" t="s">
        <v>108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-19.669713728954761</v>
      </c>
    </row>
    <row r="11" spans="1:22" x14ac:dyDescent="0.2">
      <c r="A11">
        <v>5376</v>
      </c>
      <c r="B11" t="s">
        <v>59</v>
      </c>
      <c r="C11" s="1">
        <v>45607</v>
      </c>
      <c r="D11" t="s">
        <v>13</v>
      </c>
      <c r="E11">
        <v>1.5</v>
      </c>
      <c r="F11" s="2">
        <v>0.48780487804877998</v>
      </c>
      <c r="G11" s="2">
        <v>0.50682512582355599</v>
      </c>
      <c r="H11" s="2">
        <v>0.56576666093025996</v>
      </c>
      <c r="I11" s="2">
        <v>0.52571428571428502</v>
      </c>
      <c r="J11" s="2">
        <v>0.52702702702702697</v>
      </c>
      <c r="K11" s="2">
        <v>3.8052774977865002E-2</v>
      </c>
      <c r="L11" s="2">
        <f>1/2.1</f>
        <v>0.47619047619047616</v>
      </c>
      <c r="M11" s="2">
        <f>(Table1[[#This Row],[poisson_likelihood]] - (1-Table1[[#This Row],[poisson_likelihood]])/(1/Table1[[#This Row],[365 implied]]-1))/4</f>
        <v>4.275226998944226E-2</v>
      </c>
      <c r="N11" s="9">
        <f>Table1[[#This Row],[kelly/4 365]]*0.8*$U$2</f>
        <v>25.651361993665354</v>
      </c>
      <c r="O11" s="2">
        <f>1/2.05</f>
        <v>0.48780487804878053</v>
      </c>
      <c r="P11" s="2">
        <f>(Table1[[#This Row],[poisson_likelihood]] - (1-Table1[[#This Row],[poisson_likelihood]])/(1/Table1[[#This Row],[99/pinn implied]]-1))/4</f>
        <v>3.8052774977864967E-2</v>
      </c>
      <c r="Q11" s="7">
        <f>Table1[[#This Row],[kelly/4 99]]*0.8*$U$2</f>
        <v>22.831664986718984</v>
      </c>
      <c r="R11" s="11" t="s">
        <v>108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-25.651361993665354</v>
      </c>
    </row>
    <row r="12" spans="1:22" x14ac:dyDescent="0.2">
      <c r="A12">
        <v>5355</v>
      </c>
      <c r="B12" t="s">
        <v>49</v>
      </c>
      <c r="C12" s="1">
        <v>45607</v>
      </c>
      <c r="D12" t="s">
        <v>12</v>
      </c>
      <c r="E12">
        <v>1.5</v>
      </c>
      <c r="F12" s="2">
        <v>0.60606060606060597</v>
      </c>
      <c r="G12" s="2">
        <v>0.69709718138819399</v>
      </c>
      <c r="H12" s="2">
        <v>0.66373471947934604</v>
      </c>
      <c r="I12" s="2">
        <v>0.58285714285714196</v>
      </c>
      <c r="J12" s="2">
        <v>0.56228956228956195</v>
      </c>
      <c r="K12" s="2">
        <v>3.66008796695853E-2</v>
      </c>
      <c r="L12" s="2">
        <f>1/1.62</f>
        <v>0.61728395061728392</v>
      </c>
      <c r="M12" s="2">
        <f>(Table1[[#This Row],[poisson_likelihood]] - (1-Table1[[#This Row],[poisson_likelihood]])/(1/Table1[[#This Row],[365 implied]]-1))/4</f>
        <v>3.0342840950217997E-2</v>
      </c>
      <c r="N12" s="9">
        <f>Table1[[#This Row],[kelly/4 365]]*0.8*$U$2</f>
        <v>18.205704570130798</v>
      </c>
      <c r="O12" s="2">
        <f>Table1[[#This Row],[365 implied]]</f>
        <v>0.61728395061728392</v>
      </c>
      <c r="P12" s="2">
        <f>(Table1[[#This Row],[poisson_likelihood]] - (1-Table1[[#This Row],[poisson_likelihood]])/(1/Table1[[#This Row],[99/pinn implied]]-1))/4</f>
        <v>3.0342840950217997E-2</v>
      </c>
      <c r="Q12" s="7">
        <f>Table1[[#This Row],[kelly/4 99]]*0.8*$U$2</f>
        <v>18.205704570130798</v>
      </c>
      <c r="R12" s="11" t="s">
        <v>107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11.287536833481099</v>
      </c>
    </row>
    <row r="13" spans="1:22" x14ac:dyDescent="0.2">
      <c r="A13">
        <v>5400</v>
      </c>
      <c r="B13" t="s">
        <v>71</v>
      </c>
      <c r="C13" s="1">
        <v>45607</v>
      </c>
      <c r="D13" t="s">
        <v>13</v>
      </c>
      <c r="E13">
        <v>2.5</v>
      </c>
      <c r="F13" s="2">
        <v>0.512820512820512</v>
      </c>
      <c r="G13" s="2">
        <v>0.53739900345176805</v>
      </c>
      <c r="H13" s="2">
        <v>0.58175271798601003</v>
      </c>
      <c r="I13" s="2">
        <v>0.51785714285714202</v>
      </c>
      <c r="J13" s="2">
        <v>0.53571428571428503</v>
      </c>
      <c r="K13" s="2">
        <v>3.5373105282294801E-2</v>
      </c>
      <c r="L13" s="2">
        <f>1/1.95</f>
        <v>0.51282051282051289</v>
      </c>
      <c r="M13" s="2">
        <f>(Table1[[#This Row],[poisson_likelihood]] - (1-Table1[[#This Row],[poisson_likelihood]])/(1/Table1[[#This Row],[365 implied]]-1))/4</f>
        <v>3.5373105282294592E-2</v>
      </c>
      <c r="N13" s="9">
        <f>Table1[[#This Row],[kelly/4 365]]*0.8*$U$2</f>
        <v>21.223863169376756</v>
      </c>
      <c r="O13" s="2">
        <f>1/1.925</f>
        <v>0.51948051948051943</v>
      </c>
      <c r="P13" s="2">
        <f>(Table1[[#This Row],[poisson_likelihood]] - (1-Table1[[#This Row],[poisson_likelihood]])/(1/Table1[[#This Row],[99/pinn implied]]-1))/4</f>
        <v>3.2398373546775522E-2</v>
      </c>
      <c r="Q13" s="7">
        <f>Table1[[#This Row],[kelly/4 99]]*0.8*$U$2</f>
        <v>19.439024128065313</v>
      </c>
      <c r="R13" s="11" t="s">
        <v>107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20.16267001090791</v>
      </c>
    </row>
    <row r="14" spans="1:22" x14ac:dyDescent="0.2">
      <c r="A14">
        <v>5391</v>
      </c>
      <c r="B14" t="s">
        <v>67</v>
      </c>
      <c r="C14" s="1">
        <v>45607</v>
      </c>
      <c r="D14" t="s">
        <v>12</v>
      </c>
      <c r="E14">
        <v>2.5</v>
      </c>
      <c r="F14" s="2">
        <v>0.50251256281406997</v>
      </c>
      <c r="G14" s="2">
        <v>0.60966142523557199</v>
      </c>
      <c r="H14" s="2">
        <v>0.57177880755353105</v>
      </c>
      <c r="I14" s="2">
        <v>0.53503184713375795</v>
      </c>
      <c r="J14" s="2">
        <v>0.52313167259786397</v>
      </c>
      <c r="K14" s="2">
        <v>3.4808037129173797E-2</v>
      </c>
      <c r="L14" s="2">
        <f>1/2</f>
        <v>0.5</v>
      </c>
      <c r="M14" s="2">
        <f>(Table1[[#This Row],[poisson_likelihood]] - (1-Table1[[#This Row],[poisson_likelihood]])/(1/Table1[[#This Row],[365 implied]]-1))/4</f>
        <v>3.5889403776765527E-2</v>
      </c>
      <c r="N14" s="9">
        <f>Table1[[#This Row],[kelly/4 365]]*0.8*$U$2</f>
        <v>21.533642266059317</v>
      </c>
      <c r="O14" s="2">
        <f>1/1.95</f>
        <v>0.51282051282051289</v>
      </c>
      <c r="P14" s="2">
        <f>(Table1[[#This Row],[poisson_likelihood]] - (1-Table1[[#This Row],[poisson_likelihood]])/(1/Table1[[#This Row],[99/pinn implied]]-1))/4</f>
        <v>3.0254914402469857E-2</v>
      </c>
      <c r="Q14" s="7">
        <f>Table1[[#This Row],[kelly/4 99]]*0.8*$U$2</f>
        <v>18.152948641481917</v>
      </c>
      <c r="R14" s="11" t="s">
        <v>108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-21.533642266059317</v>
      </c>
    </row>
    <row r="15" spans="1:22" x14ac:dyDescent="0.2">
      <c r="A15">
        <v>5287</v>
      </c>
      <c r="B15" t="s">
        <v>15</v>
      </c>
      <c r="C15" s="1">
        <v>45607</v>
      </c>
      <c r="D15" t="s">
        <v>12</v>
      </c>
      <c r="E15">
        <v>2.5</v>
      </c>
      <c r="F15" s="2">
        <v>0.64516129032257996</v>
      </c>
      <c r="G15" s="2">
        <v>0.70669021837697998</v>
      </c>
      <c r="H15" s="2">
        <v>0.69434590573324295</v>
      </c>
      <c r="I15" s="2">
        <v>0.678321678321678</v>
      </c>
      <c r="J15" s="2">
        <v>0.660377358490566</v>
      </c>
      <c r="K15" s="2">
        <v>3.4652797221148501E-2</v>
      </c>
      <c r="L15" s="2"/>
      <c r="M15" s="2" t="e">
        <f>(Table1[[#This Row],[poisson_likelihood]] - (1-Table1[[#This Row],[poisson_likelihood]])/(1/Table1[[#This Row],[365 implied]]-1))/4</f>
        <v>#DIV/0!</v>
      </c>
      <c r="N15" s="8" t="e">
        <f>Table1[[#This Row],[kelly/4 365]]*0.8*$U$2</f>
        <v>#DIV/0!</v>
      </c>
      <c r="O15" s="2"/>
      <c r="P15" s="2" t="e">
        <f>(Table1[[#This Row],[poisson_likelihood]] - (1-Table1[[#This Row],[poisson_likelihood]])/(1/Table1[[#This Row],[99/pinn implied]]-1))/4</f>
        <v>#DIV/0!</v>
      </c>
      <c r="Q15" s="7" t="e">
        <f>Table1[[#This Row],[kelly/4 99]]*0.8*$U$2</f>
        <v>#DIV/0!</v>
      </c>
      <c r="R15" s="11"/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2" x14ac:dyDescent="0.2">
      <c r="A16">
        <v>5410</v>
      </c>
      <c r="B16" t="s">
        <v>76</v>
      </c>
      <c r="C16" s="1">
        <v>45607</v>
      </c>
      <c r="D16" t="s">
        <v>13</v>
      </c>
      <c r="E16">
        <v>3.5</v>
      </c>
      <c r="F16" s="2">
        <v>0.46296296296296202</v>
      </c>
      <c r="G16" s="2">
        <v>0.495981117091426</v>
      </c>
      <c r="H16" s="2">
        <v>0.53208279105735601</v>
      </c>
      <c r="I16" s="2">
        <v>0.46938775510204001</v>
      </c>
      <c r="J16" s="2">
        <v>0.43866171003717402</v>
      </c>
      <c r="K16" s="2">
        <v>3.2176471699114098E-2</v>
      </c>
      <c r="L16" s="2">
        <f>1/2.25</f>
        <v>0.44444444444444442</v>
      </c>
      <c r="M16" s="2">
        <f>(Table1[[#This Row],[poisson_likelihood]] - (1-Table1[[#This Row],[poisson_likelihood]])/(1/Table1[[#This Row],[365 implied]]-1))/4</f>
        <v>3.9437255975810201E-2</v>
      </c>
      <c r="N16" s="9">
        <f>Table1[[#This Row],[kelly/4 365]]*0.8*$U$2</f>
        <v>23.662353585486123</v>
      </c>
      <c r="O16" s="2">
        <f>1/2.14</f>
        <v>0.46728971962616822</v>
      </c>
      <c r="P16" s="2">
        <f>(Table1[[#This Row],[poisson_likelihood]] - (1-Table1[[#This Row],[poisson_likelihood]])/(1/Table1[[#This Row],[99/pinn implied]]-1))/4</f>
        <v>3.0407274750601301E-2</v>
      </c>
      <c r="Q16" s="7">
        <f>Table1[[#This Row],[kelly/4 99]]*0.8*$U$2</f>
        <v>18.244364850360782</v>
      </c>
      <c r="R16" s="11" t="s">
        <v>107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29.577941981857656</v>
      </c>
    </row>
    <row r="17" spans="1:19" x14ac:dyDescent="0.2">
      <c r="A17">
        <v>5363</v>
      </c>
      <c r="B17" t="s">
        <v>53</v>
      </c>
      <c r="C17" s="1">
        <v>45607</v>
      </c>
      <c r="D17" t="s">
        <v>12</v>
      </c>
      <c r="E17">
        <v>2.5</v>
      </c>
      <c r="F17" s="2">
        <v>0.5</v>
      </c>
      <c r="G17" s="2">
        <v>0.58994528497555199</v>
      </c>
      <c r="H17" s="2">
        <v>0.55860219151269896</v>
      </c>
      <c r="I17" s="2">
        <v>0.57062146892655297</v>
      </c>
      <c r="J17" s="2">
        <v>0.53355704697986495</v>
      </c>
      <c r="K17" s="2">
        <v>2.93010957563495E-2</v>
      </c>
      <c r="L17" s="2">
        <f>1/2</f>
        <v>0.5</v>
      </c>
      <c r="M17" s="2">
        <f>(Table1[[#This Row],[poisson_likelihood]] - (1-Table1[[#This Row],[poisson_likelihood]])/(1/Table1[[#This Row],[365 implied]]-1))/4</f>
        <v>2.9301095756349482E-2</v>
      </c>
      <c r="N17" s="9">
        <f>Table1[[#This Row],[kelly/4 365]]*0.8*$U$2</f>
        <v>17.580657453809689</v>
      </c>
      <c r="O17" s="2">
        <f>1/1.99</f>
        <v>0.50251256281407031</v>
      </c>
      <c r="P17" s="2">
        <f>(Table1[[#This Row],[poisson_likelihood]] - (1-Table1[[#This Row],[poisson_likelihood]])/(1/Table1[[#This Row],[99/pinn implied]]-1))/4</f>
        <v>2.8186454825826018E-2</v>
      </c>
      <c r="Q17" s="7">
        <f>Table1[[#This Row],[kelly/4 99]]*0.8*$U$2</f>
        <v>16.911872895495613</v>
      </c>
      <c r="R17" s="11" t="s">
        <v>107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17.580657453809689</v>
      </c>
    </row>
    <row r="18" spans="1:19" x14ac:dyDescent="0.2">
      <c r="A18">
        <v>5351</v>
      </c>
      <c r="B18" t="s">
        <v>47</v>
      </c>
      <c r="C18" s="1">
        <v>45607</v>
      </c>
      <c r="D18" t="s">
        <v>12</v>
      </c>
      <c r="E18">
        <v>1.5</v>
      </c>
      <c r="F18" s="2">
        <v>0.59523809523809501</v>
      </c>
      <c r="G18" s="2">
        <v>0.68156243045477205</v>
      </c>
      <c r="H18" s="2">
        <v>0.64122320415313805</v>
      </c>
      <c r="I18" s="2">
        <v>0.56886227544910095</v>
      </c>
      <c r="J18" s="2">
        <v>0.55035971223021496</v>
      </c>
      <c r="K18" s="2">
        <v>2.8402567271055799E-2</v>
      </c>
      <c r="L18" s="2">
        <f>1/1.64</f>
        <v>0.6097560975609756</v>
      </c>
      <c r="M18" s="2">
        <f>(Table1[[#This Row],[poisson_likelihood]] - (1-Table1[[#This Row],[poisson_likelihood]])/(1/Table1[[#This Row],[365 implied]]-1))/4</f>
        <v>2.0158615160604076E-2</v>
      </c>
      <c r="N18" s="7">
        <f>Table1[[#This Row],[kelly/4 365]]*0.8*$U$2</f>
        <v>12.095169096362447</v>
      </c>
      <c r="O18" s="2">
        <f>1/1.645</f>
        <v>0.60790273556231</v>
      </c>
      <c r="P18" s="2">
        <f>(Table1[[#This Row],[poisson_likelihood]] - (1-Table1[[#This Row],[poisson_likelihood]])/(1/Table1[[#This Row],[99/pinn implied]]-1))/4</f>
        <v>2.1245027454229487E-2</v>
      </c>
      <c r="Q18" s="9">
        <f>Table1[[#This Row],[kelly/4 99]]*0.8*$U$2</f>
        <v>12.747016472537695</v>
      </c>
      <c r="R18" s="11" t="s">
        <v>109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5372</v>
      </c>
      <c r="B19" t="s">
        <v>57</v>
      </c>
      <c r="C19" s="1">
        <v>45607</v>
      </c>
      <c r="D19" t="s">
        <v>13</v>
      </c>
      <c r="E19">
        <v>2.5</v>
      </c>
      <c r="F19" s="2">
        <v>0.61728395061728303</v>
      </c>
      <c r="G19" s="2">
        <v>0.62901400716399902</v>
      </c>
      <c r="H19" s="2">
        <v>0.65911828247364201</v>
      </c>
      <c r="I19" s="2">
        <v>0.70103092783505105</v>
      </c>
      <c r="J19" s="2">
        <v>0.68636363636363595</v>
      </c>
      <c r="K19" s="2">
        <v>2.73272651642344E-2</v>
      </c>
      <c r="L19" s="2">
        <f>1/1.6</f>
        <v>0.625</v>
      </c>
      <c r="M19" s="2">
        <f>(Table1[[#This Row],[poisson_likelihood]] - (1-Table1[[#This Row],[poisson_likelihood]])/(1/Table1[[#This Row],[365 implied]]-1))/4</f>
        <v>2.2745521649094685E-2</v>
      </c>
      <c r="N19" s="7">
        <f>Table1[[#This Row],[kelly/4 365]]*0.8*$U$2</f>
        <v>13.647312989456811</v>
      </c>
      <c r="O19" s="2">
        <f>1/1.63</f>
        <v>0.61349693251533743</v>
      </c>
      <c r="P19" s="2">
        <f>(Table1[[#This Row],[poisson_likelihood]] - (1-Table1[[#This Row],[poisson_likelihood]])/(1/Table1[[#This Row],[99/pinn implied]]-1))/4</f>
        <v>2.9509047790490656E-2</v>
      </c>
      <c r="Q19" s="9">
        <f>Table1[[#This Row],[kelly/4 99]]*0.8*$U$2</f>
        <v>17.705428674294392</v>
      </c>
      <c r="R19" s="11" t="s">
        <v>107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11.154420064805464</v>
      </c>
    </row>
    <row r="20" spans="1:19" x14ac:dyDescent="0.2">
      <c r="A20">
        <v>5404</v>
      </c>
      <c r="B20" t="s">
        <v>73</v>
      </c>
      <c r="C20" s="1">
        <v>45607</v>
      </c>
      <c r="D20" t="s">
        <v>13</v>
      </c>
      <c r="E20">
        <v>3.5</v>
      </c>
      <c r="F20" s="2">
        <v>0.60606060606060597</v>
      </c>
      <c r="G20" s="2">
        <v>0.61522730107024703</v>
      </c>
      <c r="H20" s="2">
        <v>0.64875539085687794</v>
      </c>
      <c r="I20" s="2">
        <v>0.63815789473684204</v>
      </c>
      <c r="J20" s="2">
        <v>0.64684014869888395</v>
      </c>
      <c r="K20" s="2">
        <v>2.7094767274557299E-2</v>
      </c>
      <c r="L20" s="2">
        <f>1/1.64</f>
        <v>0.6097560975609756</v>
      </c>
      <c r="M20" s="2">
        <f>(Table1[[#This Row],[poisson_likelihood]] - (1-Table1[[#This Row],[poisson_likelihood]])/(1/Table1[[#This Row],[365 implied]]-1))/4</f>
        <v>2.4983922267687447E-2</v>
      </c>
      <c r="N20" s="9">
        <f>Table1[[#This Row],[kelly/4 365]]*0.8*$U$2</f>
        <v>14.990353360612469</v>
      </c>
      <c r="O20" s="2">
        <f>1/1.478</f>
        <v>0.67658998646820023</v>
      </c>
      <c r="P20" s="2">
        <f>(Table1[[#This Row],[poisson_likelihood]] - (1-Table1[[#This Row],[poisson_likelihood]])/(1/Table1[[#This Row],[99/pinn implied]]-1))/4</f>
        <v>-2.1516491795781606E-2</v>
      </c>
      <c r="Q20" s="7">
        <f>Table1[[#This Row],[kelly/4 99]]*0.8*$U$2</f>
        <v>-12.909895077468965</v>
      </c>
      <c r="R20" s="11" t="s">
        <v>107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9.5938261507919815</v>
      </c>
    </row>
    <row r="21" spans="1:19" x14ac:dyDescent="0.2">
      <c r="A21">
        <v>5444</v>
      </c>
      <c r="B21" t="s">
        <v>93</v>
      </c>
      <c r="C21" s="1">
        <v>45607</v>
      </c>
      <c r="D21" t="s">
        <v>13</v>
      </c>
      <c r="E21">
        <v>2.5</v>
      </c>
      <c r="F21" s="2">
        <v>0.56818181818181801</v>
      </c>
      <c r="G21" s="2">
        <v>0.56751922987875802</v>
      </c>
      <c r="H21" s="2">
        <v>0.61378597828020698</v>
      </c>
      <c r="I21" s="2">
        <v>0.59659090909090895</v>
      </c>
      <c r="J21" s="2">
        <v>0.59385665529010201</v>
      </c>
      <c r="K21" s="2">
        <v>2.6402408478015001E-2</v>
      </c>
      <c r="L21" s="2">
        <f>1/1.71</f>
        <v>0.58479532163742687</v>
      </c>
      <c r="M21" s="2">
        <f>(Table1[[#This Row],[poisson_likelihood]] - (1-Table1[[#This Row],[poisson_likelihood]])/(1/Table1[[#This Row],[365 implied]]-1))/4</f>
        <v>1.7455641851814807E-2</v>
      </c>
      <c r="N21" s="9">
        <f>Table1[[#This Row],[kelly/4 365]]*0.8*$U$2</f>
        <v>10.473385111088884</v>
      </c>
      <c r="O21" s="2">
        <f>1/1.704</f>
        <v>0.58685446009389675</v>
      </c>
      <c r="P21" s="2">
        <f>(Table1[[#This Row],[poisson_likelihood]] - (1-Table1[[#This Row],[poisson_likelihood]])/(1/Table1[[#This Row],[99/pinn implied]]-1))/4</f>
        <v>1.6296628902511601E-2</v>
      </c>
      <c r="Q21" s="7">
        <f>Table1[[#This Row],[kelly/4 99]]*0.8*$U$2</f>
        <v>9.7779773415069613</v>
      </c>
      <c r="R21" s="11" t="s">
        <v>109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5337</v>
      </c>
      <c r="B22" t="s">
        <v>40</v>
      </c>
      <c r="C22" s="1">
        <v>45607</v>
      </c>
      <c r="D22" t="s">
        <v>12</v>
      </c>
      <c r="E22">
        <v>1.5</v>
      </c>
      <c r="F22" s="2">
        <v>0.57471264367816</v>
      </c>
      <c r="G22" s="2">
        <v>0.654618776275668</v>
      </c>
      <c r="H22" s="2">
        <v>0.61943938132330401</v>
      </c>
      <c r="I22" s="2">
        <v>0.52040816326530603</v>
      </c>
      <c r="J22" s="2">
        <v>0.50704225352112597</v>
      </c>
      <c r="K22" s="2">
        <v>2.62920687508615E-2</v>
      </c>
      <c r="L22" s="2">
        <f>1/1.71</f>
        <v>0.58479532163742687</v>
      </c>
      <c r="M22" s="2">
        <f>(Table1[[#This Row],[poisson_likelihood]] - (1-Table1[[#This Row],[poisson_likelihood]])/(1/Table1[[#This Row],[365 implied]]-1))/4</f>
        <v>2.0859627486918997E-2</v>
      </c>
      <c r="N22" s="9">
        <f>Table1[[#This Row],[kelly/4 365]]*0.8*$U$2</f>
        <v>12.515776492151399</v>
      </c>
      <c r="O22" s="2">
        <f>1/1.606</f>
        <v>0.62266500622665</v>
      </c>
      <c r="P22" s="2">
        <f>(Table1[[#This Row],[poisson_likelihood]] - (1-Table1[[#This Row],[poisson_likelihood]])/(1/Table1[[#This Row],[99/pinn implied]]-1))/4</f>
        <v>-2.1371095688010322E-3</v>
      </c>
      <c r="Q22" s="7">
        <f>Table1[[#This Row],[kelly/4 99]]*0.8*$U$2</f>
        <v>-1.2822657412806195</v>
      </c>
      <c r="R22" s="11" t="s">
        <v>108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-12.515776492151399</v>
      </c>
    </row>
    <row r="23" spans="1:19" x14ac:dyDescent="0.2">
      <c r="A23">
        <v>5323</v>
      </c>
      <c r="B23" t="s">
        <v>33</v>
      </c>
      <c r="C23" s="1">
        <v>45607</v>
      </c>
      <c r="D23" t="s">
        <v>12</v>
      </c>
      <c r="E23">
        <v>1.5</v>
      </c>
      <c r="F23" s="2">
        <v>0.581395348837209</v>
      </c>
      <c r="G23" s="2">
        <v>0.65896328486316902</v>
      </c>
      <c r="H23" s="2">
        <v>0.62469779248842205</v>
      </c>
      <c r="I23" s="2">
        <v>0.59627329192546497</v>
      </c>
      <c r="J23" s="2">
        <v>0.57971014492753603</v>
      </c>
      <c r="K23" s="2">
        <v>2.58611816250299E-2</v>
      </c>
      <c r="L23" s="2">
        <f>1/1.68</f>
        <v>0.59523809523809523</v>
      </c>
      <c r="M23" s="2">
        <f>(Table1[[#This Row],[poisson_likelihood]] - (1-Table1[[#This Row],[poisson_likelihood]])/(1/Table1[[#This Row],[365 implied]]-1))/4</f>
        <v>1.819569536049595E-2</v>
      </c>
      <c r="N23" s="9">
        <f>Table1[[#This Row],[kelly/4 365]]*0.8*$U$2</f>
        <v>10.91741721629757</v>
      </c>
      <c r="O23" s="2">
        <f>Table1[[#This Row],[365 implied]]</f>
        <v>0.59523809523809523</v>
      </c>
      <c r="P23" s="2">
        <f>(Table1[[#This Row],[poisson_likelihood]] - (1-Table1[[#This Row],[poisson_likelihood]])/(1/Table1[[#This Row],[99/pinn implied]]-1))/4</f>
        <v>1.819569536049595E-2</v>
      </c>
      <c r="Q23" s="7">
        <f>Table1[[#This Row],[kelly/4 99]]*0.8*$U$2</f>
        <v>10.91741721629757</v>
      </c>
      <c r="R23" s="11" t="s">
        <v>107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7.4238437070823462</v>
      </c>
    </row>
    <row r="24" spans="1:19" x14ac:dyDescent="0.2">
      <c r="A24">
        <v>5415</v>
      </c>
      <c r="B24" t="s">
        <v>79</v>
      </c>
      <c r="C24" s="1">
        <v>45607</v>
      </c>
      <c r="D24" t="s">
        <v>12</v>
      </c>
      <c r="E24">
        <v>4.5</v>
      </c>
      <c r="F24" s="2">
        <v>0.47169811320754701</v>
      </c>
      <c r="G24" s="2">
        <v>0.54895377608755103</v>
      </c>
      <c r="H24" s="2">
        <v>0.52375637301183997</v>
      </c>
      <c r="I24" s="2">
        <v>0.50595238095238004</v>
      </c>
      <c r="J24" s="2">
        <v>0.472413793103448</v>
      </c>
      <c r="K24" s="2">
        <v>2.4634712228817399E-2</v>
      </c>
      <c r="L24" s="2">
        <f>1/2.15</f>
        <v>0.46511627906976744</v>
      </c>
      <c r="M24" s="2">
        <f>(Table1[[#This Row],[poisson_likelihood]] - (1-Table1[[#This Row],[poisson_likelihood]])/(1/Table1[[#This Row],[365 implied]]-1))/4</f>
        <v>2.7407869994664324E-2</v>
      </c>
      <c r="N24" s="9">
        <f>Table1[[#This Row],[kelly/4 365]]*0.8*$U$2</f>
        <v>16.444721996798595</v>
      </c>
      <c r="O24" s="2">
        <f>1/2.1</f>
        <v>0.47619047619047616</v>
      </c>
      <c r="P24" s="2">
        <f>(Table1[[#This Row],[poisson_likelihood]] - (1-Table1[[#This Row],[poisson_likelihood]])/(1/Table1[[#This Row],[99/pinn implied]]-1))/4</f>
        <v>2.2701905301105454E-2</v>
      </c>
      <c r="Q24" s="7">
        <f>Table1[[#This Row],[kelly/4 99]]*0.8*$U$2</f>
        <v>13.621143180663273</v>
      </c>
      <c r="R24" s="11" t="s">
        <v>107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18.911430296318382</v>
      </c>
    </row>
    <row r="25" spans="1:19" x14ac:dyDescent="0.2">
      <c r="A25">
        <v>5406</v>
      </c>
      <c r="B25" t="s">
        <v>74</v>
      </c>
      <c r="C25" s="1">
        <v>45607</v>
      </c>
      <c r="D25" t="s">
        <v>13</v>
      </c>
      <c r="E25">
        <v>1.5</v>
      </c>
      <c r="F25" s="2">
        <v>0.42553191489361702</v>
      </c>
      <c r="G25" s="2">
        <v>0.427193951192962</v>
      </c>
      <c r="H25" s="2">
        <v>0.48095531569813998</v>
      </c>
      <c r="I25" s="2">
        <v>0.49717514124293699</v>
      </c>
      <c r="J25" s="2">
        <v>0.48821548821548799</v>
      </c>
      <c r="K25" s="2">
        <v>2.4119442942709301E-2</v>
      </c>
      <c r="L25" s="2">
        <f>1/2.4</f>
        <v>0.41666666666666669</v>
      </c>
      <c r="M25" s="2">
        <f>(Table1[[#This Row],[poisson_likelihood]] - (1-Table1[[#This Row],[poisson_likelihood]])/(1/Table1[[#This Row],[365 implied]]-1))/4</f>
        <v>2.75522781563457E-2</v>
      </c>
      <c r="N25" s="9">
        <f>Table1[[#This Row],[kelly/4 365]]*0.8*$U$2</f>
        <v>16.531366893807419</v>
      </c>
      <c r="O25" s="2">
        <f>1/2.33</f>
        <v>0.42918454935622319</v>
      </c>
      <c r="P25" s="2">
        <f>(Table1[[#This Row],[poisson_likelihood]] - (1-Table1[[#This Row],[poisson_likelihood]])/(1/Table1[[#This Row],[99/pinn implied]]-1))/4</f>
        <v>2.2674038642230485E-2</v>
      </c>
      <c r="Q25" s="7">
        <f>Table1[[#This Row],[kelly/4 99]]*0.8*$U$2</f>
        <v>13.604423185338291</v>
      </c>
      <c r="R25" s="11" t="s">
        <v>108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-16.531366893807419</v>
      </c>
    </row>
    <row r="26" spans="1:19" x14ac:dyDescent="0.2">
      <c r="A26">
        <v>5333</v>
      </c>
      <c r="B26" t="s">
        <v>38</v>
      </c>
      <c r="C26" s="1">
        <v>45607</v>
      </c>
      <c r="D26" t="s">
        <v>12</v>
      </c>
      <c r="E26">
        <v>2.5</v>
      </c>
      <c r="F26" s="2">
        <v>0.43103448275862</v>
      </c>
      <c r="G26" s="2">
        <v>0.53076698055518301</v>
      </c>
      <c r="H26" s="2">
        <v>0.48541941881885697</v>
      </c>
      <c r="I26" s="2">
        <v>0.42771084337349302</v>
      </c>
      <c r="J26" s="2">
        <v>0.41843971631205601</v>
      </c>
      <c r="K26" s="2">
        <v>2.3896411299195099E-2</v>
      </c>
      <c r="L26" s="2">
        <f>1/2.35</f>
        <v>0.42553191489361702</v>
      </c>
      <c r="M26" s="2">
        <f>(Table1[[#This Row],[poisson_likelihood]] - (1-Table1[[#This Row],[poisson_likelihood]])/(1/Table1[[#This Row],[365 implied]]-1))/4</f>
        <v>2.6062154485984063E-2</v>
      </c>
      <c r="N26" s="9">
        <f>Table1[[#This Row],[kelly/4 365]]*0.8*$U$2</f>
        <v>15.637292691590439</v>
      </c>
      <c r="O26" s="2">
        <f>1/2.32</f>
        <v>0.43103448275862072</v>
      </c>
      <c r="P26" s="2">
        <f>(Table1[[#This Row],[poisson_likelihood]] - (1-Table1[[#This Row],[poisson_likelihood]])/(1/Table1[[#This Row],[99/pinn implied]]-1))/4</f>
        <v>2.3896411299194717E-2</v>
      </c>
      <c r="Q26" s="7">
        <f>Table1[[#This Row],[kelly/4 99]]*0.8*$U$2</f>
        <v>14.337846779516832</v>
      </c>
      <c r="R26" s="11" t="s">
        <v>107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21.110345133647094</v>
      </c>
    </row>
    <row r="27" spans="1:19" x14ac:dyDescent="0.2">
      <c r="A27">
        <v>5365</v>
      </c>
      <c r="B27" t="s">
        <v>54</v>
      </c>
      <c r="C27" s="1">
        <v>45607</v>
      </c>
      <c r="D27" t="s">
        <v>12</v>
      </c>
      <c r="E27">
        <v>1.5</v>
      </c>
      <c r="F27" s="2">
        <v>0.60606060606060597</v>
      </c>
      <c r="G27" s="2">
        <v>0.67435262408803998</v>
      </c>
      <c r="H27" s="2">
        <v>0.64236908198750398</v>
      </c>
      <c r="I27" s="2">
        <v>0.59595959595959502</v>
      </c>
      <c r="J27" s="2">
        <v>0.54672897196261605</v>
      </c>
      <c r="K27" s="2">
        <v>2.30419174151472E-2</v>
      </c>
      <c r="L27" s="2">
        <f>1/1.62</f>
        <v>0.61728395061728392</v>
      </c>
      <c r="M27" s="2">
        <f>(Table1[[#This Row],[poisson_likelihood]] - (1-Table1[[#This Row],[poisson_likelihood]])/(1/Table1[[#This Row],[365 implied]]-1))/4</f>
        <v>1.6386255169256653E-2</v>
      </c>
      <c r="N27" s="7">
        <f>Table1[[#This Row],[kelly/4 365]]*0.8*$U$2</f>
        <v>9.8317531015539927</v>
      </c>
      <c r="O27" s="2">
        <f>1/1.628</f>
        <v>0.61425061425061434</v>
      </c>
      <c r="P27" s="2">
        <f>(Table1[[#This Row],[poisson_likelihood]] - (1-Table1[[#This Row],[poisson_likelihood]])/(1/Table1[[#This Row],[99/pinn implied]]-1))/4</f>
        <v>1.8223274472793094E-2</v>
      </c>
      <c r="Q27" s="9">
        <f>Table1[[#This Row],[kelly/4 99]]*0.8*$U$2</f>
        <v>10.933964683675857</v>
      </c>
      <c r="R27" s="11" t="s">
        <v>107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6.8665298213484327</v>
      </c>
    </row>
    <row r="28" spans="1:19" x14ac:dyDescent="0.2">
      <c r="A28">
        <v>5301</v>
      </c>
      <c r="B28" t="s">
        <v>22</v>
      </c>
      <c r="C28" s="1">
        <v>45607</v>
      </c>
      <c r="D28" t="s">
        <v>12</v>
      </c>
      <c r="E28">
        <v>1.5</v>
      </c>
      <c r="F28" s="2">
        <v>0.625</v>
      </c>
      <c r="G28" s="2">
        <v>0.69462160095495895</v>
      </c>
      <c r="H28" s="2">
        <v>0.65822926027065298</v>
      </c>
      <c r="I28" s="2">
        <v>0.70344827586206804</v>
      </c>
      <c r="J28" s="2">
        <v>0.67415730337078605</v>
      </c>
      <c r="K28" s="2">
        <v>2.2152840180435701E-2</v>
      </c>
      <c r="L28" s="2">
        <f>1/1.57</f>
        <v>0.63694267515923564</v>
      </c>
      <c r="M28" s="2">
        <f>(Table1[[#This Row],[poisson_likelihood]] - (1-Table1[[#This Row],[poisson_likelihood]])/(1/Table1[[#This Row],[365 implied]]-1))/4</f>
        <v>1.4657867817949671E-2</v>
      </c>
      <c r="N28" s="9">
        <f>Table1[[#This Row],[kelly/4 365]]*0.8*$U$2</f>
        <v>8.7947206907698039</v>
      </c>
      <c r="O28" s="2">
        <f>1/1.555</f>
        <v>0.64308681672025725</v>
      </c>
      <c r="P28" s="2">
        <f>(Table1[[#This Row],[poisson_likelihood]] - (1-Table1[[#This Row],[poisson_likelihood]])/(1/Table1[[#This Row],[99/pinn implied]]-1))/4</f>
        <v>1.0606531405795205E-2</v>
      </c>
      <c r="Q28" s="7">
        <f>Table1[[#This Row],[kelly/4 99]]*0.8*$U$2</f>
        <v>6.3639188434771237</v>
      </c>
      <c r="R28" s="11" t="s">
        <v>108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-8.7947206907698039</v>
      </c>
    </row>
    <row r="29" spans="1:19" x14ac:dyDescent="0.2">
      <c r="A29">
        <v>5332</v>
      </c>
      <c r="B29" t="s">
        <v>37</v>
      </c>
      <c r="C29" s="1">
        <v>45607</v>
      </c>
      <c r="D29" t="s">
        <v>13</v>
      </c>
      <c r="E29">
        <v>2.5</v>
      </c>
      <c r="F29" s="2">
        <v>0.5</v>
      </c>
      <c r="G29" s="2">
        <v>0.50031657179881395</v>
      </c>
      <c r="H29" s="2">
        <v>0.54416406535326101</v>
      </c>
      <c r="I29" s="2">
        <v>0.51785714285714202</v>
      </c>
      <c r="J29" s="2">
        <v>0.53214285714285703</v>
      </c>
      <c r="K29" s="2">
        <v>2.2082032676630701E-2</v>
      </c>
      <c r="L29" s="2">
        <f>1/2</f>
        <v>0.5</v>
      </c>
      <c r="M29" s="2">
        <f>(Table1[[#This Row],[poisson_likelihood]] - (1-Table1[[#This Row],[poisson_likelihood]])/(1/Table1[[#This Row],[365 implied]]-1))/4</f>
        <v>2.2082032676630503E-2</v>
      </c>
      <c r="N29" s="9">
        <f>Table1[[#This Row],[kelly/4 365]]*0.8*$U$2</f>
        <v>13.249219605978302</v>
      </c>
      <c r="O29" s="2">
        <f>1/1.917</f>
        <v>0.52164840897235265</v>
      </c>
      <c r="P29" s="2">
        <f>(Table1[[#This Row],[poisson_likelihood]] - (1-Table1[[#This Row],[poisson_likelihood]])/(1/Table1[[#This Row],[99/pinn implied]]-1))/4</f>
        <v>1.1767315507688489E-2</v>
      </c>
      <c r="Q29" s="7">
        <f>Table1[[#This Row],[kelly/4 99]]*0.8*$U$2</f>
        <v>7.0603893046130946</v>
      </c>
      <c r="R29" s="11" t="s">
        <v>107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13.249219605978302</v>
      </c>
    </row>
    <row r="30" spans="1:19" x14ac:dyDescent="0.2">
      <c r="A30">
        <v>5314</v>
      </c>
      <c r="B30" t="s">
        <v>28</v>
      </c>
      <c r="C30" s="1">
        <v>45607</v>
      </c>
      <c r="D30" t="s">
        <v>13</v>
      </c>
      <c r="E30">
        <v>2.5</v>
      </c>
      <c r="F30" s="2">
        <v>0.512820512820512</v>
      </c>
      <c r="G30" s="2">
        <v>0.50702712155351604</v>
      </c>
      <c r="H30" s="2">
        <v>0.55153311093882895</v>
      </c>
      <c r="I30" s="2">
        <v>0.54444444444444395</v>
      </c>
      <c r="J30" s="2">
        <v>0.54276315789473595</v>
      </c>
      <c r="K30" s="2">
        <v>1.98656753501887E-2</v>
      </c>
      <c r="L30" s="2"/>
      <c r="M30" s="2" t="e">
        <f>(Table1[[#This Row],[poisson_likelihood]] - (1-Table1[[#This Row],[poisson_likelihood]])/(1/Table1[[#This Row],[365 implied]]-1))/4</f>
        <v>#DIV/0!</v>
      </c>
      <c r="N30" s="7" t="e">
        <f>Table1[[#This Row],[kelly/4 365]]*0.8*$U$2</f>
        <v>#DIV/0!</v>
      </c>
      <c r="O30" s="2"/>
      <c r="P30" s="2" t="e">
        <f>(Table1[[#This Row],[poisson_likelihood]] - (1-Table1[[#This Row],[poisson_likelihood]])/(1/Table1[[#This Row],[99/pinn implied]]-1))/4</f>
        <v>#DIV/0!</v>
      </c>
      <c r="Q30" s="7" t="e">
        <f>Table1[[#This Row],[kelly/4 99]]*0.8*$U$2</f>
        <v>#DIV/0!</v>
      </c>
      <c r="R30" s="11"/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5312</v>
      </c>
      <c r="B31" t="s">
        <v>27</v>
      </c>
      <c r="C31" s="1">
        <v>45607</v>
      </c>
      <c r="D31" t="s">
        <v>13</v>
      </c>
      <c r="E31">
        <v>1.5</v>
      </c>
      <c r="F31" s="2">
        <v>0.43103448275862</v>
      </c>
      <c r="G31" s="2">
        <v>0.428862996640479</v>
      </c>
      <c r="H31" s="2">
        <v>0.47567732896063603</v>
      </c>
      <c r="I31" s="2">
        <v>0.49645390070921902</v>
      </c>
      <c r="J31" s="2">
        <v>0.473282442748091</v>
      </c>
      <c r="K31" s="2">
        <v>1.96157960584613E-2</v>
      </c>
      <c r="L31" s="2">
        <f>1/2.3</f>
        <v>0.43478260869565222</v>
      </c>
      <c r="M31" s="2">
        <f>(Table1[[#This Row],[poisson_likelihood]] - (1-Table1[[#This Row],[poisson_likelihood]])/(1/Table1[[#This Row],[365 implied]]-1))/4</f>
        <v>1.8088049347973603E-2</v>
      </c>
      <c r="N31" s="9">
        <f>Table1[[#This Row],[kelly/4 365]]*0.8*$U$2</f>
        <v>10.852829608784162</v>
      </c>
      <c r="O31" s="2">
        <f>1/2.24</f>
        <v>0.4464285714285714</v>
      </c>
      <c r="P31" s="2">
        <f>(Table1[[#This Row],[poisson_likelihood]] - (1-Table1[[#This Row],[poisson_likelihood]])/(1/Table1[[#This Row],[99/pinn implied]]-1))/4</f>
        <v>1.320911630480337E-2</v>
      </c>
      <c r="Q31" s="7">
        <f>Table1[[#This Row],[kelly/4 99]]*0.8*$U$2</f>
        <v>7.9254697828820229</v>
      </c>
      <c r="R31" s="11" t="s">
        <v>107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14.108678491419408</v>
      </c>
    </row>
    <row r="32" spans="1:19" x14ac:dyDescent="0.2">
      <c r="A32">
        <v>5390</v>
      </c>
      <c r="B32" t="s">
        <v>66</v>
      </c>
      <c r="C32" s="1">
        <v>45607</v>
      </c>
      <c r="D32" t="s">
        <v>13</v>
      </c>
      <c r="E32">
        <v>1.5</v>
      </c>
      <c r="F32" s="2">
        <v>0.434782608695652</v>
      </c>
      <c r="G32" s="2">
        <v>0.42527747355969697</v>
      </c>
      <c r="H32" s="2">
        <v>0.47315553149253298</v>
      </c>
      <c r="I32" s="2">
        <v>0.41279069767441801</v>
      </c>
      <c r="J32" s="2">
        <v>0.41379310344827502</v>
      </c>
      <c r="K32" s="2">
        <v>1.69726389293899E-2</v>
      </c>
      <c r="L32" s="2">
        <f>1/2.32</f>
        <v>0.43103448275862072</v>
      </c>
      <c r="M32" s="2">
        <f>(Table1[[#This Row],[poisson_likelihood]] - (1-Table1[[#This Row],[poisson_likelihood]])/(1/Table1[[#This Row],[365 implied]]-1))/4</f>
        <v>1.8507733534597809E-2</v>
      </c>
      <c r="N32" s="9">
        <f>Table1[[#This Row],[kelly/4 365]]*0.8*$U$2</f>
        <v>11.104640120758686</v>
      </c>
      <c r="O32" s="2">
        <f>1/2.26</f>
        <v>0.44247787610619471</v>
      </c>
      <c r="P32" s="2">
        <f>(Table1[[#This Row],[poisson_likelihood]] - (1-Table1[[#This Row],[poisson_likelihood]])/(1/Table1[[#This Row],[99/pinn implied]]-1))/4</f>
        <v>1.3756250232762779E-2</v>
      </c>
      <c r="Q32" s="7">
        <f>Table1[[#This Row],[kelly/4 99]]*0.8*$U$2</f>
        <v>8.2537501396576669</v>
      </c>
      <c r="R32" s="11" t="s">
        <v>107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14.658124959401464</v>
      </c>
    </row>
    <row r="33" spans="1:19" x14ac:dyDescent="0.2">
      <c r="A33">
        <v>5374</v>
      </c>
      <c r="B33" t="s">
        <v>58</v>
      </c>
      <c r="C33" s="1">
        <v>45607</v>
      </c>
      <c r="D33" t="s">
        <v>13</v>
      </c>
      <c r="E33">
        <v>2.5</v>
      </c>
      <c r="F33" s="2">
        <v>0.60975609756097504</v>
      </c>
      <c r="G33" s="2">
        <v>0.58774486704186102</v>
      </c>
      <c r="H33" s="2">
        <v>0.63550893327154101</v>
      </c>
      <c r="I33" s="2">
        <v>0.54285714285714204</v>
      </c>
      <c r="J33" s="2">
        <v>0.52559726962457298</v>
      </c>
      <c r="K33" s="2">
        <v>1.64979103770811E-2</v>
      </c>
      <c r="L33" s="2">
        <f>1/1.57</f>
        <v>0.63694267515923564</v>
      </c>
      <c r="M33" s="2">
        <f>(Table1[[#This Row],[poisson_likelihood]] - (1-Table1[[#This Row],[poisson_likelihood]])/(1/Table1[[#This Row],[365 implied]]-1))/4</f>
        <v>-9.8726963319323291E-4</v>
      </c>
      <c r="N33" s="7">
        <f>Table1[[#This Row],[kelly/4 365]]*0.8*$U$2</f>
        <v>-0.59236177991593975</v>
      </c>
      <c r="O33" s="2">
        <f>1/1.54</f>
        <v>0.64935064935064934</v>
      </c>
      <c r="P33" s="2">
        <f>(Table1[[#This Row],[poisson_likelihood]] - (1-Table1[[#This Row],[poisson_likelihood]])/(1/Table1[[#This Row],[99/pinn implied]]-1))/4</f>
        <v>-9.8686309082531565E-3</v>
      </c>
      <c r="Q33" s="7">
        <f>Table1[[#This Row],[kelly/4 99]]*0.8*$U$2</f>
        <v>-5.9211785449518946</v>
      </c>
      <c r="R33" s="11"/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5285</v>
      </c>
      <c r="B34" t="s">
        <v>14</v>
      </c>
      <c r="C34" s="1">
        <v>45607</v>
      </c>
      <c r="D34" t="s">
        <v>12</v>
      </c>
      <c r="E34">
        <v>1.5</v>
      </c>
      <c r="F34" s="2">
        <v>0.60606060606060597</v>
      </c>
      <c r="G34" s="2">
        <v>0.66266626537626006</v>
      </c>
      <c r="H34" s="2">
        <v>0.62764689177694599</v>
      </c>
      <c r="I34" s="2">
        <v>0.62015503875968903</v>
      </c>
      <c r="J34" s="2">
        <v>0.61382113821138196</v>
      </c>
      <c r="K34" s="2">
        <v>1.3698989012292899E-2</v>
      </c>
      <c r="L34" s="2">
        <f>1/1.62</f>
        <v>0.61728395061728392</v>
      </c>
      <c r="M34" s="2">
        <f>(Table1[[#This Row],[poisson_likelihood]] - (1-Table1[[#This Row],[poisson_likelihood]])/(1/Table1[[#This Row],[365 implied]]-1))/4</f>
        <v>6.7693405962308828E-3</v>
      </c>
      <c r="N34" s="7">
        <f>Table1[[#This Row],[kelly/4 365]]*0.8*$U$2</f>
        <v>4.0616043577385295</v>
      </c>
      <c r="O34" s="2">
        <f>1/1.625</f>
        <v>0.61538461538461542</v>
      </c>
      <c r="P34" s="2">
        <f>(Table1[[#This Row],[poisson_likelihood]] - (1-Table1[[#This Row],[poisson_likelihood]])/(1/Table1[[#This Row],[99/pinn implied]]-1))/4</f>
        <v>7.970479655014906E-3</v>
      </c>
      <c r="Q34" s="9">
        <f>Table1[[#This Row],[kelly/4 99]]*0.8*$U$2</f>
        <v>4.782287793008944</v>
      </c>
      <c r="R34" s="11" t="s">
        <v>108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-4.782287793008944</v>
      </c>
    </row>
    <row r="35" spans="1:19" x14ac:dyDescent="0.2">
      <c r="A35">
        <v>5426</v>
      </c>
      <c r="B35" t="s">
        <v>84</v>
      </c>
      <c r="C35" s="1">
        <v>45607</v>
      </c>
      <c r="D35" t="s">
        <v>13</v>
      </c>
      <c r="E35">
        <v>2.5</v>
      </c>
      <c r="F35" s="2">
        <v>0.44052863436123302</v>
      </c>
      <c r="G35" s="2">
        <v>0.43554382216867499</v>
      </c>
      <c r="H35" s="2">
        <v>0.47067222529179698</v>
      </c>
      <c r="I35" s="2">
        <v>0.47794117647058798</v>
      </c>
      <c r="J35" s="2">
        <v>0.48484848484848397</v>
      </c>
      <c r="K35" s="2">
        <v>1.3469675474878101E-2</v>
      </c>
      <c r="L35" s="2">
        <f>1/2.32</f>
        <v>0.43103448275862072</v>
      </c>
      <c r="M35" s="2">
        <f>(Table1[[#This Row],[poisson_likelihood]] - (1-Table1[[#This Row],[poisson_likelihood]])/(1/Table1[[#This Row],[365 implied]]-1))/4</f>
        <v>1.7416583840335023E-2</v>
      </c>
      <c r="N35" s="9">
        <f>Table1[[#This Row],[kelly/4 365]]*0.8*$U$2</f>
        <v>10.449950304201014</v>
      </c>
      <c r="O35" s="2">
        <f>1/2.26</f>
        <v>0.44247787610619471</v>
      </c>
      <c r="P35" s="2">
        <f>(Table1[[#This Row],[poisson_likelihood]] - (1-Table1[[#This Row],[poisson_likelihood]])/(1/Table1[[#This Row],[99/pinn implied]]-1))/4</f>
        <v>1.2642704198305765E-2</v>
      </c>
      <c r="Q35" s="7">
        <f>Table1[[#This Row],[kelly/4 99]]*0.8*$U$2</f>
        <v>7.5856225189834596</v>
      </c>
      <c r="R35" s="11" t="s">
        <v>108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-10.449950304201014</v>
      </c>
    </row>
    <row r="36" spans="1:19" x14ac:dyDescent="0.2">
      <c r="A36">
        <v>5329</v>
      </c>
      <c r="B36" t="s">
        <v>36</v>
      </c>
      <c r="C36" s="1">
        <v>45607</v>
      </c>
      <c r="D36" t="s">
        <v>12</v>
      </c>
      <c r="E36">
        <v>2.5</v>
      </c>
      <c r="F36" s="2">
        <v>0.460829493087557</v>
      </c>
      <c r="G36" s="2">
        <v>0.53332287291437597</v>
      </c>
      <c r="H36" s="2">
        <v>0.48978937240471698</v>
      </c>
      <c r="I36" s="2">
        <v>0.49079754601226899</v>
      </c>
      <c r="J36" s="2">
        <v>0.45555555555555499</v>
      </c>
      <c r="K36" s="2">
        <v>1.3427978230392599E-2</v>
      </c>
      <c r="L36" s="2">
        <f>1/2.25</f>
        <v>0.44444444444444442</v>
      </c>
      <c r="M36" s="2">
        <f>(Table1[[#This Row],[poisson_likelihood]] - (1-Table1[[#This Row],[poisson_likelihood]])/(1/Table1[[#This Row],[365 implied]]-1))/4</f>
        <v>2.0405217582122645E-2</v>
      </c>
      <c r="N36" s="9">
        <f>Table1[[#This Row],[kelly/4 365]]*0.8*$U$2</f>
        <v>12.243130549273587</v>
      </c>
      <c r="O36" s="2">
        <f>1/2.18</f>
        <v>0.4587155963302752</v>
      </c>
      <c r="P36" s="2">
        <f>(Table1[[#This Row],[poisson_likelihood]] - (1-Table1[[#This Row],[poisson_likelihood]])/(1/Table1[[#This Row],[99/pinn implied]]-1))/4</f>
        <v>1.435187115302608E-2</v>
      </c>
      <c r="Q36" s="7">
        <f>Table1[[#This Row],[kelly/4 99]]*0.8*$U$2</f>
        <v>8.6111226918156483</v>
      </c>
      <c r="R36" s="11" t="s">
        <v>107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15.303913186591984</v>
      </c>
    </row>
    <row r="37" spans="1:19" x14ac:dyDescent="0.2">
      <c r="A37">
        <v>5344</v>
      </c>
      <c r="B37" t="s">
        <v>43</v>
      </c>
      <c r="C37" s="1">
        <v>45607</v>
      </c>
      <c r="D37" t="s">
        <v>13</v>
      </c>
      <c r="E37">
        <v>1.5</v>
      </c>
      <c r="F37" s="2">
        <v>0.42372881355932202</v>
      </c>
      <c r="G37" s="2">
        <v>0.38862055501507298</v>
      </c>
      <c r="H37" s="2">
        <v>0.45464624470622</v>
      </c>
      <c r="I37" s="2">
        <v>0.53623188405797095</v>
      </c>
      <c r="J37" s="2">
        <v>0.51249999999999996</v>
      </c>
      <c r="K37" s="2">
        <v>1.34127091004928E-2</v>
      </c>
      <c r="L37" s="2">
        <f>1/2.35</f>
        <v>0.42553191489361702</v>
      </c>
      <c r="M37" s="2">
        <f>(Table1[[#This Row],[poisson_likelihood]] - (1-Table1[[#This Row],[poisson_likelihood]])/(1/Table1[[#This Row],[365 implied]]-1))/4</f>
        <v>1.2670125011040201E-2</v>
      </c>
      <c r="N37" s="9">
        <f>Table1[[#This Row],[kelly/4 365]]*0.8*$U$2</f>
        <v>7.6020750066241209</v>
      </c>
      <c r="O37" s="2">
        <f>1/2.29</f>
        <v>0.4366812227074236</v>
      </c>
      <c r="P37" s="2">
        <f>(Table1[[#This Row],[poisson_likelihood]] - (1-Table1[[#This Row],[poisson_likelihood]])/(1/Table1[[#This Row],[99/pinn implied]]-1))/4</f>
        <v>7.9728489103185751E-3</v>
      </c>
      <c r="Q37" s="7">
        <f>Table1[[#This Row],[kelly/4 99]]*0.8*$U$2</f>
        <v>4.7837093461911451</v>
      </c>
      <c r="R37" s="11" t="s">
        <v>107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10.262801258942565</v>
      </c>
    </row>
    <row r="38" spans="1:19" x14ac:dyDescent="0.2">
      <c r="A38">
        <v>5442</v>
      </c>
      <c r="B38" t="s">
        <v>92</v>
      </c>
      <c r="C38" s="1">
        <v>45607</v>
      </c>
      <c r="D38" t="s">
        <v>13</v>
      </c>
      <c r="E38">
        <v>2.5</v>
      </c>
      <c r="F38" s="2">
        <v>0.44247787610619399</v>
      </c>
      <c r="G38" s="2">
        <v>0.43543734422138802</v>
      </c>
      <c r="H38" s="2">
        <v>0.47220598175637202</v>
      </c>
      <c r="I38" s="2">
        <v>0.43373493975903599</v>
      </c>
      <c r="J38" s="2">
        <v>0.432142857142857</v>
      </c>
      <c r="K38" s="2">
        <v>1.33304600732938E-2</v>
      </c>
      <c r="L38" s="2">
        <f>1/2.3</f>
        <v>0.43478260869565222</v>
      </c>
      <c r="M38" s="2">
        <f>(Table1[[#This Row],[poisson_likelihood]] - (1-Table1[[#This Row],[poisson_likelihood]])/(1/Table1[[#This Row],[365 implied]]-1))/4</f>
        <v>1.6552645776856834E-2</v>
      </c>
      <c r="N38" s="9">
        <f>Table1[[#This Row],[kelly/4 365]]*0.8*$U$2</f>
        <v>9.9315874661141006</v>
      </c>
      <c r="O38" s="2">
        <f>1/2.18</f>
        <v>0.4587155963302752</v>
      </c>
      <c r="P38" s="2">
        <f>(Table1[[#This Row],[poisson_likelihood]] - (1-Table1[[#This Row],[poisson_likelihood]])/(1/Table1[[#This Row],[99/pinn implied]]-1))/4</f>
        <v>6.2307288620531837E-3</v>
      </c>
      <c r="Q38" s="7">
        <f>Table1[[#This Row],[kelly/4 99]]*0.8*$U$2</f>
        <v>3.7384373172319108</v>
      </c>
      <c r="R38" s="11" t="s">
        <v>107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12.911063705948328</v>
      </c>
    </row>
    <row r="39" spans="1:19" x14ac:dyDescent="0.2">
      <c r="A39">
        <v>5359</v>
      </c>
      <c r="B39" t="s">
        <v>51</v>
      </c>
      <c r="C39" s="1">
        <v>45607</v>
      </c>
      <c r="D39" t="s">
        <v>12</v>
      </c>
      <c r="E39">
        <v>3.5</v>
      </c>
      <c r="F39" s="2">
        <v>0.44247787610619399</v>
      </c>
      <c r="G39" s="2">
        <v>0.50753527804379295</v>
      </c>
      <c r="H39" s="2">
        <v>0.47036528164392799</v>
      </c>
      <c r="I39" s="2">
        <v>0.39072847682119199</v>
      </c>
      <c r="J39" s="2">
        <v>0.38202247191011202</v>
      </c>
      <c r="K39" s="2">
        <v>1.25050667689043E-2</v>
      </c>
      <c r="L39" s="2">
        <f>1/2.3</f>
        <v>0.43478260869565222</v>
      </c>
      <c r="M39" s="2">
        <f>(Table1[[#This Row],[poisson_likelihood]] - (1-Table1[[#This Row],[poisson_likelihood]])/(1/Table1[[#This Row],[365 implied]]-1))/4</f>
        <v>1.5738489957891219E-2</v>
      </c>
      <c r="N39" s="9">
        <f>Table1[[#This Row],[kelly/4 365]]*0.8*$U$2</f>
        <v>9.4430939747347331</v>
      </c>
      <c r="O39" s="2">
        <f>1/2.26</f>
        <v>0.44247787610619471</v>
      </c>
      <c r="P39" s="2">
        <f>(Table1[[#This Row],[poisson_likelihood]] - (1-Table1[[#This Row],[poisson_likelihood]])/(1/Table1[[#This Row],[99/pinn implied]]-1))/4</f>
        <v>1.2505066768904199E-2</v>
      </c>
      <c r="Q39" s="7">
        <f>Table1[[#This Row],[kelly/4 99]]*0.8*$U$2</f>
        <v>7.5030400613425199</v>
      </c>
      <c r="R39" s="11" t="s">
        <v>107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12.276022167155151</v>
      </c>
    </row>
    <row r="40" spans="1:19" x14ac:dyDescent="0.2">
      <c r="A40">
        <v>5357</v>
      </c>
      <c r="B40" t="s">
        <v>50</v>
      </c>
      <c r="C40" s="1">
        <v>45607</v>
      </c>
      <c r="D40" t="s">
        <v>12</v>
      </c>
      <c r="E40">
        <v>2.5</v>
      </c>
      <c r="F40" s="2">
        <v>0.53191489361702105</v>
      </c>
      <c r="G40" s="2">
        <v>0.588063781736611</v>
      </c>
      <c r="H40" s="2">
        <v>0.55361636892115196</v>
      </c>
      <c r="I40" s="2">
        <v>0.41573033707865098</v>
      </c>
      <c r="J40" s="2">
        <v>0.42857142857142799</v>
      </c>
      <c r="K40" s="2">
        <v>1.15905606737972E-2</v>
      </c>
      <c r="L40" s="2">
        <f>1/1.86</f>
        <v>0.5376344086021505</v>
      </c>
      <c r="M40" s="2">
        <f>(Table1[[#This Row],[poisson_likelihood]] - (1-Table1[[#This Row],[poisson_likelihood]])/(1/Table1[[#This Row],[365 implied]]-1))/4</f>
        <v>8.6414087771345127E-3</v>
      </c>
      <c r="N40" s="9">
        <f>Table1[[#This Row],[kelly/4 365]]*0.8*$U$2</f>
        <v>5.1848452662807079</v>
      </c>
      <c r="O40" s="2">
        <f>1/1.787</f>
        <v>0.55959709009513148</v>
      </c>
      <c r="P40" s="2">
        <f>(Table1[[#This Row],[poisson_likelihood]] - (1-Table1[[#This Row],[poisson_likelihood]])/(1/Table1[[#This Row],[99/pinn implied]]-1))/4</f>
        <v>-3.3950281886598876E-3</v>
      </c>
      <c r="Q40" s="7">
        <f>Table1[[#This Row],[kelly/4 99]]*0.8*$U$2</f>
        <v>-2.0370169131959326</v>
      </c>
      <c r="R40" s="11" t="s">
        <v>108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-5.1848452662807079</v>
      </c>
    </row>
    <row r="41" spans="1:19" x14ac:dyDescent="0.2">
      <c r="A41">
        <v>5298</v>
      </c>
      <c r="B41" t="s">
        <v>20</v>
      </c>
      <c r="C41" s="1">
        <v>45607</v>
      </c>
      <c r="D41" t="s">
        <v>13</v>
      </c>
      <c r="E41">
        <v>1.5</v>
      </c>
      <c r="F41" s="2">
        <v>0.47169811320754701</v>
      </c>
      <c r="G41" s="2">
        <v>0.44951260918272601</v>
      </c>
      <c r="H41" s="2">
        <v>0.49363760602915802</v>
      </c>
      <c r="I41" s="2">
        <v>0.57142857142857095</v>
      </c>
      <c r="J41" s="2">
        <v>0.55421686746987897</v>
      </c>
      <c r="K41" s="2">
        <v>1.0382081424512401E-2</v>
      </c>
      <c r="L41" s="2">
        <f>1/2.05</f>
        <v>0.48780487804878053</v>
      </c>
      <c r="M41" s="2">
        <f>(Table1[[#This Row],[poisson_likelihood]] - (1-Table1[[#This Row],[poisson_likelihood]])/(1/Table1[[#This Row],[365 implied]]-1))/4</f>
        <v>2.8469267523271169E-3</v>
      </c>
      <c r="N41" s="9">
        <f>Table1[[#This Row],[kelly/4 365]]*0.8*$U$2</f>
        <v>1.7081560513962704</v>
      </c>
      <c r="O41" s="2">
        <f>1/2.02</f>
        <v>0.49504950495049505</v>
      </c>
      <c r="P41" s="2">
        <f>(Table1[[#This Row],[poisson_likelihood]] - (1-Table1[[#This Row],[poisson_likelihood]])/(1/Table1[[#This Row],[99/pinn implied]]-1))/4</f>
        <v>-6.990283875246972E-4</v>
      </c>
      <c r="Q41" s="7">
        <f>Table1[[#This Row],[kelly/4 99]]*0.8*$U$2</f>
        <v>-0.41941703251481832</v>
      </c>
      <c r="R41" s="11" t="s">
        <v>107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1.7935638539660836</v>
      </c>
    </row>
    <row r="42" spans="1:19" x14ac:dyDescent="0.2">
      <c r="A42">
        <v>5398</v>
      </c>
      <c r="B42" t="s">
        <v>70</v>
      </c>
      <c r="C42" s="1">
        <v>45607</v>
      </c>
      <c r="D42" t="s">
        <v>13</v>
      </c>
      <c r="E42">
        <v>1.5</v>
      </c>
      <c r="F42" s="2">
        <v>0.47169811320754701</v>
      </c>
      <c r="G42" s="2">
        <v>0.43763330225469599</v>
      </c>
      <c r="H42" s="2">
        <v>0.492121227093128</v>
      </c>
      <c r="I42" s="2">
        <v>0.51955307262569805</v>
      </c>
      <c r="J42" s="2">
        <v>0.556291390728476</v>
      </c>
      <c r="K42" s="2">
        <v>9.6645092494269599E-3</v>
      </c>
      <c r="L42" s="2"/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Row],[kelly/4 365]]*0.8*$U$2</f>
        <v>#DIV/0!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99]]*0.8*$U$2</f>
        <v>#DIV/0!</v>
      </c>
      <c r="R42" s="2"/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5350</v>
      </c>
      <c r="B43" t="s">
        <v>46</v>
      </c>
      <c r="C43" s="1">
        <v>45607</v>
      </c>
      <c r="D43" t="s">
        <v>13</v>
      </c>
      <c r="E43">
        <v>2.5</v>
      </c>
      <c r="F43" s="2">
        <v>0.65789473684210498</v>
      </c>
      <c r="G43" s="2">
        <v>0.61638967036678904</v>
      </c>
      <c r="H43" s="2">
        <v>0.66950517604887205</v>
      </c>
      <c r="I43" s="2">
        <v>0.68902439024390205</v>
      </c>
      <c r="J43" s="2">
        <v>0.61818181818181805</v>
      </c>
      <c r="K43" s="2">
        <v>8.4845517280219794E-3</v>
      </c>
      <c r="L43" s="2"/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Row],[kelly/4 365]]*0.8*$U$2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99]]*0.8*$U$2</f>
        <v>#DIV/0!</v>
      </c>
      <c r="R43" s="2"/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5368</v>
      </c>
      <c r="B44" t="s">
        <v>55</v>
      </c>
      <c r="C44" s="1">
        <v>45607</v>
      </c>
      <c r="D44" t="s">
        <v>13</v>
      </c>
      <c r="E44">
        <v>1.5</v>
      </c>
      <c r="F44" s="2">
        <v>0.52083333333333304</v>
      </c>
      <c r="G44" s="2">
        <v>0.47916653467780401</v>
      </c>
      <c r="H44" s="2">
        <v>0.53432569725089796</v>
      </c>
      <c r="I44" s="2">
        <v>0.495145631067961</v>
      </c>
      <c r="J44" s="2">
        <v>0.50672645739910305</v>
      </c>
      <c r="K44" s="2">
        <v>7.0394942178597904E-3</v>
      </c>
      <c r="L44" s="2"/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Row],[kelly/4 365]]*0.8*$U$2</f>
        <v>#DIV/0!</v>
      </c>
      <c r="O44" s="2"/>
      <c r="P44" s="2" t="e">
        <f>(Table1[[#This Row],[poisson_likelihood]] - (1-Table1[[#This Row],[poisson_likelihood]])/(1/Table1[[#This Row],[99/pinn implied]]-1))/4</f>
        <v>#DIV/0!</v>
      </c>
      <c r="Q44" s="7" t="e">
        <f>Table1[[#This Row],[kelly/4 99]]*0.8*$U$2</f>
        <v>#DIV/0!</v>
      </c>
      <c r="R44" s="2"/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5420</v>
      </c>
      <c r="B45" t="s">
        <v>81</v>
      </c>
      <c r="C45" s="1">
        <v>45607</v>
      </c>
      <c r="D45" t="s">
        <v>13</v>
      </c>
      <c r="E45">
        <v>1.5</v>
      </c>
      <c r="F45" s="2">
        <v>0.44444444444444398</v>
      </c>
      <c r="G45" s="2">
        <v>0.42087892768901802</v>
      </c>
      <c r="H45" s="2">
        <v>0.45901760168547201</v>
      </c>
      <c r="I45" s="2">
        <v>0.44</v>
      </c>
      <c r="J45" s="2">
        <v>0.43014705882352899</v>
      </c>
      <c r="K45" s="2">
        <v>6.55792075846264E-3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Row],[kelly/4 365]]*0.8*$U$2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99]]*0.8*$U$2</f>
        <v>#DIV/0!</v>
      </c>
      <c r="R45" s="2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5342</v>
      </c>
      <c r="B46" t="s">
        <v>42</v>
      </c>
      <c r="C46" s="1">
        <v>45607</v>
      </c>
      <c r="D46" t="s">
        <v>13</v>
      </c>
      <c r="E46">
        <v>2.5</v>
      </c>
      <c r="F46" s="2">
        <v>0.49019607843137197</v>
      </c>
      <c r="G46" s="2">
        <v>0.459024095600925</v>
      </c>
      <c r="H46" s="2">
        <v>0.50297588090517098</v>
      </c>
      <c r="I46" s="2">
        <v>0.59887005649717495</v>
      </c>
      <c r="J46" s="2">
        <v>0.56610169491525397</v>
      </c>
      <c r="K46" s="2">
        <v>6.2670185208052098E-3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Row],[kelly/4 365]]*0.8*$U$2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99]]*0.8*$U$2</f>
        <v>#DIV/0!</v>
      </c>
      <c r="R46" s="2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5316</v>
      </c>
      <c r="B47" t="s">
        <v>29</v>
      </c>
      <c r="C47" s="1">
        <v>45607</v>
      </c>
      <c r="D47" t="s">
        <v>13</v>
      </c>
      <c r="E47">
        <v>2.5</v>
      </c>
      <c r="F47" s="2">
        <v>0.55555555555555503</v>
      </c>
      <c r="G47" s="2">
        <v>0.52036345601446399</v>
      </c>
      <c r="H47" s="2">
        <v>0.56611109079802802</v>
      </c>
      <c r="I47" s="2">
        <v>0.52777777777777701</v>
      </c>
      <c r="J47" s="2">
        <v>0.55921052631578905</v>
      </c>
      <c r="K47" s="2">
        <v>5.9374885738912499E-3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Row],[kelly/4 365]]*0.8*$U$2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99]]*0.8*$U$2</f>
        <v>#DIV/0!</v>
      </c>
      <c r="R47" s="2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5422</v>
      </c>
      <c r="B48" t="s">
        <v>82</v>
      </c>
      <c r="C48" s="1">
        <v>45607</v>
      </c>
      <c r="D48" t="s">
        <v>13</v>
      </c>
      <c r="E48">
        <v>2.5</v>
      </c>
      <c r="F48" s="2">
        <v>0.47169811320754701</v>
      </c>
      <c r="G48" s="2">
        <v>0.44985255437675098</v>
      </c>
      <c r="H48" s="2">
        <v>0.48118676888659401</v>
      </c>
      <c r="I48" s="2">
        <v>0.44</v>
      </c>
      <c r="J48" s="2">
        <v>0.45578231292517002</v>
      </c>
      <c r="K48" s="2">
        <v>4.49016741954914E-3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Row],[kelly/4 365]]*0.8*$U$2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99]]*0.8*$U$2</f>
        <v>#DIV/0!</v>
      </c>
      <c r="R48" s="2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5446</v>
      </c>
      <c r="B49" t="s">
        <v>94</v>
      </c>
      <c r="C49" s="1">
        <v>45607</v>
      </c>
      <c r="D49" t="s">
        <v>13</v>
      </c>
      <c r="E49">
        <v>1.5</v>
      </c>
      <c r="F49" s="2">
        <v>0.427350427350427</v>
      </c>
      <c r="G49" s="2">
        <v>0.40692909723897103</v>
      </c>
      <c r="H49" s="2">
        <v>0.437587935950211</v>
      </c>
      <c r="I49" s="2">
        <v>0.356521739130434</v>
      </c>
      <c r="J49" s="2">
        <v>0.37373737373737298</v>
      </c>
      <c r="K49" s="2">
        <v>4.4693600976669998E-3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Row],[kelly/4 365]]*0.8*$U$2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99]]*0.8*$U$2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5299</v>
      </c>
      <c r="B50" t="s">
        <v>21</v>
      </c>
      <c r="C50" s="1">
        <v>45607</v>
      </c>
      <c r="D50" t="s">
        <v>12</v>
      </c>
      <c r="E50">
        <v>1.5</v>
      </c>
      <c r="F50" s="2">
        <v>0.55555555555555503</v>
      </c>
      <c r="G50" s="2">
        <v>0.60812350367439605</v>
      </c>
      <c r="H50" s="2">
        <v>0.56243246287436099</v>
      </c>
      <c r="I50" s="2">
        <v>0.52</v>
      </c>
      <c r="J50" s="2">
        <v>0.50427350427350404</v>
      </c>
      <c r="K50" s="2">
        <v>3.8682603668281899E-3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Row],[kelly/4 365]]*0.8*$U$2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99]]*0.8*$U$2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5436</v>
      </c>
      <c r="B51" t="s">
        <v>89</v>
      </c>
      <c r="C51" s="1">
        <v>45607</v>
      </c>
      <c r="D51" t="s">
        <v>13</v>
      </c>
      <c r="E51">
        <v>2.5</v>
      </c>
      <c r="F51" s="2">
        <v>0.46511627906976699</v>
      </c>
      <c r="G51" s="2">
        <v>0.43658520776096099</v>
      </c>
      <c r="H51" s="2">
        <v>0.47329943936021202</v>
      </c>
      <c r="I51" s="2">
        <v>0.47674418604651098</v>
      </c>
      <c r="J51" s="2">
        <v>0.487719298245614</v>
      </c>
      <c r="K51" s="2">
        <v>3.8247379618385198E-3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Row],[kelly/4 365]]*0.8*$U$2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99]]*0.8*$U$2</f>
        <v>#DIV/0!</v>
      </c>
      <c r="R51" s="2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5385</v>
      </c>
      <c r="B52" t="s">
        <v>64</v>
      </c>
      <c r="C52" s="1">
        <v>45607</v>
      </c>
      <c r="D52" t="s">
        <v>12</v>
      </c>
      <c r="E52">
        <v>1.5</v>
      </c>
      <c r="F52" s="2">
        <v>0.59523809523809501</v>
      </c>
      <c r="G52" s="2">
        <v>0.65060853077326897</v>
      </c>
      <c r="H52" s="2">
        <v>0.60132062640005701</v>
      </c>
      <c r="I52" s="2">
        <v>0.57954545454545403</v>
      </c>
      <c r="J52" s="2">
        <v>0.59121621621621601</v>
      </c>
      <c r="K52" s="2">
        <v>3.7568574823885399E-3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Row],[kelly/4 365]]*0.8*$U$2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99]]*0.8*$U$2</f>
        <v>#DIV/0!</v>
      </c>
      <c r="R52" s="2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5293</v>
      </c>
      <c r="B53" t="s">
        <v>18</v>
      </c>
      <c r="C53" s="1">
        <v>45607</v>
      </c>
      <c r="D53" t="s">
        <v>12</v>
      </c>
      <c r="E53">
        <v>1.5</v>
      </c>
      <c r="F53" s="2">
        <v>0.65359477124182996</v>
      </c>
      <c r="G53" s="2">
        <v>0.697302605368328</v>
      </c>
      <c r="H53" s="2">
        <v>0.658667416171417</v>
      </c>
      <c r="I53" s="2">
        <v>0.66666666666666596</v>
      </c>
      <c r="J53" s="2">
        <v>0.63468634686346803</v>
      </c>
      <c r="K53" s="2">
        <v>3.66091827465506E-3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Row],[kelly/4 365]]*0.8*$U$2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99]]*0.8*$U$2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5289</v>
      </c>
      <c r="B54" t="s">
        <v>16</v>
      </c>
      <c r="C54" s="1">
        <v>45607</v>
      </c>
      <c r="D54" t="s">
        <v>12</v>
      </c>
      <c r="E54">
        <v>2.5</v>
      </c>
      <c r="F54" s="2">
        <v>0.53191489361702105</v>
      </c>
      <c r="G54" s="2">
        <v>0.57015966764873804</v>
      </c>
      <c r="H54" s="2">
        <v>0.536619647214997</v>
      </c>
      <c r="I54" s="2">
        <v>0.44571428571428501</v>
      </c>
      <c r="J54" s="2">
        <v>0.445578231292517</v>
      </c>
      <c r="K54" s="2">
        <v>2.51276612619202E-3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Row],[kelly/4 365]]*0.8*$U$2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99]]*0.8*$U$2</f>
        <v>#DIV/0!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5336</v>
      </c>
      <c r="B55" t="s">
        <v>39</v>
      </c>
      <c r="C55" s="1">
        <v>45607</v>
      </c>
      <c r="D55" t="s">
        <v>13</v>
      </c>
      <c r="E55">
        <v>3.5</v>
      </c>
      <c r="F55" s="2">
        <v>0.625</v>
      </c>
      <c r="G55" s="2">
        <v>0.58568415191759104</v>
      </c>
      <c r="H55" s="2">
        <v>0.62606639655568497</v>
      </c>
      <c r="I55" s="2">
        <v>0.594444444444444</v>
      </c>
      <c r="J55" s="2">
        <v>0.58552631578947301</v>
      </c>
      <c r="K55" s="2">
        <v>7.1093103712346797E-4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Row],[kelly/4 365]]*0.8*$U$2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99]]*0.8*$U$2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5339</v>
      </c>
      <c r="B56" t="s">
        <v>41</v>
      </c>
      <c r="C56" s="1">
        <v>45607</v>
      </c>
      <c r="D56" t="s">
        <v>12</v>
      </c>
      <c r="E56">
        <v>2.5</v>
      </c>
      <c r="F56" s="2">
        <v>0.460829493087557</v>
      </c>
      <c r="G56" s="2">
        <v>0.50605037775760997</v>
      </c>
      <c r="H56" s="2">
        <v>0.46209128555760698</v>
      </c>
      <c r="I56" s="2">
        <v>0.39215686274509798</v>
      </c>
      <c r="J56" s="2">
        <v>0.38189845474613598</v>
      </c>
      <c r="K56" s="2">
        <v>5.85061893164193E-4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Row],[kelly/4 365]]*0.8*$U$2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99]]*0.8*$U$2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5303</v>
      </c>
      <c r="B57" t="s">
        <v>23</v>
      </c>
      <c r="C57" s="1">
        <v>45607</v>
      </c>
      <c r="D57" t="s">
        <v>12</v>
      </c>
      <c r="E57">
        <v>1.5</v>
      </c>
      <c r="F57" s="2">
        <v>0.64516129032257996</v>
      </c>
      <c r="G57" s="2">
        <v>0.68181487092564197</v>
      </c>
      <c r="H57" s="2">
        <v>0.64542868524825203</v>
      </c>
      <c r="I57" s="2">
        <v>0.60335195530726204</v>
      </c>
      <c r="J57" s="2">
        <v>0.60465116279069697</v>
      </c>
      <c r="K57" s="2">
        <v>1.8839187945038301E-4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Row],[kelly/4 365]]*0.8*$U$2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99]]*0.8*$U$2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5310</v>
      </c>
      <c r="B58" t="s">
        <v>26</v>
      </c>
      <c r="C58" s="1">
        <v>45607</v>
      </c>
      <c r="D58" t="s">
        <v>13</v>
      </c>
      <c r="E58">
        <v>2.5</v>
      </c>
      <c r="F58" s="2">
        <v>0.44444444444444398</v>
      </c>
      <c r="G58" s="2">
        <v>0.41161375249578802</v>
      </c>
      <c r="H58" s="2">
        <v>0.444180398490434</v>
      </c>
      <c r="I58" s="2">
        <v>0.51315789473684204</v>
      </c>
      <c r="J58" s="2">
        <v>0.47196261682242902</v>
      </c>
      <c r="K58" s="2">
        <v>-1.18820679304493E-4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Row],[kelly/4 365]]*0.8*$U$2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99]]*0.8*$U$2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5283</v>
      </c>
      <c r="B59" t="s">
        <v>11</v>
      </c>
      <c r="C59" s="1">
        <v>45607</v>
      </c>
      <c r="D59" t="s">
        <v>12</v>
      </c>
      <c r="E59">
        <v>2.5</v>
      </c>
      <c r="F59" s="2">
        <v>0.54945054945054905</v>
      </c>
      <c r="G59" s="2">
        <v>0.58785200882572897</v>
      </c>
      <c r="H59" s="2">
        <v>0.54681362007095302</v>
      </c>
      <c r="I59" s="2">
        <v>0.542682926829268</v>
      </c>
      <c r="J59" s="2">
        <v>0.51612903225806395</v>
      </c>
      <c r="K59" s="2">
        <v>-1.46317422892228E-3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Row],[kelly/4 365]]*0.8*$U$2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99]]*0.8*$U$2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5382</v>
      </c>
      <c r="B60" t="s">
        <v>62</v>
      </c>
      <c r="C60" s="1">
        <v>45607</v>
      </c>
      <c r="D60" t="s">
        <v>13</v>
      </c>
      <c r="E60">
        <v>2.5</v>
      </c>
      <c r="F60" s="2">
        <v>0.58823529411764697</v>
      </c>
      <c r="G60" s="2">
        <v>0.53683824417523596</v>
      </c>
      <c r="H60" s="2">
        <v>0.58506659340544398</v>
      </c>
      <c r="I60" s="2">
        <v>0.463687150837988</v>
      </c>
      <c r="J60" s="2">
        <v>0.49833887043189301</v>
      </c>
      <c r="K60" s="2">
        <v>-1.92385400383732E-3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Row],[kelly/4 365]]*0.8*$U$2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99]]*0.8*$U$2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5377</v>
      </c>
      <c r="B61" t="s">
        <v>60</v>
      </c>
      <c r="C61" s="1">
        <v>45607</v>
      </c>
      <c r="D61" t="s">
        <v>12</v>
      </c>
      <c r="E61">
        <v>2.5</v>
      </c>
      <c r="F61" s="2">
        <v>0.581395348837209</v>
      </c>
      <c r="G61" s="2">
        <v>0.61457317930523903</v>
      </c>
      <c r="H61" s="2">
        <v>0.57777192844676395</v>
      </c>
      <c r="I61" s="2">
        <v>0.54819277108433695</v>
      </c>
      <c r="J61" s="2">
        <v>0.53472222222222199</v>
      </c>
      <c r="K61" s="2">
        <v>-2.1639871776269401E-3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Row],[kelly/4 365]]*0.8*$U$2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99]]*0.8*$U$2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5307</v>
      </c>
      <c r="B62" t="s">
        <v>25</v>
      </c>
      <c r="C62" s="1">
        <v>45607</v>
      </c>
      <c r="D62" t="s">
        <v>12</v>
      </c>
      <c r="E62">
        <v>3.5</v>
      </c>
      <c r="F62" s="2">
        <v>0.53475935828876997</v>
      </c>
      <c r="G62" s="2">
        <v>0.55899199161129198</v>
      </c>
      <c r="H62" s="2">
        <v>0.52964534833396204</v>
      </c>
      <c r="I62" s="2">
        <v>0.45121951219512102</v>
      </c>
      <c r="J62" s="2">
        <v>0.43272727272727202</v>
      </c>
      <c r="K62" s="2">
        <v>-2.7480455791635801E-3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Row],[kelly/4 365]]*0.8*$U$2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99]]*0.8*$U$2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5423</v>
      </c>
      <c r="B63" t="s">
        <v>83</v>
      </c>
      <c r="C63" s="1">
        <v>45607</v>
      </c>
      <c r="D63" t="s">
        <v>12</v>
      </c>
      <c r="E63">
        <v>1.5</v>
      </c>
      <c r="F63" s="2">
        <v>0.57471264367816</v>
      </c>
      <c r="G63" s="2">
        <v>0.60352252437859299</v>
      </c>
      <c r="H63" s="2">
        <v>0.57000403412021305</v>
      </c>
      <c r="I63" s="2">
        <v>0.66887417218542999</v>
      </c>
      <c r="J63" s="2">
        <v>0.66403162055335896</v>
      </c>
      <c r="K63" s="2">
        <v>-2.7678988617662E-3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Row],[kelly/4 365]]*0.8*$U$2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99]]*0.8*$U$2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5438</v>
      </c>
      <c r="B64" t="s">
        <v>90</v>
      </c>
      <c r="C64" s="1">
        <v>45607</v>
      </c>
      <c r="D64" t="s">
        <v>13</v>
      </c>
      <c r="E64">
        <v>1.5</v>
      </c>
      <c r="F64" s="2">
        <v>0.48309178743961301</v>
      </c>
      <c r="G64" s="2">
        <v>0.432851827008013</v>
      </c>
      <c r="H64" s="2">
        <v>0.473885999814879</v>
      </c>
      <c r="I64" s="2">
        <v>0.39428571428571402</v>
      </c>
      <c r="J64" s="2">
        <v>0.39249146757679099</v>
      </c>
      <c r="K64" s="2">
        <v>-4.4523318652334998E-3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Row],[kelly/4 365]]*0.8*$U$2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99]]*0.8*$U$2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5432</v>
      </c>
      <c r="B65" t="s">
        <v>87</v>
      </c>
      <c r="C65" s="1">
        <v>45607</v>
      </c>
      <c r="D65" t="s">
        <v>13</v>
      </c>
      <c r="E65">
        <v>1.5</v>
      </c>
      <c r="F65" s="2">
        <v>0.42553191489361702</v>
      </c>
      <c r="G65" s="2">
        <v>0.38413321707180398</v>
      </c>
      <c r="H65" s="2">
        <v>0.41349139961517201</v>
      </c>
      <c r="I65" s="2">
        <v>0.50335570469798596</v>
      </c>
      <c r="J65" s="2">
        <v>0.45491803278688497</v>
      </c>
      <c r="K65" s="2">
        <v>-5.2398538711747999E-3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Row],[kelly/4 365]]*0.8*$U$2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99]]*0.8*$U$2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5388</v>
      </c>
      <c r="B66" t="s">
        <v>65</v>
      </c>
      <c r="C66" s="1">
        <v>45607</v>
      </c>
      <c r="D66" t="s">
        <v>13</v>
      </c>
      <c r="E66">
        <v>1.5</v>
      </c>
      <c r="F66" s="2">
        <v>0.413223140495867</v>
      </c>
      <c r="G66" s="2">
        <v>0.36298525038386198</v>
      </c>
      <c r="H66" s="2">
        <v>0.40079331727676099</v>
      </c>
      <c r="I66" s="2">
        <v>0.456375838926174</v>
      </c>
      <c r="J66" s="2">
        <v>0.41328413284132798</v>
      </c>
      <c r="K66" s="2">
        <v>-5.2958049630699297E-3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Row],[kelly/4 365]]*0.8*$U$2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99]]*0.8*$U$2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5431</v>
      </c>
      <c r="B67" t="s">
        <v>87</v>
      </c>
      <c r="C67" s="1">
        <v>45607</v>
      </c>
      <c r="D67" t="s">
        <v>12</v>
      </c>
      <c r="E67">
        <v>1.5</v>
      </c>
      <c r="F67" s="2">
        <v>0.59523809523809501</v>
      </c>
      <c r="G67" s="2">
        <v>0.61586678292819497</v>
      </c>
      <c r="H67" s="2">
        <v>0.58650860038482699</v>
      </c>
      <c r="I67" s="2">
        <v>0.49664429530201298</v>
      </c>
      <c r="J67" s="2">
        <v>0.54508196721311397</v>
      </c>
      <c r="K67" s="2">
        <v>-5.3917468211361298E-3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Row],[kelly/4 365]]*0.8*$U$2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99]]*0.8*$U$2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5402</v>
      </c>
      <c r="B68" t="s">
        <v>72</v>
      </c>
      <c r="C68" s="1">
        <v>45607</v>
      </c>
      <c r="D68" t="s">
        <v>13</v>
      </c>
      <c r="E68">
        <v>1.5</v>
      </c>
      <c r="F68" s="2">
        <v>0.41666666666666602</v>
      </c>
      <c r="G68" s="2">
        <v>0.369609758664322</v>
      </c>
      <c r="H68" s="2">
        <v>0.40157483654345499</v>
      </c>
      <c r="I68" s="2">
        <v>0.3125</v>
      </c>
      <c r="J68" s="2">
        <v>0.32770270270270202</v>
      </c>
      <c r="K68" s="2">
        <v>-6.46792719566186E-3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Row],[kelly/4 365]]*0.8*$U$2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99]]*0.8*$U$2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5449</v>
      </c>
      <c r="B69" t="s">
        <v>96</v>
      </c>
      <c r="C69" s="1">
        <v>45607</v>
      </c>
      <c r="D69" t="s">
        <v>12</v>
      </c>
      <c r="E69">
        <v>1.5</v>
      </c>
      <c r="F69" s="2">
        <v>0.61728395061728303</v>
      </c>
      <c r="G69" s="2">
        <v>0.63751699281125596</v>
      </c>
      <c r="H69" s="2">
        <v>0.60652308728180404</v>
      </c>
      <c r="I69" s="2">
        <v>0.645569620253164</v>
      </c>
      <c r="J69" s="2">
        <v>0.66304347826086896</v>
      </c>
      <c r="K69" s="2">
        <v>-7.0292736304340599E-3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Row],[kelly/4 365]]*0.8*$U$2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99]]*0.8*$U$2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5369</v>
      </c>
      <c r="B70" t="s">
        <v>56</v>
      </c>
      <c r="C70" s="1">
        <v>45607</v>
      </c>
      <c r="D70" t="s">
        <v>12</v>
      </c>
      <c r="E70">
        <v>2.5</v>
      </c>
      <c r="F70" s="2">
        <v>0.63694267515923497</v>
      </c>
      <c r="G70" s="2">
        <v>0.65093903221323302</v>
      </c>
      <c r="H70" s="2">
        <v>0.62641611590462198</v>
      </c>
      <c r="I70" s="2">
        <v>0.56571428571428495</v>
      </c>
      <c r="J70" s="2">
        <v>0.55102040816326503</v>
      </c>
      <c r="K70" s="2">
        <v>-7.2485517674311904E-3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Row],[kelly/4 365]]*0.8*$U$2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99]]*0.8*$U$2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5292</v>
      </c>
      <c r="B71" t="s">
        <v>17</v>
      </c>
      <c r="C71" s="1">
        <v>45607</v>
      </c>
      <c r="D71" t="s">
        <v>13</v>
      </c>
      <c r="E71">
        <v>1.5</v>
      </c>
      <c r="F71" s="2">
        <v>0.45045045045045001</v>
      </c>
      <c r="G71" s="2">
        <v>0.39622016770769303</v>
      </c>
      <c r="H71" s="2">
        <v>0.43364031192163099</v>
      </c>
      <c r="I71" s="2">
        <v>0.52586206896551702</v>
      </c>
      <c r="J71" s="2">
        <v>0.53591160220994405</v>
      </c>
      <c r="K71" s="2">
        <v>-7.6472351504052001E-3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Row],[kelly/4 365]]*0.8*$U$2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99]]*0.8*$U$2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5433</v>
      </c>
      <c r="B72" t="s">
        <v>88</v>
      </c>
      <c r="C72" s="1">
        <v>45607</v>
      </c>
      <c r="D72" t="s">
        <v>12</v>
      </c>
      <c r="E72">
        <v>1.5</v>
      </c>
      <c r="F72" s="2">
        <v>0.55555555555555503</v>
      </c>
      <c r="G72" s="2">
        <v>0.59548590511695798</v>
      </c>
      <c r="H72" s="2">
        <v>0.54193475010067405</v>
      </c>
      <c r="I72" s="2">
        <v>0.59887005649717495</v>
      </c>
      <c r="J72" s="2">
        <v>0.59322033898305004</v>
      </c>
      <c r="K72" s="2">
        <v>-7.6617030683706596E-3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Row],[kelly/4 365]]*0.8*$U$2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99]]*0.8*$U$2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5427</v>
      </c>
      <c r="B73" t="s">
        <v>85</v>
      </c>
      <c r="C73" s="1">
        <v>45607</v>
      </c>
      <c r="D73" t="s">
        <v>12</v>
      </c>
      <c r="E73">
        <v>2.5</v>
      </c>
      <c r="F73" s="2">
        <v>0.45454545454545398</v>
      </c>
      <c r="G73" s="2">
        <v>0.48375174965489998</v>
      </c>
      <c r="H73" s="2">
        <v>0.43703134841269797</v>
      </c>
      <c r="I73" s="2">
        <v>0.47457627118644002</v>
      </c>
      <c r="J73" s="2">
        <v>0.43050847457627101</v>
      </c>
      <c r="K73" s="2">
        <v>-8.0272986441797603E-3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Row],[kelly/4 365]]*0.8*$U$2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99]]*0.8*$U$2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5430</v>
      </c>
      <c r="B74" t="s">
        <v>86</v>
      </c>
      <c r="C74" s="1">
        <v>45607</v>
      </c>
      <c r="D74" t="s">
        <v>13</v>
      </c>
      <c r="E74">
        <v>3.5</v>
      </c>
      <c r="F74" s="2">
        <v>0.61728395061728303</v>
      </c>
      <c r="G74" s="2">
        <v>0.55985645270995199</v>
      </c>
      <c r="H74" s="2">
        <v>0.60416165252286302</v>
      </c>
      <c r="I74" s="2">
        <v>0.48611111111111099</v>
      </c>
      <c r="J74" s="2">
        <v>0.48571428571428499</v>
      </c>
      <c r="K74" s="2">
        <v>-8.5718237552263807E-3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Row],[kelly/4 365]]*0.8*$U$2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99]]*0.8*$U$2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5362</v>
      </c>
      <c r="B75" t="s">
        <v>52</v>
      </c>
      <c r="C75" s="1">
        <v>45607</v>
      </c>
      <c r="D75" t="s">
        <v>13</v>
      </c>
      <c r="E75">
        <v>1.5</v>
      </c>
      <c r="F75" s="2">
        <v>0.427350427350427</v>
      </c>
      <c r="G75" s="2">
        <v>0.35209710329906602</v>
      </c>
      <c r="H75" s="2">
        <v>0.40457438843945098</v>
      </c>
      <c r="I75" s="2">
        <v>0.50282485875706195</v>
      </c>
      <c r="J75" s="2">
        <v>0.46308724832214698</v>
      </c>
      <c r="K75" s="2">
        <v>-9.94327071859776E-3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Row],[kelly/4 365]]*0.8*$U$2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99]]*0.8*$U$2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5408</v>
      </c>
      <c r="B76" t="s">
        <v>75</v>
      </c>
      <c r="C76" s="1">
        <v>45607</v>
      </c>
      <c r="D76" t="s">
        <v>13</v>
      </c>
      <c r="E76">
        <v>1.5</v>
      </c>
      <c r="F76" s="2">
        <v>0.45045045045045001</v>
      </c>
      <c r="G76" s="2">
        <v>0.38144049000713598</v>
      </c>
      <c r="H76" s="2">
        <v>0.42832687945438802</v>
      </c>
      <c r="I76" s="2">
        <v>0.410404624277456</v>
      </c>
      <c r="J76" s="2">
        <v>0.42160278745644503</v>
      </c>
      <c r="K76" s="2">
        <v>-1.00644113957492E-2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Row],[kelly/4 365]]*0.8*$U$2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99]]*0.8*$U$2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5345</v>
      </c>
      <c r="B77" t="s">
        <v>44</v>
      </c>
      <c r="C77" s="1">
        <v>45607</v>
      </c>
      <c r="D77" t="s">
        <v>12</v>
      </c>
      <c r="E77">
        <v>2.5</v>
      </c>
      <c r="F77" s="2">
        <v>0.4</v>
      </c>
      <c r="G77" s="2">
        <v>0.41940838957952398</v>
      </c>
      <c r="H77" s="2">
        <v>0.37409393946608799</v>
      </c>
      <c r="I77" s="2">
        <v>0.37575757575757501</v>
      </c>
      <c r="J77" s="2">
        <v>0.397923875432525</v>
      </c>
      <c r="K77" s="2">
        <v>-1.07941918891296E-2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Row],[kelly/4 365]]*0.8*$U$2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99]]*0.8*$U$2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5354</v>
      </c>
      <c r="B78" t="s">
        <v>48</v>
      </c>
      <c r="C78" s="1">
        <v>45607</v>
      </c>
      <c r="D78" t="s">
        <v>13</v>
      </c>
      <c r="E78">
        <v>3.5</v>
      </c>
      <c r="F78" s="2">
        <v>0.476190476190476</v>
      </c>
      <c r="G78" s="2">
        <v>0.42579533955795801</v>
      </c>
      <c r="H78" s="2">
        <v>0.45304316540491801</v>
      </c>
      <c r="I78" s="2">
        <v>0.61176470588235299</v>
      </c>
      <c r="J78" s="2">
        <v>0.59375</v>
      </c>
      <c r="K78" s="2">
        <v>-1.10475801476524E-2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Row],[kelly/4 365]]*0.8*$U$2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99]]*0.8*$U$2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5306</v>
      </c>
      <c r="B79" t="s">
        <v>24</v>
      </c>
      <c r="C79" s="1">
        <v>45607</v>
      </c>
      <c r="D79" t="s">
        <v>13</v>
      </c>
      <c r="E79">
        <v>2.5</v>
      </c>
      <c r="F79" s="2">
        <v>0.43859649122806998</v>
      </c>
      <c r="G79" s="2">
        <v>0.37855230516316501</v>
      </c>
      <c r="H79" s="2">
        <v>0.41193651128296599</v>
      </c>
      <c r="I79" s="2">
        <v>0.47701149425287298</v>
      </c>
      <c r="J79" s="2">
        <v>0.46440677966101601</v>
      </c>
      <c r="K79" s="2">
        <v>-1.18720223193041E-2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Row],[kelly/4 365]]*0.8*$U$2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99]]*0.8*$U$2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5347</v>
      </c>
      <c r="B80" t="s">
        <v>45</v>
      </c>
      <c r="C80" s="1">
        <v>45607</v>
      </c>
      <c r="D80" t="s">
        <v>12</v>
      </c>
      <c r="E80">
        <v>2.5</v>
      </c>
      <c r="F80" s="2">
        <v>0.43103448275862</v>
      </c>
      <c r="G80" s="2">
        <v>0.448952756830508</v>
      </c>
      <c r="H80" s="2">
        <v>0.40401258983377902</v>
      </c>
      <c r="I80" s="2">
        <v>0.34078212290502702</v>
      </c>
      <c r="J80" s="2">
        <v>0.34883720930232498</v>
      </c>
      <c r="K80" s="2">
        <v>-1.18732559821272E-2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Row],[kelly/4 365]]*0.8*$U$2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99]]*0.8*$U$2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5447</v>
      </c>
      <c r="B81" t="s">
        <v>95</v>
      </c>
      <c r="C81" s="1">
        <v>45607</v>
      </c>
      <c r="D81" t="s">
        <v>12</v>
      </c>
      <c r="E81">
        <v>1.5</v>
      </c>
      <c r="F81" s="2">
        <v>0.56818181818181801</v>
      </c>
      <c r="G81" s="2">
        <v>0.57327671762791699</v>
      </c>
      <c r="H81" s="2">
        <v>0.54654332387751603</v>
      </c>
      <c r="I81" s="2">
        <v>0.59863945578231204</v>
      </c>
      <c r="J81" s="2">
        <v>0.57322175732217495</v>
      </c>
      <c r="K81" s="2">
        <v>-1.25275493340692E-2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Row],[kelly/4 365]]*0.8*$U$2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99]]*0.8*$U$2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5414</v>
      </c>
      <c r="B82" t="s">
        <v>78</v>
      </c>
      <c r="C82" s="1">
        <v>45607</v>
      </c>
      <c r="D82" t="s">
        <v>13</v>
      </c>
      <c r="E82">
        <v>3.5</v>
      </c>
      <c r="F82" s="2">
        <v>0.58479532163742598</v>
      </c>
      <c r="G82" s="2">
        <v>0.52480741875690895</v>
      </c>
      <c r="H82" s="2">
        <v>0.56376937584123299</v>
      </c>
      <c r="I82" s="2">
        <v>0.55367231638418002</v>
      </c>
      <c r="J82" s="2">
        <v>0.56902356902356899</v>
      </c>
      <c r="K82" s="2">
        <v>-1.2659988489961299E-2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Row],[kelly/4 365]]*0.8*$U$2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99]]*0.8*$U$2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5327</v>
      </c>
      <c r="B83" t="s">
        <v>35</v>
      </c>
      <c r="C83" s="1">
        <v>45607</v>
      </c>
      <c r="D83" t="s">
        <v>12</v>
      </c>
      <c r="E83">
        <v>1.5</v>
      </c>
      <c r="F83" s="2">
        <v>0.61728395061728303</v>
      </c>
      <c r="G83" s="2">
        <v>0.62785817083907802</v>
      </c>
      <c r="H83" s="2">
        <v>0.59746047906081301</v>
      </c>
      <c r="I83" s="2">
        <v>0.58988764044943798</v>
      </c>
      <c r="J83" s="2">
        <v>0.60869565217391297</v>
      </c>
      <c r="K83" s="2">
        <v>-1.29492031941461E-2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Row],[kelly/4 365]]*0.8*$U$2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99]]*0.8*$U$2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5412</v>
      </c>
      <c r="B84" t="s">
        <v>77</v>
      </c>
      <c r="C84" s="1">
        <v>45607</v>
      </c>
      <c r="D84" t="s">
        <v>13</v>
      </c>
      <c r="E84">
        <v>2.5</v>
      </c>
      <c r="F84" s="2">
        <v>0.5</v>
      </c>
      <c r="G84" s="2">
        <v>0.44120476997762698</v>
      </c>
      <c r="H84" s="2">
        <v>0.47402535775719201</v>
      </c>
      <c r="I84" s="2">
        <v>0.35260115606936399</v>
      </c>
      <c r="J84" s="2">
        <v>0.34576271186440599</v>
      </c>
      <c r="K84" s="2">
        <v>-1.29873211214038E-2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Row],[kelly/4 365]]*0.8*$U$2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99]]*0.8*$U$2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5346</v>
      </c>
      <c r="B85" t="s">
        <v>44</v>
      </c>
      <c r="C85" s="1">
        <v>45607</v>
      </c>
      <c r="D85" t="s">
        <v>13</v>
      </c>
      <c r="E85">
        <v>2.5</v>
      </c>
      <c r="F85" s="2">
        <v>0.64516129032257996</v>
      </c>
      <c r="G85" s="2">
        <v>0.58059161042047502</v>
      </c>
      <c r="H85" s="2">
        <v>0.62590606053391096</v>
      </c>
      <c r="I85" s="2">
        <v>0.62424242424242404</v>
      </c>
      <c r="J85" s="2">
        <v>0.60207612456747395</v>
      </c>
      <c r="K85" s="2">
        <v>-1.35661846238353E-2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Row],[kelly/4 365]]*0.8*$U$2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99]]*0.8*$U$2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5322</v>
      </c>
      <c r="B86" t="s">
        <v>32</v>
      </c>
      <c r="C86" s="1">
        <v>45607</v>
      </c>
      <c r="D86" t="s">
        <v>13</v>
      </c>
      <c r="E86">
        <v>1.5</v>
      </c>
      <c r="F86" s="2">
        <v>0.4</v>
      </c>
      <c r="G86" s="2">
        <v>0.32843015944860898</v>
      </c>
      <c r="H86" s="2">
        <v>0.36589240920362598</v>
      </c>
      <c r="I86" s="2">
        <v>0.37037037037037002</v>
      </c>
      <c r="J86" s="2">
        <v>0.36013986013985999</v>
      </c>
      <c r="K86" s="2">
        <v>-1.42114961651557E-2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Row],[kelly/4 365]]*0.8*$U$2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99]]*0.8*$U$2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5434</v>
      </c>
      <c r="B87" t="s">
        <v>88</v>
      </c>
      <c r="C87" s="1">
        <v>45607</v>
      </c>
      <c r="D87" t="s">
        <v>13</v>
      </c>
      <c r="E87">
        <v>1.5</v>
      </c>
      <c r="F87" s="2">
        <v>0.48780487804877998</v>
      </c>
      <c r="G87" s="2">
        <v>0.40451409488304102</v>
      </c>
      <c r="H87" s="2">
        <v>0.45806524989932501</v>
      </c>
      <c r="I87" s="2">
        <v>0.40112994350282399</v>
      </c>
      <c r="J87" s="2">
        <v>0.40677966101694901</v>
      </c>
      <c r="K87" s="2">
        <v>-1.4515770882472001E-2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Row],[kelly/4 365]]*0.8*$U$2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99]]*0.8*$U$2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5411</v>
      </c>
      <c r="B88" t="s">
        <v>77</v>
      </c>
      <c r="C88" s="1">
        <v>45607</v>
      </c>
      <c r="D88" t="s">
        <v>12</v>
      </c>
      <c r="E88">
        <v>2.5</v>
      </c>
      <c r="F88" s="2">
        <v>0.55248618784530301</v>
      </c>
      <c r="G88" s="2">
        <v>0.55879523002237197</v>
      </c>
      <c r="H88" s="2">
        <v>0.52597464224280699</v>
      </c>
      <c r="I88" s="2">
        <v>0.64739884393063496</v>
      </c>
      <c r="J88" s="2">
        <v>0.65423728813559301</v>
      </c>
      <c r="K88" s="2">
        <v>-1.48104622038636E-2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Row],[kelly/4 365]]*0.8*$U$2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99]]*0.8*$U$2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5308</v>
      </c>
      <c r="B89" t="s">
        <v>25</v>
      </c>
      <c r="C89" s="1">
        <v>45607</v>
      </c>
      <c r="D89" t="s">
        <v>13</v>
      </c>
      <c r="E89">
        <v>3.5</v>
      </c>
      <c r="F89" s="2">
        <v>0.5</v>
      </c>
      <c r="G89" s="2">
        <v>0.44100800838870702</v>
      </c>
      <c r="H89" s="2">
        <v>0.47035465166603702</v>
      </c>
      <c r="I89" s="2">
        <v>0.54878048780487798</v>
      </c>
      <c r="J89" s="2">
        <v>0.56727272727272704</v>
      </c>
      <c r="K89" s="2">
        <v>-1.48226741669814E-2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Row],[kelly/4 365]]*0.8*$U$2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99]]*0.8*$U$2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5424</v>
      </c>
      <c r="B90" t="s">
        <v>83</v>
      </c>
      <c r="C90" s="1">
        <v>45607</v>
      </c>
      <c r="D90" t="s">
        <v>13</v>
      </c>
      <c r="E90">
        <v>1.5</v>
      </c>
      <c r="F90" s="2">
        <v>0.46296296296296202</v>
      </c>
      <c r="G90" s="2">
        <v>0.39647747562140601</v>
      </c>
      <c r="H90" s="2">
        <v>0.429995965879786</v>
      </c>
      <c r="I90" s="2">
        <v>0.33112582781456901</v>
      </c>
      <c r="J90" s="2">
        <v>0.33596837944663999</v>
      </c>
      <c r="K90" s="2">
        <v>-1.5346705538720201E-2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Row],[kelly/4 365]]*0.8*$U$2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99]]*0.8*$U$2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5418</v>
      </c>
      <c r="B91" t="s">
        <v>80</v>
      </c>
      <c r="C91" s="1">
        <v>45607</v>
      </c>
      <c r="D91" t="s">
        <v>13</v>
      </c>
      <c r="E91">
        <v>2.5</v>
      </c>
      <c r="F91" s="2">
        <v>0.42016806722688999</v>
      </c>
      <c r="G91" s="2">
        <v>0.35541112362334598</v>
      </c>
      <c r="H91" s="2">
        <v>0.382459507625805</v>
      </c>
      <c r="I91" s="2">
        <v>0.28048780487804797</v>
      </c>
      <c r="J91" s="2">
        <v>0.27622377622377597</v>
      </c>
      <c r="K91" s="2">
        <v>-1.62584006975693E-2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Row],[kelly/4 365]]*0.8*$U$2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99]]*0.8*$U$2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5348</v>
      </c>
      <c r="B92" t="s">
        <v>45</v>
      </c>
      <c r="C92" s="1">
        <v>45607</v>
      </c>
      <c r="D92" t="s">
        <v>13</v>
      </c>
      <c r="E92">
        <v>2.5</v>
      </c>
      <c r="F92" s="2">
        <v>0.62111801242235998</v>
      </c>
      <c r="G92" s="2">
        <v>0.55104724316949105</v>
      </c>
      <c r="H92" s="2">
        <v>0.59598741016622003</v>
      </c>
      <c r="I92" s="2">
        <v>0.65921787709497204</v>
      </c>
      <c r="J92" s="2">
        <v>0.65116279069767402</v>
      </c>
      <c r="K92" s="2">
        <v>-1.65820777181904E-2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Row],[kelly/4 365]]*0.8*$U$2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99]]*0.8*$U$2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5448</v>
      </c>
      <c r="B93" t="s">
        <v>95</v>
      </c>
      <c r="C93" s="1">
        <v>45607</v>
      </c>
      <c r="D93" t="s">
        <v>13</v>
      </c>
      <c r="E93">
        <v>1.5</v>
      </c>
      <c r="F93" s="2">
        <v>0.48780487804877998</v>
      </c>
      <c r="G93" s="2">
        <v>0.42672328237208201</v>
      </c>
      <c r="H93" s="2">
        <v>0.45345667612248303</v>
      </c>
      <c r="I93" s="2">
        <v>0.40136054421768702</v>
      </c>
      <c r="J93" s="2">
        <v>0.42677824267782399</v>
      </c>
      <c r="K93" s="2">
        <v>-1.6765193797359398E-2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Row],[kelly/4 365]]*0.8*$U$2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99]]*0.8*$U$2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5361</v>
      </c>
      <c r="B94" t="s">
        <v>52</v>
      </c>
      <c r="C94" s="1">
        <v>45607</v>
      </c>
      <c r="D94" t="s">
        <v>12</v>
      </c>
      <c r="E94">
        <v>1.5</v>
      </c>
      <c r="F94" s="2">
        <v>0.62111801242235998</v>
      </c>
      <c r="G94" s="2">
        <v>0.64790289670093304</v>
      </c>
      <c r="H94" s="2">
        <v>0.59542561156054796</v>
      </c>
      <c r="I94" s="2">
        <v>0.49717514124293699</v>
      </c>
      <c r="J94" s="2">
        <v>0.53691275167785202</v>
      </c>
      <c r="K94" s="2">
        <v>-1.6952772699801801E-2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Row],[kelly/4 365]]*0.8*$U$2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99]]*0.8*$U$2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5291</v>
      </c>
      <c r="B95" t="s">
        <v>17</v>
      </c>
      <c r="C95" s="1">
        <v>45607</v>
      </c>
      <c r="D95" t="s">
        <v>12</v>
      </c>
      <c r="E95">
        <v>1.5</v>
      </c>
      <c r="F95" s="2">
        <v>0.59523809523809501</v>
      </c>
      <c r="G95" s="2">
        <v>0.60377983229230603</v>
      </c>
      <c r="H95" s="2">
        <v>0.56635968807836801</v>
      </c>
      <c r="I95" s="2">
        <v>0.47413793103448199</v>
      </c>
      <c r="J95" s="2">
        <v>0.46408839779005501</v>
      </c>
      <c r="K95" s="2">
        <v>-1.7836663245713699E-2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Row],[kelly/4 365]]*0.8*$U$2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99]]*0.8*$U$2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5328</v>
      </c>
      <c r="B96" t="s">
        <v>35</v>
      </c>
      <c r="C96" s="1">
        <v>45607</v>
      </c>
      <c r="D96" t="s">
        <v>13</v>
      </c>
      <c r="E96">
        <v>1.5</v>
      </c>
      <c r="F96" s="2">
        <v>0.44247787610619399</v>
      </c>
      <c r="G96" s="2">
        <v>0.37214182916092098</v>
      </c>
      <c r="H96" s="2">
        <v>0.40253952093918599</v>
      </c>
      <c r="I96" s="2">
        <v>0.41011235955056102</v>
      </c>
      <c r="J96" s="2">
        <v>0.39130434782608697</v>
      </c>
      <c r="K96" s="2">
        <v>-1.79088656106028E-2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Row],[kelly/4 365]]*0.8*$U$2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99]]*0.8*$U$2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5450</v>
      </c>
      <c r="B97" t="s">
        <v>96</v>
      </c>
      <c r="C97" s="1">
        <v>45607</v>
      </c>
      <c r="D97" t="s">
        <v>13</v>
      </c>
      <c r="E97">
        <v>1.5</v>
      </c>
      <c r="F97" s="2">
        <v>0.434782608695652</v>
      </c>
      <c r="G97" s="2">
        <v>0.36248300718874299</v>
      </c>
      <c r="H97" s="2">
        <v>0.39347691271819502</v>
      </c>
      <c r="I97" s="2">
        <v>0.354430379746835</v>
      </c>
      <c r="J97" s="2">
        <v>0.33695652173912999</v>
      </c>
      <c r="K97" s="2">
        <v>-1.8269827066951998E-2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Row],[kelly/4 365]]*0.8*$U$2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99]]*0.8*$U$2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5429</v>
      </c>
      <c r="B98" t="s">
        <v>86</v>
      </c>
      <c r="C98" s="1">
        <v>45607</v>
      </c>
      <c r="D98" t="s">
        <v>12</v>
      </c>
      <c r="E98">
        <v>3.5</v>
      </c>
      <c r="F98" s="2">
        <v>0.43859649122806998</v>
      </c>
      <c r="G98" s="2">
        <v>0.44014354729004801</v>
      </c>
      <c r="H98" s="2">
        <v>0.39583834747713598</v>
      </c>
      <c r="I98" s="2">
        <v>0.51388888888888795</v>
      </c>
      <c r="J98" s="2">
        <v>0.51428571428571401</v>
      </c>
      <c r="K98" s="2">
        <v>-1.9040735889087501E-2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Row],[kelly/4 365]]*0.8*$U$2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99]]*0.8*$U$2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5413</v>
      </c>
      <c r="B99" t="s">
        <v>78</v>
      </c>
      <c r="C99" s="1">
        <v>45607</v>
      </c>
      <c r="D99" t="s">
        <v>12</v>
      </c>
      <c r="E99">
        <v>3.5</v>
      </c>
      <c r="F99" s="2">
        <v>0.476190476190476</v>
      </c>
      <c r="G99" s="2">
        <v>0.47519258124309</v>
      </c>
      <c r="H99" s="2">
        <v>0.43623062415876601</v>
      </c>
      <c r="I99" s="2">
        <v>0.44632768361581898</v>
      </c>
      <c r="J99" s="2">
        <v>0.43097643097643001</v>
      </c>
      <c r="K99" s="2">
        <v>-1.9071747560588801E-2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Row],[kelly/4 365]]*0.8*$U$2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99]]*0.8*$U$2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5417</v>
      </c>
      <c r="B100" t="s">
        <v>80</v>
      </c>
      <c r="C100" s="1">
        <v>45607</v>
      </c>
      <c r="D100" t="s">
        <v>12</v>
      </c>
      <c r="E100">
        <v>2.5</v>
      </c>
      <c r="F100" s="2">
        <v>0.64516129032257996</v>
      </c>
      <c r="G100" s="2">
        <v>0.64458887637665296</v>
      </c>
      <c r="H100" s="2">
        <v>0.61754049237419395</v>
      </c>
      <c r="I100" s="2">
        <v>0.71951219512195097</v>
      </c>
      <c r="J100" s="2">
        <v>0.72377622377622297</v>
      </c>
      <c r="K100" s="2">
        <v>-1.9460107645453799E-2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Row],[kelly/4 365]]*0.8*$U$2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99]]*0.8*$U$2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5428</v>
      </c>
      <c r="B101" t="s">
        <v>85</v>
      </c>
      <c r="C101" s="1">
        <v>45607</v>
      </c>
      <c r="D101" t="s">
        <v>13</v>
      </c>
      <c r="E101">
        <v>2.5</v>
      </c>
      <c r="F101" s="2">
        <v>0.59523809523809501</v>
      </c>
      <c r="G101" s="2">
        <v>0.51624825034509902</v>
      </c>
      <c r="H101" s="2">
        <v>0.56296865158730103</v>
      </c>
      <c r="I101" s="2">
        <v>0.52542372881355903</v>
      </c>
      <c r="J101" s="2">
        <v>0.56949152542372805</v>
      </c>
      <c r="K101" s="2">
        <v>-1.99311269607844E-2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Row],[kelly/4 365]]*0.8*$U$2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99]]*0.8*$U$2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5300</v>
      </c>
      <c r="B102" t="s">
        <v>21</v>
      </c>
      <c r="C102" s="1">
        <v>45607</v>
      </c>
      <c r="D102" t="s">
        <v>13</v>
      </c>
      <c r="E102">
        <v>1.5</v>
      </c>
      <c r="F102" s="2">
        <v>0.48076923076923</v>
      </c>
      <c r="G102" s="2">
        <v>0.39187649632560301</v>
      </c>
      <c r="H102" s="2">
        <v>0.43756753712563801</v>
      </c>
      <c r="I102" s="2">
        <v>0.48</v>
      </c>
      <c r="J102" s="2">
        <v>0.49572649572649502</v>
      </c>
      <c r="K102" s="2">
        <v>-2.0800815458025701E-2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Row],[kelly/4 365]]*0.8*$U$2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99]]*0.8*$U$2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5321</v>
      </c>
      <c r="B103" t="s">
        <v>32</v>
      </c>
      <c r="C103" s="1">
        <v>45607</v>
      </c>
      <c r="D103" t="s">
        <v>12</v>
      </c>
      <c r="E103">
        <v>1.5</v>
      </c>
      <c r="F103" s="2">
        <v>0.66225165562913901</v>
      </c>
      <c r="G103" s="2">
        <v>0.67156984055139002</v>
      </c>
      <c r="H103" s="2">
        <v>0.63410759079637302</v>
      </c>
      <c r="I103" s="2">
        <v>0.62962962962962898</v>
      </c>
      <c r="J103" s="2">
        <v>0.63986013986013901</v>
      </c>
      <c r="K103" s="2">
        <v>-2.0832126420330999E-2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Row],[kelly/4 365]]*0.8*$U$2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99]]*0.8*$U$2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5407</v>
      </c>
      <c r="B104" t="s">
        <v>75</v>
      </c>
      <c r="C104" s="1">
        <v>45607</v>
      </c>
      <c r="D104" t="s">
        <v>12</v>
      </c>
      <c r="E104">
        <v>1.5</v>
      </c>
      <c r="F104" s="2">
        <v>0.60606060606060597</v>
      </c>
      <c r="G104" s="2">
        <v>0.61855950999286302</v>
      </c>
      <c r="H104" s="2">
        <v>0.57167312054561104</v>
      </c>
      <c r="I104" s="2">
        <v>0.58959537572254295</v>
      </c>
      <c r="J104" s="2">
        <v>0.57839721254355403</v>
      </c>
      <c r="K104" s="2">
        <v>-2.1822827346054501E-2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Row],[kelly/4 365]]*0.8*$U$2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99]]*0.8*$U$2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5353</v>
      </c>
      <c r="B105" t="s">
        <v>48</v>
      </c>
      <c r="C105" s="1">
        <v>45607</v>
      </c>
      <c r="D105" t="s">
        <v>12</v>
      </c>
      <c r="E105">
        <v>3.5</v>
      </c>
      <c r="F105" s="2">
        <v>0.58479532163742598</v>
      </c>
      <c r="G105" s="2">
        <v>0.57420466044204099</v>
      </c>
      <c r="H105" s="2">
        <v>0.54695683459508104</v>
      </c>
      <c r="I105" s="2">
        <v>0.38823529411764701</v>
      </c>
      <c r="J105" s="2">
        <v>0.40625</v>
      </c>
      <c r="K105" s="2">
        <v>-2.2783032690989798E-2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Row],[kelly/4 365]]*0.8*$U$2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99]]*0.8*$U$2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5335</v>
      </c>
      <c r="B106" t="s">
        <v>39</v>
      </c>
      <c r="C106" s="1">
        <v>45607</v>
      </c>
      <c r="D106" t="s">
        <v>12</v>
      </c>
      <c r="E106">
        <v>3.5</v>
      </c>
      <c r="F106" s="2">
        <v>0.427350427350427</v>
      </c>
      <c r="G106" s="2">
        <v>0.41431584808240801</v>
      </c>
      <c r="H106" s="2">
        <v>0.37393360344431398</v>
      </c>
      <c r="I106" s="2">
        <v>0.405555555555555</v>
      </c>
      <c r="J106" s="2">
        <v>0.41447368421052599</v>
      </c>
      <c r="K106" s="2">
        <v>-2.33200313321461E-2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Row],[kelly/4 365]]*0.8*$U$2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99]]*0.8*$U$2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5284</v>
      </c>
      <c r="B107" t="s">
        <v>11</v>
      </c>
      <c r="C107" s="1">
        <v>45607</v>
      </c>
      <c r="D107" t="s">
        <v>13</v>
      </c>
      <c r="E107">
        <v>2.5</v>
      </c>
      <c r="F107" s="2">
        <v>0.5</v>
      </c>
      <c r="G107" s="2">
        <v>0.41214799117426998</v>
      </c>
      <c r="H107" s="2">
        <v>0.45318637992904598</v>
      </c>
      <c r="I107" s="2">
        <v>0.457317073170731</v>
      </c>
      <c r="J107" s="2">
        <v>0.483870967741935</v>
      </c>
      <c r="K107" s="2">
        <v>-2.3406810035476601E-2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Row],[kelly/4 365]]*0.8*$U$2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99]]*0.8*$U$2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5378</v>
      </c>
      <c r="B108" t="s">
        <v>60</v>
      </c>
      <c r="C108" s="1">
        <v>45607</v>
      </c>
      <c r="D108" t="s">
        <v>13</v>
      </c>
      <c r="E108">
        <v>2.5</v>
      </c>
      <c r="F108" s="2">
        <v>0.47169811320754701</v>
      </c>
      <c r="G108" s="2">
        <v>0.38542682069475998</v>
      </c>
      <c r="H108" s="2">
        <v>0.422228071553235</v>
      </c>
      <c r="I108" s="2">
        <v>0.451807228915662</v>
      </c>
      <c r="J108" s="2">
        <v>0.46527777777777701</v>
      </c>
      <c r="K108" s="2">
        <v>-2.3409930425700901E-2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Row],[kelly/4 365]]*0.8*$U$2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99]]*0.8*$U$2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5370</v>
      </c>
      <c r="B109" t="s">
        <v>56</v>
      </c>
      <c r="C109" s="1">
        <v>45607</v>
      </c>
      <c r="D109" t="s">
        <v>13</v>
      </c>
      <c r="E109">
        <v>2.5</v>
      </c>
      <c r="F109" s="2">
        <v>0.427350427350427</v>
      </c>
      <c r="G109" s="2">
        <v>0.34906096778676599</v>
      </c>
      <c r="H109" s="2">
        <v>0.37358388409537702</v>
      </c>
      <c r="I109" s="2">
        <v>0.434285714285714</v>
      </c>
      <c r="J109" s="2">
        <v>0.44897959183673403</v>
      </c>
      <c r="K109" s="2">
        <v>-2.3472707316570099E-2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Row],[kelly/4 365]]*0.8*$U$2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99]]*0.8*$U$2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5304</v>
      </c>
      <c r="B110" t="s">
        <v>23</v>
      </c>
      <c r="C110" s="1">
        <v>45607</v>
      </c>
      <c r="D110" t="s">
        <v>13</v>
      </c>
      <c r="E110">
        <v>1.5</v>
      </c>
      <c r="F110" s="2">
        <v>0.41152263374485498</v>
      </c>
      <c r="G110" s="2">
        <v>0.31818512907435698</v>
      </c>
      <c r="H110" s="2">
        <v>0.35457131475174702</v>
      </c>
      <c r="I110" s="2">
        <v>0.39664804469273701</v>
      </c>
      <c r="J110" s="2">
        <v>0.39534883720930197</v>
      </c>
      <c r="K110" s="2">
        <v>-2.4194354047771399E-2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Row],[kelly/4 365]]*0.8*$U$2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99]]*0.8*$U$2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5305</v>
      </c>
      <c r="B111" t="s">
        <v>24</v>
      </c>
      <c r="C111" s="1">
        <v>45607</v>
      </c>
      <c r="D111" t="s">
        <v>12</v>
      </c>
      <c r="E111">
        <v>2.5</v>
      </c>
      <c r="F111" s="2">
        <v>0.625</v>
      </c>
      <c r="G111" s="2">
        <v>0.62144769483683404</v>
      </c>
      <c r="H111" s="2">
        <v>0.58806348871703296</v>
      </c>
      <c r="I111" s="2">
        <v>0.52298850574712596</v>
      </c>
      <c r="J111" s="2">
        <v>0.53559322033898304</v>
      </c>
      <c r="K111" s="2">
        <v>-2.4624340855310799E-2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Row],[kelly/4 365]]*0.8*$U$2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99]]*0.8*$U$2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5386</v>
      </c>
      <c r="B112" t="s">
        <v>64</v>
      </c>
      <c r="C112" s="1">
        <v>45607</v>
      </c>
      <c r="D112" t="s">
        <v>13</v>
      </c>
      <c r="E112">
        <v>1.5</v>
      </c>
      <c r="F112" s="2">
        <v>0.45454545454545398</v>
      </c>
      <c r="G112" s="2">
        <v>0.34939146922672998</v>
      </c>
      <c r="H112" s="2">
        <v>0.39867937359994199</v>
      </c>
      <c r="I112" s="2">
        <v>0.42045454545454503</v>
      </c>
      <c r="J112" s="2">
        <v>0.40878378378378299</v>
      </c>
      <c r="K112" s="2">
        <v>-2.5605287100026301E-2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Row],[kelly/4 365]]*0.8*$U$2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99]]*0.8*$U$2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5401</v>
      </c>
      <c r="B113" t="s">
        <v>72</v>
      </c>
      <c r="C113" s="1">
        <v>45607</v>
      </c>
      <c r="D113" t="s">
        <v>12</v>
      </c>
      <c r="E113">
        <v>1.5</v>
      </c>
      <c r="F113" s="2">
        <v>0.63694267515923497</v>
      </c>
      <c r="G113" s="2">
        <v>0.630390241335677</v>
      </c>
      <c r="H113" s="2">
        <v>0.59842516345654395</v>
      </c>
      <c r="I113" s="2">
        <v>0.6875</v>
      </c>
      <c r="J113" s="2">
        <v>0.67229729729729704</v>
      </c>
      <c r="K113" s="2">
        <v>-2.6523023409309399E-2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Row],[kelly/4 365]]*0.8*$U$2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99]]*0.8*$U$2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5381</v>
      </c>
      <c r="B114" t="s">
        <v>62</v>
      </c>
      <c r="C114" s="1">
        <v>45607</v>
      </c>
      <c r="D114" t="s">
        <v>12</v>
      </c>
      <c r="E114">
        <v>2.5</v>
      </c>
      <c r="F114" s="2">
        <v>0.47169811320754701</v>
      </c>
      <c r="G114" s="2">
        <v>0.46316175582476299</v>
      </c>
      <c r="H114" s="2">
        <v>0.41493340659455502</v>
      </c>
      <c r="I114" s="2">
        <v>0.53631284916201105</v>
      </c>
      <c r="J114" s="2">
        <v>0.50166112956810605</v>
      </c>
      <c r="K114" s="2">
        <v>-2.68618700936477E-2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Row],[kelly/4 365]]*0.8*$U$2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99]]*0.8*$U$2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5349</v>
      </c>
      <c r="B115" t="s">
        <v>46</v>
      </c>
      <c r="C115" s="1">
        <v>45607</v>
      </c>
      <c r="D115" t="s">
        <v>12</v>
      </c>
      <c r="E115">
        <v>2.5</v>
      </c>
      <c r="F115" s="2">
        <v>0.39682539682539603</v>
      </c>
      <c r="G115" s="2">
        <v>0.38361032963321001</v>
      </c>
      <c r="H115" s="2">
        <v>0.330494823951127</v>
      </c>
      <c r="I115" s="2">
        <v>0.310975609756097</v>
      </c>
      <c r="J115" s="2">
        <v>0.381818181818181</v>
      </c>
      <c r="K115" s="2">
        <v>-2.7492276914993001E-2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Row],[kelly/4 365]]*0.8*$U$2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99]]*0.8*$U$2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5315</v>
      </c>
      <c r="B116" t="s">
        <v>29</v>
      </c>
      <c r="C116" s="1">
        <v>45607</v>
      </c>
      <c r="D116" t="s">
        <v>12</v>
      </c>
      <c r="E116">
        <v>2.5</v>
      </c>
      <c r="F116" s="2">
        <v>0.49019607843137197</v>
      </c>
      <c r="G116" s="2">
        <v>0.47963654398553501</v>
      </c>
      <c r="H116" s="2">
        <v>0.43388890920197098</v>
      </c>
      <c r="I116" s="2">
        <v>0.47222222222222199</v>
      </c>
      <c r="J116" s="2">
        <v>0.44078947368421001</v>
      </c>
      <c r="K116" s="2">
        <v>-2.7612169525956399E-2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Row],[kelly/4 365]]*0.8*$U$2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99]]*0.8*$U$2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5294</v>
      </c>
      <c r="B117" t="s">
        <v>18</v>
      </c>
      <c r="C117" s="1">
        <v>45607</v>
      </c>
      <c r="D117" t="s">
        <v>13</v>
      </c>
      <c r="E117">
        <v>1.5</v>
      </c>
      <c r="F117" s="2">
        <v>0.40816326530612201</v>
      </c>
      <c r="G117" s="2">
        <v>0.302697394631672</v>
      </c>
      <c r="H117" s="2">
        <v>0.341332583828582</v>
      </c>
      <c r="I117" s="2">
        <v>0.33333333333333298</v>
      </c>
      <c r="J117" s="2">
        <v>0.36531365313653102</v>
      </c>
      <c r="K117" s="2">
        <v>-2.8230201658615901E-2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Row],[kelly/4 365]]*0.8*$U$2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99]]*0.8*$U$2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5437</v>
      </c>
      <c r="B118" t="s">
        <v>90</v>
      </c>
      <c r="C118" s="1">
        <v>45607</v>
      </c>
      <c r="D118" t="s">
        <v>12</v>
      </c>
      <c r="E118">
        <v>1.5</v>
      </c>
      <c r="F118" s="2">
        <v>0.57471264367816</v>
      </c>
      <c r="G118" s="2">
        <v>0.56714817299198605</v>
      </c>
      <c r="H118" s="2">
        <v>0.52611400018512</v>
      </c>
      <c r="I118" s="2">
        <v>0.60571428571428498</v>
      </c>
      <c r="J118" s="2">
        <v>0.60750853242320801</v>
      </c>
      <c r="K118" s="2">
        <v>-2.85681215128008E-2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Row],[kelly/4 365]]*0.8*$U$2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99]]*0.8*$U$2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5373</v>
      </c>
      <c r="B119" t="s">
        <v>58</v>
      </c>
      <c r="C119" s="1">
        <v>45607</v>
      </c>
      <c r="D119" t="s">
        <v>12</v>
      </c>
      <c r="E119">
        <v>2.5</v>
      </c>
      <c r="F119" s="2">
        <v>0.434782608695652</v>
      </c>
      <c r="G119" s="2">
        <v>0.41225513295813798</v>
      </c>
      <c r="H119" s="2">
        <v>0.36449106672845799</v>
      </c>
      <c r="I119" s="2">
        <v>0.45714285714285702</v>
      </c>
      <c r="J119" s="2">
        <v>0.47440273037542602</v>
      </c>
      <c r="K119" s="2">
        <v>-3.10904897162586E-2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Row],[kelly/4 365]]*0.8*$U$2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99]]*0.8*$U$2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5290</v>
      </c>
      <c r="B120" t="s">
        <v>16</v>
      </c>
      <c r="C120" s="1">
        <v>45607</v>
      </c>
      <c r="D120" t="s">
        <v>13</v>
      </c>
      <c r="E120">
        <v>2.5</v>
      </c>
      <c r="F120" s="2">
        <v>0.52356020942408299</v>
      </c>
      <c r="G120" s="2">
        <v>0.42984033235126101</v>
      </c>
      <c r="H120" s="2">
        <v>0.463380352785002</v>
      </c>
      <c r="I120" s="2">
        <v>0.55428571428571405</v>
      </c>
      <c r="J120" s="2">
        <v>0.55442176870748205</v>
      </c>
      <c r="K120" s="2">
        <v>-3.1577891807869699E-2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Row],[kelly/4 365]]*0.8*$U$2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99]]*0.8*$U$2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5309</v>
      </c>
      <c r="B121" t="s">
        <v>26</v>
      </c>
      <c r="C121" s="1">
        <v>45607</v>
      </c>
      <c r="D121" t="s">
        <v>12</v>
      </c>
      <c r="E121">
        <v>2.5</v>
      </c>
      <c r="F121" s="2">
        <v>0.60606060606060597</v>
      </c>
      <c r="G121" s="2">
        <v>0.58838624750421098</v>
      </c>
      <c r="H121" s="2">
        <v>0.555819601509565</v>
      </c>
      <c r="I121" s="2">
        <v>0.48684210526315702</v>
      </c>
      <c r="J121" s="2">
        <v>0.52803738317756999</v>
      </c>
      <c r="K121" s="2">
        <v>-3.1883714426621801E-2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Row],[kelly/4 365]]*0.8*$U$2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99]]*0.8*$U$2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5387</v>
      </c>
      <c r="B122" t="s">
        <v>65</v>
      </c>
      <c r="C122" s="1">
        <v>45607</v>
      </c>
      <c r="D122" t="s">
        <v>12</v>
      </c>
      <c r="E122">
        <v>1.5</v>
      </c>
      <c r="F122" s="2">
        <v>0.64516129032257996</v>
      </c>
      <c r="G122" s="2">
        <v>0.63701474961613702</v>
      </c>
      <c r="H122" s="2">
        <v>0.59920668272323796</v>
      </c>
      <c r="I122" s="2">
        <v>0.54362416107382505</v>
      </c>
      <c r="J122" s="2">
        <v>0.58671586715867097</v>
      </c>
      <c r="K122" s="2">
        <v>-3.2377109899536398E-2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Row],[kelly/4 365]]*0.8*$U$2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99]]*0.8*$U$2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5435</v>
      </c>
      <c r="B123" t="s">
        <v>89</v>
      </c>
      <c r="C123" s="1">
        <v>45607</v>
      </c>
      <c r="D123" t="s">
        <v>12</v>
      </c>
      <c r="E123">
        <v>2.5</v>
      </c>
      <c r="F123" s="2">
        <v>0.581395348837209</v>
      </c>
      <c r="G123" s="2">
        <v>0.56341479223903801</v>
      </c>
      <c r="H123" s="2">
        <v>0.52670056063978699</v>
      </c>
      <c r="I123" s="2">
        <v>0.52325581395348797</v>
      </c>
      <c r="J123" s="2">
        <v>0.512280701754386</v>
      </c>
      <c r="K123" s="2">
        <v>-3.2664942951238098E-2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Row],[kelly/4 365]]*0.8*$U$2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99]]*0.8*$U$2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5340</v>
      </c>
      <c r="B124" t="s">
        <v>41</v>
      </c>
      <c r="C124" s="1">
        <v>45607</v>
      </c>
      <c r="D124" t="s">
        <v>13</v>
      </c>
      <c r="E124">
        <v>2.5</v>
      </c>
      <c r="F124" s="2">
        <v>0.59523809523809501</v>
      </c>
      <c r="G124" s="2">
        <v>0.49394962224238897</v>
      </c>
      <c r="H124" s="2">
        <v>0.53790871444239197</v>
      </c>
      <c r="I124" s="2">
        <v>0.60784313725490102</v>
      </c>
      <c r="J124" s="2">
        <v>0.61810154525386296</v>
      </c>
      <c r="K124" s="2">
        <v>-3.540932343264E-2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Row],[kelly/4 365]]*0.8*$U$2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99]]*0.8*$U$2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5445</v>
      </c>
      <c r="B125" t="s">
        <v>94</v>
      </c>
      <c r="C125" s="1">
        <v>45607</v>
      </c>
      <c r="D125" t="s">
        <v>12</v>
      </c>
      <c r="E125">
        <v>1.5</v>
      </c>
      <c r="F125" s="2">
        <v>0.61728395061728303</v>
      </c>
      <c r="G125" s="2">
        <v>0.59307090276102803</v>
      </c>
      <c r="H125" s="2">
        <v>0.56241206404978805</v>
      </c>
      <c r="I125" s="2">
        <v>0.64347826086956506</v>
      </c>
      <c r="J125" s="2">
        <v>0.62626262626262597</v>
      </c>
      <c r="K125" s="2">
        <v>-3.5843732354573603E-2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Row],[kelly/4 365]]*0.8*$U$2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99]]*0.8*$U$2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5286</v>
      </c>
      <c r="B126" t="s">
        <v>14</v>
      </c>
      <c r="C126" s="1">
        <v>45607</v>
      </c>
      <c r="D126" t="s">
        <v>13</v>
      </c>
      <c r="E126">
        <v>1.5</v>
      </c>
      <c r="F126" s="2">
        <v>0.45248868778280499</v>
      </c>
      <c r="G126" s="2">
        <v>0.337333734623739</v>
      </c>
      <c r="H126" s="2">
        <v>0.37235310822305301</v>
      </c>
      <c r="I126" s="2">
        <v>0.37984496124030998</v>
      </c>
      <c r="J126" s="2">
        <v>0.38617886178861699</v>
      </c>
      <c r="K126" s="2">
        <v>-3.6590832815506499E-2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Row],[kelly/4 365]]*0.8*$U$2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99]]*0.8*$U$2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5367</v>
      </c>
      <c r="B127" t="s">
        <v>55</v>
      </c>
      <c r="C127" s="1">
        <v>45607</v>
      </c>
      <c r="D127" t="s">
        <v>12</v>
      </c>
      <c r="E127">
        <v>1.5</v>
      </c>
      <c r="F127" s="2">
        <v>0.53475935828876997</v>
      </c>
      <c r="G127" s="2">
        <v>0.52083346532219599</v>
      </c>
      <c r="H127" s="2">
        <v>0.46567430274910199</v>
      </c>
      <c r="I127" s="2">
        <v>0.50485436893203794</v>
      </c>
      <c r="J127" s="2">
        <v>0.49327354260089601</v>
      </c>
      <c r="K127" s="2">
        <v>-3.7123291338844497E-2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Row],[kelly/4 365]]*0.8*$U$2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99]]*0.8*$U$2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5338</v>
      </c>
      <c r="B128" t="s">
        <v>40</v>
      </c>
      <c r="C128" s="1">
        <v>45607</v>
      </c>
      <c r="D128" t="s">
        <v>13</v>
      </c>
      <c r="E128">
        <v>1.5</v>
      </c>
      <c r="F128" s="2">
        <v>0.46296296296296202</v>
      </c>
      <c r="G128" s="2">
        <v>0.345381223724331</v>
      </c>
      <c r="H128" s="2">
        <v>0.38056061867669499</v>
      </c>
      <c r="I128" s="2">
        <v>0.47959183673469302</v>
      </c>
      <c r="J128" s="2">
        <v>0.49295774647887303</v>
      </c>
      <c r="K128" s="2">
        <v>-3.8359711995331502E-2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Row],[kelly/4 365]]*0.8*$U$2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99]]*0.8*$U$2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5341</v>
      </c>
      <c r="B129" t="s">
        <v>42</v>
      </c>
      <c r="C129" s="1">
        <v>45607</v>
      </c>
      <c r="D129" t="s">
        <v>12</v>
      </c>
      <c r="E129">
        <v>2.5</v>
      </c>
      <c r="F129" s="2">
        <v>0.56497175141242895</v>
      </c>
      <c r="G129" s="2">
        <v>0.54097590439907395</v>
      </c>
      <c r="H129" s="2">
        <v>0.49702411909482802</v>
      </c>
      <c r="I129" s="2">
        <v>0.40112994350282399</v>
      </c>
      <c r="J129" s="2">
        <v>0.43389830508474497</v>
      </c>
      <c r="K129" s="2">
        <v>-3.9047827663036799E-2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Row],[kelly/4 365]]*0.8*$U$2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99]]*0.8*$U$2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5302</v>
      </c>
      <c r="B130" t="s">
        <v>22</v>
      </c>
      <c r="C130" s="1">
        <v>45607</v>
      </c>
      <c r="D130" t="s">
        <v>13</v>
      </c>
      <c r="E130">
        <v>1.5</v>
      </c>
      <c r="F130" s="2">
        <v>0.43290043290043201</v>
      </c>
      <c r="G130" s="2">
        <v>0.30537839904503999</v>
      </c>
      <c r="H130" s="2">
        <v>0.34177073972934602</v>
      </c>
      <c r="I130" s="2">
        <v>0.29655172413793102</v>
      </c>
      <c r="J130" s="2">
        <v>0.325842696629213</v>
      </c>
      <c r="K130" s="2">
        <v>-4.0173586111681203E-2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Row],[kelly/4 365]]*0.8*$U$2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99]]*0.8*$U$2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5297</v>
      </c>
      <c r="B131" t="s">
        <v>20</v>
      </c>
      <c r="C131" s="1">
        <v>45607</v>
      </c>
      <c r="D131" t="s">
        <v>12</v>
      </c>
      <c r="E131">
        <v>1.5</v>
      </c>
      <c r="F131" s="2">
        <v>0.57471264367816</v>
      </c>
      <c r="G131" s="2">
        <v>0.55048739081727305</v>
      </c>
      <c r="H131" s="2">
        <v>0.50636239397084104</v>
      </c>
      <c r="I131" s="2">
        <v>0.42857142857142799</v>
      </c>
      <c r="J131" s="2">
        <v>0.44578313253011997</v>
      </c>
      <c r="K131" s="2">
        <v>-4.0178863003626802E-2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Row],[kelly/4 365]]*0.8*$U$2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99]]*0.8*$U$2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5358</v>
      </c>
      <c r="B132" t="s">
        <v>50</v>
      </c>
      <c r="C132" s="1">
        <v>45607</v>
      </c>
      <c r="D132" t="s">
        <v>13</v>
      </c>
      <c r="E132">
        <v>2.5</v>
      </c>
      <c r="F132" s="2">
        <v>0.52356020942408299</v>
      </c>
      <c r="G132" s="2">
        <v>0.411936218263388</v>
      </c>
      <c r="H132" s="2">
        <v>0.44638363107884699</v>
      </c>
      <c r="I132" s="2">
        <v>0.58426966292134797</v>
      </c>
      <c r="J132" s="2">
        <v>0.57142857142857095</v>
      </c>
      <c r="K132" s="2">
        <v>-4.0496501274560698E-2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Row],[kelly/4 365]]*0.8*$U$2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99]]*0.8*$U$2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5403</v>
      </c>
      <c r="B133" t="s">
        <v>73</v>
      </c>
      <c r="C133" s="1">
        <v>45607</v>
      </c>
      <c r="D133" t="s">
        <v>12</v>
      </c>
      <c r="E133">
        <v>3.5</v>
      </c>
      <c r="F133" s="2">
        <v>0.44247787610619399</v>
      </c>
      <c r="G133" s="2">
        <v>0.38477269892975202</v>
      </c>
      <c r="H133" s="2">
        <v>0.351244609143121</v>
      </c>
      <c r="I133" s="2">
        <v>0.36184210526315702</v>
      </c>
      <c r="J133" s="2">
        <v>0.35315985130111499</v>
      </c>
      <c r="K133" s="2">
        <v>-4.0910155423917599E-2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Row],[kelly/4 365]]*0.8*$U$2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99]]*0.8*$U$2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5419</v>
      </c>
      <c r="B134" t="s">
        <v>81</v>
      </c>
      <c r="C134" s="1">
        <v>45607</v>
      </c>
      <c r="D134" t="s">
        <v>12</v>
      </c>
      <c r="E134">
        <v>1.5</v>
      </c>
      <c r="F134" s="2">
        <v>0.60606060606060597</v>
      </c>
      <c r="G134" s="2">
        <v>0.57912107231098098</v>
      </c>
      <c r="H134" s="2">
        <v>0.54098239831452699</v>
      </c>
      <c r="I134" s="2">
        <v>0.56000000000000005</v>
      </c>
      <c r="J134" s="2">
        <v>0.56985294117647001</v>
      </c>
      <c r="K134" s="2">
        <v>-4.1299631838857598E-2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Row],[kelly/4 365]]*0.8*$U$2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99]]*0.8*$U$2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5356</v>
      </c>
      <c r="B135" t="s">
        <v>49</v>
      </c>
      <c r="C135" s="1">
        <v>45607</v>
      </c>
      <c r="D135" t="s">
        <v>13</v>
      </c>
      <c r="E135">
        <v>1.5</v>
      </c>
      <c r="F135" s="2">
        <v>0.43103448275862</v>
      </c>
      <c r="G135" s="2">
        <v>0.30290281861180501</v>
      </c>
      <c r="H135" s="2">
        <v>0.33626528052065302</v>
      </c>
      <c r="I135" s="2">
        <v>0.41714285714285698</v>
      </c>
      <c r="J135" s="2">
        <v>0.43771043771043699</v>
      </c>
      <c r="K135" s="2">
        <v>-4.1641013104561302E-2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Row],[kelly/4 365]]*0.8*$U$2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99]]*0.8*$U$2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5352</v>
      </c>
      <c r="B136" t="s">
        <v>47</v>
      </c>
      <c r="C136" s="1">
        <v>45607</v>
      </c>
      <c r="D136" t="s">
        <v>13</v>
      </c>
      <c r="E136">
        <v>1.5</v>
      </c>
      <c r="F136" s="2">
        <v>0.45045045045045001</v>
      </c>
      <c r="G136" s="2">
        <v>0.31843756954522701</v>
      </c>
      <c r="H136" s="2">
        <v>0.35877679584686201</v>
      </c>
      <c r="I136" s="2">
        <v>0.43113772455089799</v>
      </c>
      <c r="J136" s="2">
        <v>0.44964028776978399</v>
      </c>
      <c r="K136" s="2">
        <v>-4.1703998610648801E-2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Row],[kelly/4 365]]*0.8*$U$2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99]]*0.8*$U$2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5421</v>
      </c>
      <c r="B137" t="s">
        <v>82</v>
      </c>
      <c r="C137" s="1">
        <v>45607</v>
      </c>
      <c r="D137" t="s">
        <v>12</v>
      </c>
      <c r="E137">
        <v>2.5</v>
      </c>
      <c r="F137" s="2">
        <v>0.58823529411764697</v>
      </c>
      <c r="G137" s="2">
        <v>0.55014744562324802</v>
      </c>
      <c r="H137" s="2">
        <v>0.51881323111340505</v>
      </c>
      <c r="I137" s="2">
        <v>0.56000000000000005</v>
      </c>
      <c r="J137" s="2">
        <v>0.54421768707482998</v>
      </c>
      <c r="K137" s="2">
        <v>-4.2149109681146602E-2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Row],[kelly/4 365]]*0.8*$U$2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99]]*0.8*$U$2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5366</v>
      </c>
      <c r="B138" t="s">
        <v>54</v>
      </c>
      <c r="C138" s="1">
        <v>45607</v>
      </c>
      <c r="D138" t="s">
        <v>13</v>
      </c>
      <c r="E138">
        <v>1.5</v>
      </c>
      <c r="F138" s="2">
        <v>0.45045045045045001</v>
      </c>
      <c r="G138" s="2">
        <v>0.32564737591195902</v>
      </c>
      <c r="H138" s="2">
        <v>0.35763091801249502</v>
      </c>
      <c r="I138" s="2">
        <v>0.40404040404040398</v>
      </c>
      <c r="J138" s="2">
        <v>0.45327102803738301</v>
      </c>
      <c r="K138" s="2">
        <v>-4.2225279100873002E-2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Row],[kelly/4 365]]*0.8*$U$2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99]]*0.8*$U$2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5371</v>
      </c>
      <c r="B139" t="s">
        <v>57</v>
      </c>
      <c r="C139" s="1">
        <v>45607</v>
      </c>
      <c r="D139" t="s">
        <v>12</v>
      </c>
      <c r="E139">
        <v>2.5</v>
      </c>
      <c r="F139" s="2">
        <v>0.43859649122806998</v>
      </c>
      <c r="G139" s="2">
        <v>0.37098599283599998</v>
      </c>
      <c r="H139" s="2">
        <v>0.34088171752635699</v>
      </c>
      <c r="I139" s="2">
        <v>0.298969072164948</v>
      </c>
      <c r="J139" s="2">
        <v>0.31363636363636299</v>
      </c>
      <c r="K139" s="2">
        <v>-4.3513610164044002E-2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Row],[kelly/4 365]]*0.8*$U$2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99]]*0.8*$U$2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5313</v>
      </c>
      <c r="B140" t="s">
        <v>28</v>
      </c>
      <c r="C140" s="1">
        <v>45607</v>
      </c>
      <c r="D140" t="s">
        <v>12</v>
      </c>
      <c r="E140">
        <v>2.5</v>
      </c>
      <c r="F140" s="2">
        <v>0.53191489361702105</v>
      </c>
      <c r="G140" s="2">
        <v>0.49297287844648302</v>
      </c>
      <c r="H140" s="2">
        <v>0.44846688906116999</v>
      </c>
      <c r="I140" s="2">
        <v>0.45555555555555499</v>
      </c>
      <c r="J140" s="2">
        <v>0.457236842105263</v>
      </c>
      <c r="K140" s="2">
        <v>-4.4568820615056501E-2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Row],[kelly/4 365]]*0.8*$U$2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99]]*0.8*$U$2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5326</v>
      </c>
      <c r="B141" t="s">
        <v>34</v>
      </c>
      <c r="C141" s="1">
        <v>45607</v>
      </c>
      <c r="D141" t="s">
        <v>13</v>
      </c>
      <c r="E141">
        <v>1.5</v>
      </c>
      <c r="F141" s="2">
        <v>0.42372881355932202</v>
      </c>
      <c r="G141" s="2">
        <v>0.26020946491802099</v>
      </c>
      <c r="H141" s="2">
        <v>0.31895175543124898</v>
      </c>
      <c r="I141" s="2">
        <v>0.34146341463414598</v>
      </c>
      <c r="J141" s="2">
        <v>0.36071428571428499</v>
      </c>
      <c r="K141" s="2">
        <v>-4.5454753158501997E-2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Row],[kelly/4 365]]*0.8*$U$2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99]]*0.8*$U$2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5324</v>
      </c>
      <c r="B142" t="s">
        <v>33</v>
      </c>
      <c r="C142" s="1">
        <v>45607</v>
      </c>
      <c r="D142" t="s">
        <v>13</v>
      </c>
      <c r="E142">
        <v>1.5</v>
      </c>
      <c r="F142" s="2">
        <v>0.476190476190476</v>
      </c>
      <c r="G142" s="2">
        <v>0.34103671513682998</v>
      </c>
      <c r="H142" s="2">
        <v>0.375302207511577</v>
      </c>
      <c r="I142" s="2">
        <v>0.40372670807453398</v>
      </c>
      <c r="J142" s="2">
        <v>0.42028985507246303</v>
      </c>
      <c r="K142" s="2">
        <v>-4.8151219142201503E-2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Row],[kelly/4 365]]*0.8*$U$2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7" t="e">
        <f>Table1[[#This Row],[kelly/4 99]]*0.8*$U$2</f>
        <v>#DIV/0!</v>
      </c>
      <c r="R142" s="2"/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5443</v>
      </c>
      <c r="B143" t="s">
        <v>93</v>
      </c>
      <c r="C143" s="1">
        <v>45607</v>
      </c>
      <c r="D143" t="s">
        <v>12</v>
      </c>
      <c r="E143">
        <v>2.5</v>
      </c>
      <c r="F143" s="2">
        <v>0.485436893203883</v>
      </c>
      <c r="G143" s="2">
        <v>0.43248077012124098</v>
      </c>
      <c r="H143" s="2">
        <v>0.38621402171979202</v>
      </c>
      <c r="I143" s="2">
        <v>0.40340909090909</v>
      </c>
      <c r="J143" s="2">
        <v>0.40614334470989699</v>
      </c>
      <c r="K143" s="2">
        <v>-4.8207338504063099E-2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Row],[kelly/4 365]]*0.8*$U$2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7" t="e">
        <f>Table1[[#This Row],[kelly/4 99]]*0.8*$U$2</f>
        <v>#DIV/0!</v>
      </c>
      <c r="R143" s="2"/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5364</v>
      </c>
      <c r="B144" t="s">
        <v>53</v>
      </c>
      <c r="C144" s="1">
        <v>45607</v>
      </c>
      <c r="D144" t="s">
        <v>13</v>
      </c>
      <c r="E144">
        <v>2.5</v>
      </c>
      <c r="F144" s="2">
        <v>0.53191489361702105</v>
      </c>
      <c r="G144" s="2">
        <v>0.41005471502444701</v>
      </c>
      <c r="H144" s="2">
        <v>0.44139780848729998</v>
      </c>
      <c r="I144" s="2">
        <v>0.42937853107344598</v>
      </c>
      <c r="J144" s="2">
        <v>0.466442953020134</v>
      </c>
      <c r="K144" s="2">
        <v>-4.83443522851916E-2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Row],[kelly/4 365]]*0.8*$U$2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7" t="e">
        <f>Table1[[#This Row],[kelly/4 99]]*0.8*$U$2</f>
        <v>#DIV/0!</v>
      </c>
      <c r="R144" s="2"/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5288</v>
      </c>
      <c r="B145" t="s">
        <v>15</v>
      </c>
      <c r="C145" s="1">
        <v>45607</v>
      </c>
      <c r="D145" t="s">
        <v>13</v>
      </c>
      <c r="E145">
        <v>2.5</v>
      </c>
      <c r="F145" s="2">
        <v>0.42016806722688999</v>
      </c>
      <c r="G145" s="2">
        <v>0.29330978162301902</v>
      </c>
      <c r="H145" s="2">
        <v>0.30565409426675599</v>
      </c>
      <c r="I145" s="2">
        <v>0.321678321678321</v>
      </c>
      <c r="J145" s="2">
        <v>0.339622641509433</v>
      </c>
      <c r="K145" s="2">
        <v>-4.9373778196579399E-2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Row],[kelly/4 365]]*0.8*$U$2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7" t="e">
        <f>Table1[[#This Row],[kelly/4 99]]*0.8*$U$2</f>
        <v>#DIV/0!</v>
      </c>
      <c r="R145" s="2"/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5394</v>
      </c>
      <c r="B146" t="s">
        <v>68</v>
      </c>
      <c r="C146" s="1">
        <v>45607</v>
      </c>
      <c r="D146" t="s">
        <v>13</v>
      </c>
      <c r="E146">
        <v>1.5</v>
      </c>
      <c r="F146" s="2">
        <v>0.41666666666666602</v>
      </c>
      <c r="G146" s="2">
        <v>0.28951291186420403</v>
      </c>
      <c r="H146" s="2">
        <v>0.30098333603452798</v>
      </c>
      <c r="I146" s="2">
        <v>0.39393939393939298</v>
      </c>
      <c r="J146" s="2">
        <v>0.36332179930795799</v>
      </c>
      <c r="K146" s="2">
        <v>-4.9578570270916202E-2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Row],[kelly/4 365]]*0.8*$U$2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7" t="e">
        <f>Table1[[#This Row],[kelly/4 99]]*0.8*$U$2</f>
        <v>#DIV/0!</v>
      </c>
      <c r="R146" s="2"/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5330</v>
      </c>
      <c r="B147" t="s">
        <v>36</v>
      </c>
      <c r="C147" s="1">
        <v>45607</v>
      </c>
      <c r="D147" t="s">
        <v>13</v>
      </c>
      <c r="E147">
        <v>2.5</v>
      </c>
      <c r="F147" s="2">
        <v>0.59171597633136097</v>
      </c>
      <c r="G147" s="2">
        <v>0.46667712708562298</v>
      </c>
      <c r="H147" s="2">
        <v>0.51021062759528202</v>
      </c>
      <c r="I147" s="2">
        <v>0.50920245398773001</v>
      </c>
      <c r="J147" s="2">
        <v>0.54444444444444395</v>
      </c>
      <c r="K147" s="2">
        <v>-4.9907260639120599E-2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Row],[kelly/4 365]]*0.8*$U$2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7" t="e">
        <f>Table1[[#This Row],[kelly/4 99]]*0.8*$U$2</f>
        <v>#DIV/0!</v>
      </c>
      <c r="R147" s="2"/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5397</v>
      </c>
      <c r="B148" t="s">
        <v>70</v>
      </c>
      <c r="C148" s="1">
        <v>45607</v>
      </c>
      <c r="D148" t="s">
        <v>12</v>
      </c>
      <c r="E148">
        <v>1.5</v>
      </c>
      <c r="F148" s="2">
        <v>0.59171597633136097</v>
      </c>
      <c r="G148" s="2">
        <v>0.56236669774530301</v>
      </c>
      <c r="H148" s="2">
        <v>0.507878772906871</v>
      </c>
      <c r="I148" s="2">
        <v>0.480446927374301</v>
      </c>
      <c r="J148" s="2">
        <v>0.443708609271523</v>
      </c>
      <c r="K148" s="2">
        <v>-5.1335099198328703E-2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Row],[kelly/4 365]]*0.8*$U$2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7" t="e">
        <f>Table1[[#This Row],[kelly/4 99]]*0.8*$U$2</f>
        <v>#DIV/0!</v>
      </c>
      <c r="R148" s="2"/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5439</v>
      </c>
      <c r="B149" t="s">
        <v>91</v>
      </c>
      <c r="C149" s="1">
        <v>45607</v>
      </c>
      <c r="D149" t="s">
        <v>12</v>
      </c>
      <c r="E149">
        <v>2.5</v>
      </c>
      <c r="F149" s="2">
        <v>0.44444444444444398</v>
      </c>
      <c r="G149" s="2">
        <v>0.39126727378718801</v>
      </c>
      <c r="H149" s="2">
        <v>0.32918905532019699</v>
      </c>
      <c r="I149" s="2">
        <v>0.329113924050632</v>
      </c>
      <c r="J149" s="2">
        <v>0.37804878048780399</v>
      </c>
      <c r="K149" s="2">
        <v>-5.1864925105911099E-2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Row],[kelly/4 365]]*0.8*$U$2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7" t="e">
        <f>Table1[[#This Row],[kelly/4 99]]*0.8*$U$2</f>
        <v>#DIV/0!</v>
      </c>
      <c r="R149" s="2"/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5379</v>
      </c>
      <c r="B150" t="s">
        <v>61</v>
      </c>
      <c r="C150" s="1">
        <v>45607</v>
      </c>
      <c r="D150" t="s">
        <v>12</v>
      </c>
      <c r="E150">
        <v>2.5</v>
      </c>
      <c r="F150" s="2">
        <v>0.45045045045045001</v>
      </c>
      <c r="G150" s="2">
        <v>0.39358594945992298</v>
      </c>
      <c r="H150" s="2">
        <v>0.33601911879308799</v>
      </c>
      <c r="I150" s="2">
        <v>0.38202247191011202</v>
      </c>
      <c r="J150" s="2">
        <v>0.38666666666666599</v>
      </c>
      <c r="K150" s="2">
        <v>-5.20568762867505E-2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Row],[kelly/4 365]]*0.8*$U$2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7" t="e">
        <f>Table1[[#This Row],[kelly/4 99]]*0.8*$U$2</f>
        <v>#DIV/0!</v>
      </c>
      <c r="R150" s="2"/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5383</v>
      </c>
      <c r="B151" t="s">
        <v>63</v>
      </c>
      <c r="C151" s="1">
        <v>45607</v>
      </c>
      <c r="D151" t="s">
        <v>12</v>
      </c>
      <c r="E151">
        <v>3.5</v>
      </c>
      <c r="F151" s="2">
        <v>0.43859649122806998</v>
      </c>
      <c r="G151" s="2">
        <v>0.36773525821262198</v>
      </c>
      <c r="H151" s="2">
        <v>0.32148498858926899</v>
      </c>
      <c r="I151" s="2">
        <v>0.41340782122905001</v>
      </c>
      <c r="J151" s="2">
        <v>0.40199335548172699</v>
      </c>
      <c r="K151" s="2">
        <v>-5.2151216018840901E-2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Row],[kelly/4 365]]*0.8*$U$2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7" t="e">
        <f>Table1[[#This Row],[kelly/4 99]]*0.8*$U$2</f>
        <v>#DIV/0!</v>
      </c>
      <c r="R151" s="2"/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5343</v>
      </c>
      <c r="B152" t="s">
        <v>43</v>
      </c>
      <c r="C152" s="1">
        <v>45607</v>
      </c>
      <c r="D152" t="s">
        <v>12</v>
      </c>
      <c r="E152">
        <v>1.5</v>
      </c>
      <c r="F152" s="2">
        <v>0.625</v>
      </c>
      <c r="G152" s="2">
        <v>0.61137944498492702</v>
      </c>
      <c r="H152" s="2">
        <v>0.54535375529377905</v>
      </c>
      <c r="I152" s="2">
        <v>0.46376811594202899</v>
      </c>
      <c r="J152" s="2">
        <v>0.48749999999999999</v>
      </c>
      <c r="K152" s="2">
        <v>-5.3097496470813799E-2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Row],[kelly/4 365]]*0.8*$U$2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7" t="e">
        <f>Table1[[#This Row],[kelly/4 99]]*0.8*$U$2</f>
        <v>#DIV/0!</v>
      </c>
      <c r="R152" s="2"/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5331</v>
      </c>
      <c r="B153" t="s">
        <v>37</v>
      </c>
      <c r="C153" s="1">
        <v>45607</v>
      </c>
      <c r="D153" t="s">
        <v>12</v>
      </c>
      <c r="E153">
        <v>2.5</v>
      </c>
      <c r="F153" s="2">
        <v>0.55555555555555503</v>
      </c>
      <c r="G153" s="2">
        <v>0.499683428201185</v>
      </c>
      <c r="H153" s="2">
        <v>0.45583593464673799</v>
      </c>
      <c r="I153" s="2">
        <v>0.48214285714285698</v>
      </c>
      <c r="J153" s="2">
        <v>0.46785714285714203</v>
      </c>
      <c r="K153" s="2">
        <v>-5.60922867612096E-2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Row],[kelly/4 365]]*0.8*$U$2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7" t="e">
        <f>Table1[[#This Row],[kelly/4 99]]*0.8*$U$2</f>
        <v>#DIV/0!</v>
      </c>
      <c r="R153" s="2"/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5360</v>
      </c>
      <c r="B154" t="s">
        <v>51</v>
      </c>
      <c r="C154" s="1">
        <v>45607</v>
      </c>
      <c r="D154" t="s">
        <v>13</v>
      </c>
      <c r="E154">
        <v>3.5</v>
      </c>
      <c r="F154" s="2">
        <v>0.61728395061728303</v>
      </c>
      <c r="G154" s="2">
        <v>0.492464721956206</v>
      </c>
      <c r="H154" s="2">
        <v>0.52963471835607101</v>
      </c>
      <c r="I154" s="2">
        <v>0.60927152317880795</v>
      </c>
      <c r="J154" s="2">
        <v>0.61797752808988704</v>
      </c>
      <c r="K154" s="2">
        <v>-5.7254740428695002E-2</v>
      </c>
      <c r="L154" s="2"/>
      <c r="M154" s="2" t="e">
        <f>(Table1[[#This Row],[poisson_likelihood]] - (1-Table1[[#This Row],[poisson_likelihood]])/(1/Table1[[#This Row],[365 implied]]-1))/4</f>
        <v>#DIV/0!</v>
      </c>
      <c r="N154" s="7" t="e">
        <f>Table1[[#This Row],[kelly/4 365]]*0.8*$U$2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7" t="e">
        <f>Table1[[#This Row],[kelly/4 99]]*0.8*$U$2</f>
        <v>#DIV/0!</v>
      </c>
      <c r="R154" s="2"/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5425</v>
      </c>
      <c r="B155" t="s">
        <v>84</v>
      </c>
      <c r="C155" s="1">
        <v>45607</v>
      </c>
      <c r="D155" t="s">
        <v>12</v>
      </c>
      <c r="E155">
        <v>2.5</v>
      </c>
      <c r="F155" s="2">
        <v>0.61728395061728303</v>
      </c>
      <c r="G155" s="2">
        <v>0.56445617783132396</v>
      </c>
      <c r="H155" s="2">
        <v>0.52932777470820203</v>
      </c>
      <c r="I155" s="2">
        <v>0.52205882352941102</v>
      </c>
      <c r="J155" s="2">
        <v>0.51515151515151503</v>
      </c>
      <c r="K155" s="2">
        <v>-5.7455243940609801E-2</v>
      </c>
      <c r="L155" s="2"/>
      <c r="M155" s="2" t="e">
        <f>(Table1[[#This Row],[poisson_likelihood]] - (1-Table1[[#This Row],[poisson_likelihood]])/(1/Table1[[#This Row],[365 implied]]-1))/4</f>
        <v>#DIV/0!</v>
      </c>
      <c r="N155" s="7" t="e">
        <f>Table1[[#This Row],[kelly/4 365]]*0.8*$U$2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7" t="e">
        <f>Table1[[#This Row],[kelly/4 99]]*0.8*$U$2</f>
        <v>#DIV/0!</v>
      </c>
      <c r="R155" s="2"/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5318</v>
      </c>
      <c r="B156" t="s">
        <v>30</v>
      </c>
      <c r="C156" s="1">
        <v>45607</v>
      </c>
      <c r="D156" t="s">
        <v>13</v>
      </c>
      <c r="E156">
        <v>1.5</v>
      </c>
      <c r="F156" s="2">
        <v>0.46296296296296202</v>
      </c>
      <c r="G156" s="2">
        <v>0.32717973348409601</v>
      </c>
      <c r="H156" s="2">
        <v>0.33773053057939001</v>
      </c>
      <c r="I156" s="2">
        <v>0.418079096045197</v>
      </c>
      <c r="J156" s="2">
        <v>0.44406779661016899</v>
      </c>
      <c r="K156" s="2">
        <v>-5.8297856454421502E-2</v>
      </c>
      <c r="L156" s="2"/>
      <c r="M156" s="2" t="e">
        <f>(Table1[[#This Row],[poisson_likelihood]] - (1-Table1[[#This Row],[poisson_likelihood]])/(1/Table1[[#This Row],[365 implied]]-1))/4</f>
        <v>#DIV/0!</v>
      </c>
      <c r="N156" s="7" t="e">
        <f>Table1[[#This Row],[kelly/4 365]]*0.8*$U$2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7" t="e">
        <f>Table1[[#This Row],[kelly/4 99]]*0.8*$U$2</f>
        <v>#DIV/0!</v>
      </c>
      <c r="R156" s="2"/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5441</v>
      </c>
      <c r="B157" t="s">
        <v>92</v>
      </c>
      <c r="C157" s="1">
        <v>45607</v>
      </c>
      <c r="D157" t="s">
        <v>12</v>
      </c>
      <c r="E157">
        <v>2.5</v>
      </c>
      <c r="F157" s="2">
        <v>0.61728395061728303</v>
      </c>
      <c r="G157" s="2">
        <v>0.56456265577861098</v>
      </c>
      <c r="H157" s="2">
        <v>0.52779401824362704</v>
      </c>
      <c r="I157" s="2">
        <v>0.56626506024096301</v>
      </c>
      <c r="J157" s="2">
        <v>0.56785714285714195</v>
      </c>
      <c r="K157" s="2">
        <v>-5.8457133244081701E-2</v>
      </c>
      <c r="L157" s="2"/>
      <c r="M157" s="2" t="e">
        <f>(Table1[[#This Row],[poisson_likelihood]] - (1-Table1[[#This Row],[poisson_likelihood]])/(1/Table1[[#This Row],[365 implied]]-1))/4</f>
        <v>#DIV/0!</v>
      </c>
      <c r="N157" s="7" t="e">
        <f>Table1[[#This Row],[kelly/4 365]]*0.8*$U$2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7" t="e">
        <f>Table1[[#This Row],[kelly/4 99]]*0.8*$U$2</f>
        <v>#DIV/0!</v>
      </c>
      <c r="R157" s="2"/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5389</v>
      </c>
      <c r="B158" t="s">
        <v>66</v>
      </c>
      <c r="C158" s="1">
        <v>45607</v>
      </c>
      <c r="D158" t="s">
        <v>12</v>
      </c>
      <c r="E158">
        <v>1.5</v>
      </c>
      <c r="F158" s="2">
        <v>0.61728395061728303</v>
      </c>
      <c r="G158" s="2">
        <v>0.57472252644030197</v>
      </c>
      <c r="H158" s="2">
        <v>0.52684446850746602</v>
      </c>
      <c r="I158" s="2">
        <v>0.587209302325581</v>
      </c>
      <c r="J158" s="2">
        <v>0.58620689655172398</v>
      </c>
      <c r="K158" s="2">
        <v>-5.9077403636251802E-2</v>
      </c>
      <c r="L158" s="2"/>
      <c r="M158" s="2" t="e">
        <f>(Table1[[#This Row],[poisson_likelihood]] - (1-Table1[[#This Row],[poisson_likelihood]])/(1/Table1[[#This Row],[365 implied]]-1))/4</f>
        <v>#DIV/0!</v>
      </c>
      <c r="N158" s="7" t="e">
        <f>Table1[[#This Row],[kelly/4 365]]*0.8*$U$2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7" t="e">
        <f>Table1[[#This Row],[kelly/4 99]]*0.8*$U$2</f>
        <v>#DIV/0!</v>
      </c>
      <c r="R158" s="2"/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5311</v>
      </c>
      <c r="B159" t="s">
        <v>27</v>
      </c>
      <c r="C159" s="1">
        <v>45607</v>
      </c>
      <c r="D159" t="s">
        <v>12</v>
      </c>
      <c r="E159">
        <v>1.5</v>
      </c>
      <c r="F159" s="2">
        <v>0.61728395061728303</v>
      </c>
      <c r="G159" s="2">
        <v>0.57113700335952</v>
      </c>
      <c r="H159" s="2">
        <v>0.52432267103936303</v>
      </c>
      <c r="I159" s="2">
        <v>0.50354609929077998</v>
      </c>
      <c r="J159" s="2">
        <v>0.52671755725190805</v>
      </c>
      <c r="K159" s="2">
        <v>-6.0724706821060702E-2</v>
      </c>
      <c r="L159" s="2"/>
      <c r="M159" s="2" t="e">
        <f>(Table1[[#This Row],[poisson_likelihood]] - (1-Table1[[#This Row],[poisson_likelihood]])/(1/Table1[[#This Row],[365 implied]]-1))/4</f>
        <v>#DIV/0!</v>
      </c>
      <c r="N159" s="7" t="e">
        <f>Table1[[#This Row],[kelly/4 365]]*0.8*$U$2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7" t="e">
        <f>Table1[[#This Row],[kelly/4 99]]*0.8*$U$2</f>
        <v>#DIV/0!</v>
      </c>
      <c r="R159" s="2"/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5416</v>
      </c>
      <c r="B160" t="s">
        <v>79</v>
      </c>
      <c r="C160" s="1">
        <v>45607</v>
      </c>
      <c r="D160" t="s">
        <v>13</v>
      </c>
      <c r="E160">
        <v>4.5</v>
      </c>
      <c r="F160" s="2">
        <v>0.58823529411764697</v>
      </c>
      <c r="G160" s="2">
        <v>0.45104622391244797</v>
      </c>
      <c r="H160" s="2">
        <v>0.47624362698815897</v>
      </c>
      <c r="I160" s="2">
        <v>0.49404761904761901</v>
      </c>
      <c r="J160" s="2">
        <v>0.527586206896551</v>
      </c>
      <c r="K160" s="2">
        <v>-6.7994940757188899E-2</v>
      </c>
      <c r="L160" s="2"/>
      <c r="M160" s="2" t="e">
        <f>(Table1[[#This Row],[poisson_likelihood]] - (1-Table1[[#This Row],[poisson_likelihood]])/(1/Table1[[#This Row],[365 implied]]-1))/4</f>
        <v>#DIV/0!</v>
      </c>
      <c r="N160" s="7" t="e">
        <f>Table1[[#This Row],[kelly/4 365]]*0.8*$U$2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7" t="e">
        <f>Table1[[#This Row],[kelly/4 99]]*0.8*$U$2</f>
        <v>#DIV/0!</v>
      </c>
      <c r="R160" s="2"/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5399</v>
      </c>
      <c r="B161" t="s">
        <v>71</v>
      </c>
      <c r="C161" s="1">
        <v>45607</v>
      </c>
      <c r="D161" t="s">
        <v>12</v>
      </c>
      <c r="E161">
        <v>2.5</v>
      </c>
      <c r="F161" s="2">
        <v>0.54644808743169304</v>
      </c>
      <c r="G161" s="2">
        <v>0.462600996548231</v>
      </c>
      <c r="H161" s="2">
        <v>0.41824728201398897</v>
      </c>
      <c r="I161" s="2">
        <v>0.48214285714285698</v>
      </c>
      <c r="J161" s="2">
        <v>0.46428571428571402</v>
      </c>
      <c r="K161" s="2">
        <v>-7.0664901781445494E-2</v>
      </c>
      <c r="L161" s="2"/>
      <c r="M161" s="2" t="e">
        <f>(Table1[[#This Row],[poisson_likelihood]] - (1-Table1[[#This Row],[poisson_likelihood]])/(1/Table1[[#This Row],[365 implied]]-1))/4</f>
        <v>#DIV/0!</v>
      </c>
      <c r="N161" s="7" t="e">
        <f>Table1[[#This Row],[kelly/4 365]]*0.8*$U$2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7" t="e">
        <f>Table1[[#This Row],[kelly/4 99]]*0.8*$U$2</f>
        <v>#DIV/0!</v>
      </c>
      <c r="R161" s="2"/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5392</v>
      </c>
      <c r="B162" t="s">
        <v>67</v>
      </c>
      <c r="C162" s="1">
        <v>45607</v>
      </c>
      <c r="D162" t="s">
        <v>13</v>
      </c>
      <c r="E162">
        <v>2.5</v>
      </c>
      <c r="F162" s="2">
        <v>0.55555555555555503</v>
      </c>
      <c r="G162" s="2">
        <v>0.39033857476442702</v>
      </c>
      <c r="H162" s="2">
        <v>0.428221192446468</v>
      </c>
      <c r="I162" s="2">
        <v>0.46496815286624199</v>
      </c>
      <c r="J162" s="2">
        <v>0.47686832740213497</v>
      </c>
      <c r="K162" s="2">
        <v>-7.1625579248861704E-2</v>
      </c>
      <c r="L162" s="2"/>
      <c r="M162" s="2" t="e">
        <f>(Table1[[#This Row],[poisson_likelihood]] - (1-Table1[[#This Row],[poisson_likelihood]])/(1/Table1[[#This Row],[365 implied]]-1))/4</f>
        <v>#DIV/0!</v>
      </c>
      <c r="N162" s="7" t="e">
        <f>Table1[[#This Row],[kelly/4 365]]*0.8*$U$2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7" t="e">
        <f>Table1[[#This Row],[kelly/4 99]]*0.8*$U$2</f>
        <v>#DIV/0!</v>
      </c>
      <c r="R162" s="2"/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5320</v>
      </c>
      <c r="B163" t="s">
        <v>31</v>
      </c>
      <c r="C163" s="1">
        <v>45607</v>
      </c>
      <c r="D163" t="s">
        <v>13</v>
      </c>
      <c r="E163">
        <v>2.5</v>
      </c>
      <c r="F163" s="2">
        <v>0.485436893203883</v>
      </c>
      <c r="G163" s="2">
        <v>0.31565041939849797</v>
      </c>
      <c r="H163" s="2">
        <v>0.33684488639841298</v>
      </c>
      <c r="I163" s="2">
        <v>0.418079096045197</v>
      </c>
      <c r="J163" s="2">
        <v>0.46440677966101601</v>
      </c>
      <c r="K163" s="2">
        <v>-7.21932863252992E-2</v>
      </c>
      <c r="L163" s="2"/>
      <c r="M163" s="2" t="e">
        <f>(Table1[[#This Row],[poisson_likelihood]] - (1-Table1[[#This Row],[poisson_likelihood]])/(1/Table1[[#This Row],[365 implied]]-1))/4</f>
        <v>#DIV/0!</v>
      </c>
      <c r="N163" s="7" t="e">
        <f>Table1[[#This Row],[kelly/4 365]]*0.8*$U$2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7" t="e">
        <f>Table1[[#This Row],[kelly/4 99]]*0.8*$U$2</f>
        <v>#DIV/0!</v>
      </c>
      <c r="R163" s="2"/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5334</v>
      </c>
      <c r="B164" t="s">
        <v>38</v>
      </c>
      <c r="C164" s="1">
        <v>45607</v>
      </c>
      <c r="D164" t="s">
        <v>13</v>
      </c>
      <c r="E164">
        <v>2.5</v>
      </c>
      <c r="F164" s="2">
        <v>0.625</v>
      </c>
      <c r="G164" s="2">
        <v>0.46923301944481599</v>
      </c>
      <c r="H164" s="2">
        <v>0.51458058118114203</v>
      </c>
      <c r="I164" s="2">
        <v>0.57228915662650603</v>
      </c>
      <c r="J164" s="2">
        <v>0.58156028368794299</v>
      </c>
      <c r="K164" s="2">
        <v>-7.3612945879238501E-2</v>
      </c>
      <c r="L164" s="2"/>
      <c r="M164" s="2" t="e">
        <f>(Table1[[#This Row],[poisson_likelihood]] - (1-Table1[[#This Row],[poisson_likelihood]])/(1/Table1[[#This Row],[365 implied]]-1))/4</f>
        <v>#DIV/0!</v>
      </c>
      <c r="N164" s="7" t="e">
        <f>Table1[[#This Row],[kelly/4 365]]*0.8*$U$2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7" t="e">
        <f>Table1[[#This Row],[kelly/4 99]]*0.8*$U$2</f>
        <v>#DIV/0!</v>
      </c>
      <c r="R164" s="2"/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5295</v>
      </c>
      <c r="B165" t="s">
        <v>19</v>
      </c>
      <c r="C165" s="1">
        <v>45607</v>
      </c>
      <c r="D165" t="s">
        <v>12</v>
      </c>
      <c r="E165">
        <v>3.5</v>
      </c>
      <c r="F165" s="2">
        <v>0.42553191489361702</v>
      </c>
      <c r="G165" s="2">
        <v>0.28744316610258103</v>
      </c>
      <c r="H165" s="2">
        <v>0.25584758858210099</v>
      </c>
      <c r="I165" s="2">
        <v>0.209302325581395</v>
      </c>
      <c r="J165" s="2">
        <v>0.25517241379310301</v>
      </c>
      <c r="K165" s="2">
        <v>-7.3844104968899996E-2</v>
      </c>
      <c r="L165" s="2"/>
      <c r="M165" s="2" t="e">
        <f>(Table1[[#This Row],[poisson_likelihood]] - (1-Table1[[#This Row],[poisson_likelihood]])/(1/Table1[[#This Row],[365 implied]]-1))/4</f>
        <v>#DIV/0!</v>
      </c>
      <c r="N165" s="7" t="e">
        <f>Table1[[#This Row],[kelly/4 365]]*0.8*$U$2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7" t="e">
        <f>Table1[[#This Row],[kelly/4 99]]*0.8*$U$2</f>
        <v>#DIV/0!</v>
      </c>
      <c r="R165" s="2"/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5405</v>
      </c>
      <c r="B166" t="s">
        <v>74</v>
      </c>
      <c r="C166" s="1">
        <v>45607</v>
      </c>
      <c r="D166" t="s">
        <v>12</v>
      </c>
      <c r="E166">
        <v>1.5</v>
      </c>
      <c r="F166" s="2">
        <v>0.62893081761006198</v>
      </c>
      <c r="G166" s="2">
        <v>0.572806048807037</v>
      </c>
      <c r="H166" s="2">
        <v>0.51904468430185902</v>
      </c>
      <c r="I166" s="2">
        <v>0.50282485875706195</v>
      </c>
      <c r="J166" s="2">
        <v>0.51178451178451101</v>
      </c>
      <c r="K166" s="2">
        <v>-7.4033454220357398E-2</v>
      </c>
      <c r="L166" s="2"/>
      <c r="M166" s="2" t="e">
        <f>(Table1[[#This Row],[poisson_likelihood]] - (1-Table1[[#This Row],[poisson_likelihood]])/(1/Table1[[#This Row],[365 implied]]-1))/4</f>
        <v>#DIV/0!</v>
      </c>
      <c r="N166" s="7" t="e">
        <f>Table1[[#This Row],[kelly/4 365]]*0.8*$U$2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7" t="e">
        <f>Table1[[#This Row],[kelly/4 99]]*0.8*$U$2</f>
        <v>#DIV/0!</v>
      </c>
      <c r="R166" s="2"/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5375</v>
      </c>
      <c r="B167" t="s">
        <v>59</v>
      </c>
      <c r="C167" s="1">
        <v>45607</v>
      </c>
      <c r="D167" t="s">
        <v>12</v>
      </c>
      <c r="E167">
        <v>1.5</v>
      </c>
      <c r="F167" s="2">
        <v>0.56497175141242895</v>
      </c>
      <c r="G167" s="2">
        <v>0.49317487417644301</v>
      </c>
      <c r="H167" s="2">
        <v>0.43423333906973899</v>
      </c>
      <c r="I167" s="2">
        <v>0.47428571428571398</v>
      </c>
      <c r="J167" s="2">
        <v>0.47297297297297197</v>
      </c>
      <c r="K167" s="2">
        <v>-7.5132139560571604E-2</v>
      </c>
      <c r="L167" s="2"/>
      <c r="M167" s="2" t="e">
        <f>(Table1[[#This Row],[poisson_likelihood]] - (1-Table1[[#This Row],[poisson_likelihood]])/(1/Table1[[#This Row],[365 implied]]-1))/4</f>
        <v>#DIV/0!</v>
      </c>
      <c r="N167" s="7" t="e">
        <f>Table1[[#This Row],[kelly/4 365]]*0.8*$U$2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7" t="e">
        <f>Table1[[#This Row],[kelly/4 99]]*0.8*$U$2</f>
        <v>#DIV/0!</v>
      </c>
      <c r="R167" s="2"/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5409</v>
      </c>
      <c r="B168" t="s">
        <v>76</v>
      </c>
      <c r="C168" s="1">
        <v>45607</v>
      </c>
      <c r="D168" t="s">
        <v>12</v>
      </c>
      <c r="E168">
        <v>3.5</v>
      </c>
      <c r="F168" s="2">
        <v>0.59171597633136097</v>
      </c>
      <c r="G168" s="2">
        <v>0.504018882908573</v>
      </c>
      <c r="H168" s="2">
        <v>0.46791720894264299</v>
      </c>
      <c r="I168" s="2">
        <v>0.530612244897959</v>
      </c>
      <c r="J168" s="2">
        <v>0.56133828996282498</v>
      </c>
      <c r="K168" s="2">
        <v>-7.5804317712656499E-2</v>
      </c>
      <c r="L168" s="2"/>
      <c r="M168" s="2" t="e">
        <f>(Table1[[#This Row],[poisson_likelihood]] - (1-Table1[[#This Row],[poisson_likelihood]])/(1/Table1[[#This Row],[365 implied]]-1))/4</f>
        <v>#DIV/0!</v>
      </c>
      <c r="N168" s="7" t="e">
        <f>Table1[[#This Row],[kelly/4 365]]*0.8*$U$2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7" t="e">
        <f>Table1[[#This Row],[kelly/4 99]]*0.8*$U$2</f>
        <v>#DIV/0!</v>
      </c>
      <c r="R168" s="2"/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5395</v>
      </c>
      <c r="B169" t="s">
        <v>69</v>
      </c>
      <c r="C169" s="1">
        <v>45607</v>
      </c>
      <c r="D169" t="s">
        <v>12</v>
      </c>
      <c r="E169">
        <v>2.5</v>
      </c>
      <c r="F169" s="2">
        <v>0.48076923076923</v>
      </c>
      <c r="G169" s="2">
        <v>0.34529288963756</v>
      </c>
      <c r="H169" s="2">
        <v>0.28743744198224502</v>
      </c>
      <c r="I169" s="2">
        <v>0.33333333333333298</v>
      </c>
      <c r="J169" s="2">
        <v>0.37764932562620401</v>
      </c>
      <c r="K169" s="2">
        <v>-9.3085676082622304E-2</v>
      </c>
      <c r="L169" s="2"/>
      <c r="M169" s="2" t="e">
        <f>(Table1[[#This Row],[poisson_likelihood]] - (1-Table1[[#This Row],[poisson_likelihood]])/(1/Table1[[#This Row],[365 implied]]-1))/4</f>
        <v>#DIV/0!</v>
      </c>
      <c r="N169" s="7" t="e">
        <f>Table1[[#This Row],[kelly/4 365]]*0.8*$U$2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7" t="e">
        <f>Table1[[#This Row],[kelly/4 99]]*0.8*$U$2</f>
        <v>#DIV/0!</v>
      </c>
      <c r="R169" s="2"/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2024-11-11T13:56:15Z</dcterms:created>
  <dcterms:modified xsi:type="dcterms:W3CDTF">2024-11-12T13:02:31Z</dcterms:modified>
</cp:coreProperties>
</file>