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1_{72A3188C-0F9D-D74C-BFEE-5C355ECE090D}" xr6:coauthVersionLast="47" xr6:coauthVersionMax="47" xr10:uidLastSave="{00000000-0000-0000-0000-000000000000}"/>
  <bookViews>
    <workbookView xWindow="0" yWindow="500" windowWidth="28800" windowHeight="18000" xr2:uid="{00000000-000D-0000-FFFF-FFFF00000000}"/>
  </bookViews>
  <sheets>
    <sheet name="modelled_likelihoods_weight4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Q2" i="1"/>
  <c r="P2" i="1"/>
  <c r="N2" i="1"/>
  <c r="M2" i="1"/>
  <c r="L47" i="1" l="1"/>
  <c r="O36" i="1"/>
  <c r="O38" i="1"/>
  <c r="O39" i="1"/>
  <c r="O41" i="1"/>
  <c r="O42" i="1"/>
  <c r="P42" i="1" s="1"/>
  <c r="Q42" i="1" s="1"/>
  <c r="O43" i="1"/>
  <c r="O44" i="1"/>
  <c r="O46" i="1"/>
  <c r="O34" i="1"/>
  <c r="O25" i="1"/>
  <c r="O26" i="1"/>
  <c r="O27" i="1"/>
  <c r="O28" i="1"/>
  <c r="O29" i="1"/>
  <c r="O24" i="1"/>
  <c r="O22" i="1"/>
  <c r="O20" i="1"/>
  <c r="O14" i="1"/>
  <c r="P14" i="1" s="1"/>
  <c r="Q14" i="1" s="1"/>
  <c r="O13" i="1"/>
  <c r="O10" i="1"/>
  <c r="P10" i="1" s="1"/>
  <c r="Q10" i="1" s="1"/>
  <c r="O8" i="1"/>
  <c r="O7" i="1"/>
  <c r="O21" i="1"/>
  <c r="O17" i="1"/>
  <c r="Y1" i="1"/>
  <c r="O47" i="1"/>
  <c r="O54" i="1"/>
  <c r="L45" i="1"/>
  <c r="L40" i="1"/>
  <c r="L39" i="1"/>
  <c r="L44" i="1"/>
  <c r="L42" i="1"/>
  <c r="L36" i="1"/>
  <c r="L35" i="1"/>
  <c r="L32" i="1"/>
  <c r="L25" i="1"/>
  <c r="L21" i="1"/>
  <c r="L20" i="1"/>
  <c r="L17" i="1"/>
  <c r="L46" i="1"/>
  <c r="L34" i="1"/>
  <c r="L28" i="1"/>
  <c r="L27" i="1"/>
  <c r="L26" i="1"/>
  <c r="L22" i="1"/>
  <c r="L10" i="1"/>
  <c r="L38" i="1"/>
  <c r="L37" i="1"/>
  <c r="L24" i="1"/>
  <c r="L14" i="1"/>
  <c r="L13" i="1"/>
  <c r="L8" i="1"/>
  <c r="L7" i="1"/>
  <c r="L43" i="1"/>
  <c r="L41" i="1"/>
  <c r="L29" i="1"/>
  <c r="O18" i="1"/>
  <c r="L18" i="1"/>
  <c r="L11" i="1"/>
  <c r="O11" i="1"/>
  <c r="O5" i="1"/>
  <c r="L5" i="1"/>
  <c r="L33" i="1"/>
  <c r="O33" i="1"/>
  <c r="O19" i="1"/>
  <c r="L19" i="1"/>
  <c r="O16" i="1"/>
  <c r="L16" i="1"/>
  <c r="O15" i="1"/>
  <c r="L15" i="1"/>
  <c r="L9" i="1"/>
  <c r="O9" i="1"/>
  <c r="L6" i="1"/>
  <c r="O6" i="1"/>
  <c r="L3" i="1"/>
  <c r="O3" i="1"/>
  <c r="O23" i="1"/>
  <c r="L23" i="1"/>
  <c r="O12" i="1"/>
  <c r="L12" i="1"/>
  <c r="M12" i="1" s="1"/>
  <c r="N12" i="1" s="1"/>
  <c r="O4" i="1"/>
  <c r="L4" i="1"/>
  <c r="Q5" i="1"/>
  <c r="Q9" i="1"/>
  <c r="Q11" i="1"/>
  <c r="Q15" i="1"/>
  <c r="Q19" i="1"/>
  <c r="Q30" i="1"/>
  <c r="Q31" i="1"/>
  <c r="Q32" i="1"/>
  <c r="Q47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N5" i="1"/>
  <c r="N6" i="1"/>
  <c r="N17" i="1"/>
  <c r="N19" i="1"/>
  <c r="N22" i="1"/>
  <c r="N23" i="1"/>
  <c r="N25" i="1"/>
  <c r="N31" i="1"/>
  <c r="N38" i="1"/>
  <c r="N42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O2" i="1"/>
  <c r="P9" i="1"/>
  <c r="P17" i="1"/>
  <c r="Q17" i="1" s="1"/>
  <c r="S17" i="1" s="1"/>
  <c r="P25" i="1"/>
  <c r="Q25" i="1" s="1"/>
  <c r="P33" i="1"/>
  <c r="Q33" i="1" s="1"/>
  <c r="P41" i="1"/>
  <c r="Q41" i="1" s="1"/>
  <c r="P49" i="1"/>
  <c r="P57" i="1"/>
  <c r="P73" i="1"/>
  <c r="P81" i="1"/>
  <c r="P89" i="1"/>
  <c r="P97" i="1"/>
  <c r="P105" i="1"/>
  <c r="P113" i="1"/>
  <c r="P121" i="1"/>
  <c r="P129" i="1"/>
  <c r="P137" i="1"/>
  <c r="P145" i="1"/>
  <c r="P153" i="1"/>
  <c r="L2" i="1"/>
  <c r="M6" i="1"/>
  <c r="M8" i="1"/>
  <c r="N8" i="1" s="1"/>
  <c r="M9" i="1"/>
  <c r="N9" i="1" s="1"/>
  <c r="M14" i="1"/>
  <c r="N14" i="1" s="1"/>
  <c r="M15" i="1"/>
  <c r="N15" i="1" s="1"/>
  <c r="M16" i="1"/>
  <c r="N16" i="1" s="1"/>
  <c r="M17" i="1"/>
  <c r="M23" i="1"/>
  <c r="M25" i="1"/>
  <c r="M29" i="1"/>
  <c r="N29" i="1" s="1"/>
  <c r="M31" i="1"/>
  <c r="M32" i="1"/>
  <c r="N32" i="1" s="1"/>
  <c r="M33" i="1"/>
  <c r="N33" i="1" s="1"/>
  <c r="M37" i="1"/>
  <c r="N37" i="1" s="1"/>
  <c r="M38" i="1"/>
  <c r="M40" i="1"/>
  <c r="N40" i="1" s="1"/>
  <c r="M41" i="1"/>
  <c r="N41" i="1" s="1"/>
  <c r="M49" i="1"/>
  <c r="M54" i="1"/>
  <c r="M55" i="1"/>
  <c r="M56" i="1"/>
  <c r="M57" i="1"/>
  <c r="M61" i="1"/>
  <c r="M63" i="1"/>
  <c r="M64" i="1"/>
  <c r="M65" i="1"/>
  <c r="M69" i="1"/>
  <c r="M70" i="1"/>
  <c r="M71" i="1"/>
  <c r="M73" i="1"/>
  <c r="M79" i="1"/>
  <c r="M80" i="1"/>
  <c r="M81" i="1"/>
  <c r="M86" i="1"/>
  <c r="M87" i="1"/>
  <c r="M88" i="1"/>
  <c r="M89" i="1"/>
  <c r="M93" i="1"/>
  <c r="M94" i="1"/>
  <c r="M96" i="1"/>
  <c r="M97" i="1"/>
  <c r="M104" i="1"/>
  <c r="M105" i="1"/>
  <c r="M111" i="1"/>
  <c r="M113" i="1"/>
  <c r="M117" i="1"/>
  <c r="M119" i="1"/>
  <c r="M120" i="1"/>
  <c r="M126" i="1"/>
  <c r="M127" i="1"/>
  <c r="M129" i="1"/>
  <c r="M135" i="1"/>
  <c r="M136" i="1"/>
  <c r="M141" i="1"/>
  <c r="M142" i="1"/>
  <c r="M143" i="1"/>
  <c r="M144" i="1"/>
  <c r="M149" i="1"/>
  <c r="M150" i="1"/>
  <c r="M151" i="1"/>
  <c r="M153" i="1"/>
  <c r="V1" i="1"/>
  <c r="S65" i="1"/>
  <c r="S79" i="1"/>
  <c r="S94" i="1"/>
  <c r="S52" i="1"/>
  <c r="S139" i="1"/>
  <c r="S147" i="1"/>
  <c r="S44" i="1"/>
  <c r="S117" i="1"/>
  <c r="S111" i="1"/>
  <c r="S32" i="1"/>
  <c r="S88" i="1"/>
  <c r="S51" i="1"/>
  <c r="S128" i="1"/>
  <c r="S25" i="1"/>
  <c r="S66" i="1"/>
  <c r="S86" i="1"/>
  <c r="S81" i="1"/>
  <c r="S50" i="1"/>
  <c r="S131" i="1"/>
  <c r="S42" i="1"/>
  <c r="S137" i="1"/>
  <c r="S107" i="1"/>
  <c r="S36" i="1"/>
  <c r="S119" i="1"/>
  <c r="S35" i="1"/>
  <c r="S99" i="1"/>
  <c r="S76" i="1"/>
  <c r="S121" i="1"/>
  <c r="S16" i="1"/>
  <c r="S135" i="1"/>
  <c r="S6" i="1"/>
  <c r="S142" i="1"/>
  <c r="S77" i="1"/>
  <c r="S72" i="1"/>
  <c r="S109" i="1"/>
  <c r="S33" i="1"/>
  <c r="S15" i="1"/>
  <c r="S116" i="1"/>
  <c r="S19" i="1"/>
  <c r="S133" i="1"/>
  <c r="S40" i="1"/>
  <c r="S106" i="1"/>
  <c r="S152" i="1"/>
  <c r="S9" i="1"/>
  <c r="S3" i="1"/>
  <c r="S150" i="1"/>
  <c r="S91" i="1"/>
  <c r="S73" i="1"/>
  <c r="S103" i="1"/>
  <c r="S57" i="1"/>
  <c r="S102" i="1"/>
  <c r="S63" i="1"/>
  <c r="S55" i="1"/>
  <c r="S92" i="1"/>
  <c r="S90" i="1"/>
  <c r="S71" i="1"/>
  <c r="S64" i="1"/>
  <c r="S112" i="1"/>
  <c r="S145" i="1"/>
  <c r="S12" i="1"/>
  <c r="S123" i="1"/>
  <c r="S23" i="1"/>
  <c r="S4" i="1"/>
  <c r="S153" i="1"/>
  <c r="S104" i="1"/>
  <c r="S49" i="1"/>
  <c r="S39" i="1"/>
  <c r="S122" i="1"/>
  <c r="S149" i="1"/>
  <c r="S56" i="1"/>
  <c r="S108" i="1"/>
  <c r="S95" i="1"/>
  <c r="S67" i="1"/>
  <c r="S5" i="1"/>
  <c r="S146" i="1"/>
  <c r="S93" i="1"/>
  <c r="S69" i="1"/>
  <c r="S11" i="1"/>
  <c r="S130" i="1"/>
  <c r="S85" i="1"/>
  <c r="S58" i="1"/>
  <c r="S48" i="1"/>
  <c r="S97" i="1"/>
  <c r="S87" i="1"/>
  <c r="S61" i="1"/>
  <c r="S101" i="1"/>
  <c r="S59" i="1"/>
  <c r="S41" i="1"/>
  <c r="S118" i="1"/>
  <c r="S100" i="1"/>
  <c r="S29" i="1"/>
  <c r="S54" i="1"/>
  <c r="S75" i="1"/>
  <c r="S120" i="1"/>
  <c r="S43" i="1"/>
  <c r="S96" i="1"/>
  <c r="S68" i="1"/>
  <c r="S18" i="1"/>
  <c r="S141" i="1"/>
  <c r="S84" i="1"/>
  <c r="S80" i="1"/>
  <c r="S138" i="1"/>
  <c r="S31" i="1"/>
  <c r="S78" i="1"/>
  <c r="S89" i="1"/>
  <c r="S22" i="1"/>
  <c r="S144" i="1"/>
  <c r="S26" i="1"/>
  <c r="S114" i="1"/>
  <c r="S125" i="1"/>
  <c r="S46" i="1"/>
  <c r="S134" i="1"/>
  <c r="S10" i="1"/>
  <c r="S74" i="1"/>
  <c r="S82" i="1"/>
  <c r="S140" i="1"/>
  <c r="S27" i="1"/>
  <c r="S124" i="1"/>
  <c r="S34" i="1"/>
  <c r="S132" i="1"/>
  <c r="S28" i="1"/>
  <c r="S136" i="1"/>
  <c r="S53" i="1"/>
  <c r="S113" i="1"/>
  <c r="S60" i="1"/>
  <c r="S83" i="1"/>
  <c r="S105" i="1"/>
  <c r="S62" i="1"/>
  <c r="S115" i="1"/>
  <c r="S37" i="1"/>
  <c r="S70" i="1"/>
  <c r="S98" i="1"/>
  <c r="S8" i="1"/>
  <c r="S151" i="1"/>
  <c r="S110" i="1"/>
  <c r="S45" i="1"/>
  <c r="S13" i="1"/>
  <c r="S126" i="1"/>
  <c r="S127" i="1"/>
  <c r="S38" i="1"/>
  <c r="S14" i="1"/>
  <c r="S129" i="1"/>
  <c r="S7" i="1"/>
  <c r="S148" i="1"/>
  <c r="S24" i="1"/>
  <c r="S143" i="1"/>
  <c r="P65" i="1"/>
  <c r="P79" i="1"/>
  <c r="P94" i="1"/>
  <c r="P52" i="1"/>
  <c r="P139" i="1"/>
  <c r="P21" i="1"/>
  <c r="Q21" i="1" s="1"/>
  <c r="S21" i="1" s="1"/>
  <c r="P147" i="1"/>
  <c r="P20" i="1"/>
  <c r="Q20" i="1" s="1"/>
  <c r="S20" i="1" s="1"/>
  <c r="P44" i="1"/>
  <c r="Q44" i="1" s="1"/>
  <c r="P117" i="1"/>
  <c r="P111" i="1"/>
  <c r="P32" i="1"/>
  <c r="P88" i="1"/>
  <c r="P51" i="1"/>
  <c r="P128" i="1"/>
  <c r="P66" i="1"/>
  <c r="P86" i="1"/>
  <c r="P50" i="1"/>
  <c r="P131" i="1"/>
  <c r="P107" i="1"/>
  <c r="P36" i="1"/>
  <c r="Q36" i="1" s="1"/>
  <c r="P119" i="1"/>
  <c r="P35" i="1"/>
  <c r="Q35" i="1" s="1"/>
  <c r="P99" i="1"/>
  <c r="P76" i="1"/>
  <c r="P16" i="1"/>
  <c r="Q16" i="1" s="1"/>
  <c r="P135" i="1"/>
  <c r="P6" i="1"/>
  <c r="Q6" i="1" s="1"/>
  <c r="P142" i="1"/>
  <c r="P30" i="1"/>
  <c r="P77" i="1"/>
  <c r="P72" i="1"/>
  <c r="P109" i="1"/>
  <c r="P15" i="1"/>
  <c r="P116" i="1"/>
  <c r="P19" i="1"/>
  <c r="P133" i="1"/>
  <c r="P40" i="1"/>
  <c r="Q40" i="1" s="1"/>
  <c r="P106" i="1"/>
  <c r="P152" i="1"/>
  <c r="P3" i="1"/>
  <c r="Q3" i="1" s="1"/>
  <c r="P150" i="1"/>
  <c r="P91" i="1"/>
  <c r="P103" i="1"/>
  <c r="P102" i="1"/>
  <c r="P63" i="1"/>
  <c r="P55" i="1"/>
  <c r="P92" i="1"/>
  <c r="P90" i="1"/>
  <c r="P71" i="1"/>
  <c r="P64" i="1"/>
  <c r="P112" i="1"/>
  <c r="P12" i="1"/>
  <c r="Q12" i="1" s="1"/>
  <c r="P123" i="1"/>
  <c r="P23" i="1"/>
  <c r="Q23" i="1" s="1"/>
  <c r="P4" i="1"/>
  <c r="Q4" i="1" s="1"/>
  <c r="P104" i="1"/>
  <c r="P39" i="1"/>
  <c r="Q39" i="1" s="1"/>
  <c r="P122" i="1"/>
  <c r="P149" i="1"/>
  <c r="P56" i="1"/>
  <c r="P108" i="1"/>
  <c r="P95" i="1"/>
  <c r="P67" i="1"/>
  <c r="P5" i="1"/>
  <c r="P146" i="1"/>
  <c r="P93" i="1"/>
  <c r="P69" i="1"/>
  <c r="P11" i="1"/>
  <c r="P130" i="1"/>
  <c r="P85" i="1"/>
  <c r="P58" i="1"/>
  <c r="P48" i="1"/>
  <c r="Q48" i="1" s="1"/>
  <c r="P87" i="1"/>
  <c r="P61" i="1"/>
  <c r="P101" i="1"/>
  <c r="P59" i="1"/>
  <c r="P118" i="1"/>
  <c r="P100" i="1"/>
  <c r="P29" i="1"/>
  <c r="Q29" i="1" s="1"/>
  <c r="P54" i="1"/>
  <c r="P75" i="1"/>
  <c r="P120" i="1"/>
  <c r="P43" i="1"/>
  <c r="Q43" i="1" s="1"/>
  <c r="P96" i="1"/>
  <c r="P68" i="1"/>
  <c r="P18" i="1"/>
  <c r="Q18" i="1" s="1"/>
  <c r="P141" i="1"/>
  <c r="P84" i="1"/>
  <c r="P80" i="1"/>
  <c r="P138" i="1"/>
  <c r="P31" i="1"/>
  <c r="P78" i="1"/>
  <c r="P22" i="1"/>
  <c r="Q22" i="1" s="1"/>
  <c r="P144" i="1"/>
  <c r="P26" i="1"/>
  <c r="Q26" i="1" s="1"/>
  <c r="P114" i="1"/>
  <c r="P125" i="1"/>
  <c r="P46" i="1"/>
  <c r="Q46" i="1" s="1"/>
  <c r="P134" i="1"/>
  <c r="P74" i="1"/>
  <c r="P82" i="1"/>
  <c r="P140" i="1"/>
  <c r="P27" i="1"/>
  <c r="Q27" i="1" s="1"/>
  <c r="P124" i="1"/>
  <c r="P34" i="1"/>
  <c r="Q34" i="1" s="1"/>
  <c r="P132" i="1"/>
  <c r="P47" i="1"/>
  <c r="P28" i="1"/>
  <c r="Q28" i="1" s="1"/>
  <c r="P136" i="1"/>
  <c r="P53" i="1"/>
  <c r="P60" i="1"/>
  <c r="P83" i="1"/>
  <c r="P62" i="1"/>
  <c r="P115" i="1"/>
  <c r="P37" i="1"/>
  <c r="Q37" i="1" s="1"/>
  <c r="P70" i="1"/>
  <c r="P98" i="1"/>
  <c r="P8" i="1"/>
  <c r="Q8" i="1" s="1"/>
  <c r="P151" i="1"/>
  <c r="P110" i="1"/>
  <c r="P45" i="1"/>
  <c r="Q45" i="1" s="1"/>
  <c r="P13" i="1"/>
  <c r="Q13" i="1" s="1"/>
  <c r="P126" i="1"/>
  <c r="P127" i="1"/>
  <c r="P38" i="1"/>
  <c r="Q38" i="1" s="1"/>
  <c r="P7" i="1"/>
  <c r="Q7" i="1" s="1"/>
  <c r="P148" i="1"/>
  <c r="P24" i="1"/>
  <c r="Q24" i="1" s="1"/>
  <c r="P143" i="1"/>
  <c r="M52" i="1"/>
  <c r="M139" i="1"/>
  <c r="M21" i="1"/>
  <c r="N21" i="1" s="1"/>
  <c r="M147" i="1"/>
  <c r="M20" i="1"/>
  <c r="N20" i="1" s="1"/>
  <c r="M44" i="1"/>
  <c r="N44" i="1" s="1"/>
  <c r="M51" i="1"/>
  <c r="M128" i="1"/>
  <c r="M66" i="1"/>
  <c r="M50" i="1"/>
  <c r="M131" i="1"/>
  <c r="M42" i="1"/>
  <c r="M137" i="1"/>
  <c r="M107" i="1"/>
  <c r="M36" i="1"/>
  <c r="N36" i="1" s="1"/>
  <c r="M35" i="1"/>
  <c r="N35" i="1" s="1"/>
  <c r="M99" i="1"/>
  <c r="M76" i="1"/>
  <c r="M121" i="1"/>
  <c r="M30" i="1"/>
  <c r="N30" i="1" s="1"/>
  <c r="M77" i="1"/>
  <c r="M72" i="1"/>
  <c r="M109" i="1"/>
  <c r="M116" i="1"/>
  <c r="M19" i="1"/>
  <c r="M133" i="1"/>
  <c r="M106" i="1"/>
  <c r="M152" i="1"/>
  <c r="M3" i="1"/>
  <c r="N3" i="1" s="1"/>
  <c r="M91" i="1"/>
  <c r="M103" i="1"/>
  <c r="M102" i="1"/>
  <c r="M92" i="1"/>
  <c r="M90" i="1"/>
  <c r="M112" i="1"/>
  <c r="M145" i="1"/>
  <c r="M123" i="1"/>
  <c r="M4" i="1"/>
  <c r="N4" i="1" s="1"/>
  <c r="M39" i="1"/>
  <c r="N39" i="1" s="1"/>
  <c r="M122" i="1"/>
  <c r="M108" i="1"/>
  <c r="M95" i="1"/>
  <c r="M67" i="1"/>
  <c r="M5" i="1"/>
  <c r="M146" i="1"/>
  <c r="M11" i="1"/>
  <c r="N11" i="1" s="1"/>
  <c r="M130" i="1"/>
  <c r="M85" i="1"/>
  <c r="M58" i="1"/>
  <c r="M48" i="1"/>
  <c r="M101" i="1"/>
  <c r="M59" i="1"/>
  <c r="M118" i="1"/>
  <c r="M100" i="1"/>
  <c r="M75" i="1"/>
  <c r="M43" i="1"/>
  <c r="N43" i="1" s="1"/>
  <c r="M68" i="1"/>
  <c r="M18" i="1"/>
  <c r="N18" i="1" s="1"/>
  <c r="M84" i="1"/>
  <c r="M138" i="1"/>
  <c r="M78" i="1"/>
  <c r="M22" i="1"/>
  <c r="M26" i="1"/>
  <c r="N26" i="1" s="1"/>
  <c r="M114" i="1"/>
  <c r="M125" i="1"/>
  <c r="M46" i="1"/>
  <c r="N46" i="1" s="1"/>
  <c r="M134" i="1"/>
  <c r="M10" i="1"/>
  <c r="N10" i="1" s="1"/>
  <c r="M74" i="1"/>
  <c r="M82" i="1"/>
  <c r="M140" i="1"/>
  <c r="M27" i="1"/>
  <c r="N27" i="1" s="1"/>
  <c r="M124" i="1"/>
  <c r="M34" i="1"/>
  <c r="N34" i="1" s="1"/>
  <c r="M132" i="1"/>
  <c r="M47" i="1"/>
  <c r="N47" i="1" s="1"/>
  <c r="S47" i="1" s="1"/>
  <c r="M28" i="1"/>
  <c r="N28" i="1" s="1"/>
  <c r="M53" i="1"/>
  <c r="M60" i="1"/>
  <c r="M83" i="1"/>
  <c r="M62" i="1"/>
  <c r="M115" i="1"/>
  <c r="M98" i="1"/>
  <c r="M110" i="1"/>
  <c r="M45" i="1"/>
  <c r="N45" i="1" s="1"/>
  <c r="M13" i="1"/>
  <c r="N13" i="1" s="1"/>
  <c r="M7" i="1"/>
  <c r="N7" i="1" s="1"/>
  <c r="M148" i="1"/>
  <c r="M24" i="1"/>
  <c r="N24" i="1" s="1"/>
  <c r="V4" i="1" l="1"/>
</calcChain>
</file>

<file path=xl/sharedStrings.xml><?xml version="1.0" encoding="utf-8"?>
<sst xmlns="http://schemas.openxmlformats.org/spreadsheetml/2006/main" count="366" uniqueCount="103">
  <si>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</si>
  <si>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</si>
  <si>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</si>
  <si>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</si>
  <si>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</si>
  <si>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</si>
  <si>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</si>
  <si>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</si>
  <si>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</si>
  <si>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</si>
  <si>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</si>
  <si>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Elias Lindholm</t>
  </si>
  <si>
    <t>Over</t>
  </si>
  <si>
    <t>Under</t>
  </si>
  <si>
    <t>Brad Marchand</t>
  </si>
  <si>
    <t>Charlie McAvoy</t>
  </si>
  <si>
    <t>Pavel Zacha</t>
  </si>
  <si>
    <t>David Pastrnak</t>
  </si>
  <si>
    <t>Yegor Chinakhov</t>
  </si>
  <si>
    <t>Adam Fantilli</t>
  </si>
  <si>
    <t>Kirill Marchenko</t>
  </si>
  <si>
    <t>Sean Monahan</t>
  </si>
  <si>
    <t>Zach Werenski</t>
  </si>
  <si>
    <t>Dmitri Voronkov</t>
  </si>
  <si>
    <t>Morgan Geekie</t>
  </si>
  <si>
    <t>Cole Sillinger</t>
  </si>
  <si>
    <t>Charlie Coyle</t>
  </si>
  <si>
    <t>Tyson Foerster</t>
  </si>
  <si>
    <t>Sean Couturier</t>
  </si>
  <si>
    <t>Travis Konecny</t>
  </si>
  <si>
    <t>Owen Tippett</t>
  </si>
  <si>
    <t>Artturi Lehkonen</t>
  </si>
  <si>
    <t>Cale Makar</t>
  </si>
  <si>
    <t>Mikko Rantanen</t>
  </si>
  <si>
    <t>Valeri Nichushkin</t>
  </si>
  <si>
    <t>Devon Toews</t>
  </si>
  <si>
    <t>Travis Sanheim</t>
  </si>
  <si>
    <t>Nathan MacKinnon</t>
  </si>
  <si>
    <t>Casey Mittelstadt</t>
  </si>
  <si>
    <t>Joel Farabee</t>
  </si>
  <si>
    <t>Leon Draisaitl</t>
  </si>
  <si>
    <t>Connor McDavid</t>
  </si>
  <si>
    <t>Brendan Gallagher</t>
  </si>
  <si>
    <t>Ryan Nugent-Hopkins</t>
  </si>
  <si>
    <t>Juraj Slafkovsky</t>
  </si>
  <si>
    <t>Mattias Ekholm</t>
  </si>
  <si>
    <t>Jeff Skinner</t>
  </si>
  <si>
    <t>Nick Suzuki</t>
  </si>
  <si>
    <t>Cole Caufield</t>
  </si>
  <si>
    <t>Evan Bouchard</t>
  </si>
  <si>
    <t>Zach Hyman</t>
  </si>
  <si>
    <t>Mike Matheson</t>
  </si>
  <si>
    <t>Jason Robertson</t>
  </si>
  <si>
    <t>Alex Killorn</t>
  </si>
  <si>
    <t>Jamie Benn</t>
  </si>
  <si>
    <t>Tyler Seguin</t>
  </si>
  <si>
    <t>Thomas Harley</t>
  </si>
  <si>
    <t>Mason Marchment</t>
  </si>
  <si>
    <t>Wyatt Johnston</t>
  </si>
  <si>
    <t>Matt Duchene</t>
  </si>
  <si>
    <t>Troy Terry</t>
  </si>
  <si>
    <t>Trevor Zegras</t>
  </si>
  <si>
    <t>Frank Vatrano</t>
  </si>
  <si>
    <t>Leo Carlsson</t>
  </si>
  <si>
    <t>Roope Hintz</t>
  </si>
  <si>
    <t>Miro Heiskanen</t>
  </si>
  <si>
    <t>Evgenii Dadonov</t>
  </si>
  <si>
    <t>Clayton Keller</t>
  </si>
  <si>
    <t>Jakob Chychrun</t>
  </si>
  <si>
    <t>Pierre-Luc Dubois</t>
  </si>
  <si>
    <t>Logan Cooley</t>
  </si>
  <si>
    <t>Connor McMichael</t>
  </si>
  <si>
    <t>Dylan Strome</t>
  </si>
  <si>
    <t>Mikhail Sergachev</t>
  </si>
  <si>
    <t>Dylan Guenther</t>
  </si>
  <si>
    <t>Nick Schmaltz</t>
  </si>
  <si>
    <t>Alex Ovechkin</t>
  </si>
  <si>
    <t>John Carlson</t>
  </si>
  <si>
    <t>Tom Wilson</t>
  </si>
  <si>
    <t>Moritz Seider</t>
  </si>
  <si>
    <t>Mikael Granlund</t>
  </si>
  <si>
    <t>Lucas Raymond</t>
  </si>
  <si>
    <t>Patrick Kane</t>
  </si>
  <si>
    <t>Fabian Zetterlund</t>
  </si>
  <si>
    <t>Alex DeBrincat</t>
  </si>
  <si>
    <t>William Eklund</t>
  </si>
  <si>
    <t>Vladimir Tarasenko</t>
  </si>
  <si>
    <t>Tyler Toffoli</t>
  </si>
  <si>
    <t>Dylan Larkin</t>
  </si>
  <si>
    <t>365 implied</t>
  </si>
  <si>
    <t>kelly/4 365</t>
  </si>
  <si>
    <t>bet</t>
  </si>
  <si>
    <t>99/pinn implied</t>
  </si>
  <si>
    <t>kelly/4 99</t>
  </si>
  <si>
    <t>bet99/pinn</t>
  </si>
  <si>
    <t>W/L:</t>
  </si>
  <si>
    <t>del$</t>
  </si>
  <si>
    <t>bankroll</t>
  </si>
  <si>
    <t>wagered:</t>
  </si>
  <si>
    <t>delta:</t>
  </si>
  <si>
    <t>-</t>
  </si>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</sst>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left"/>
    </xf>
    <xf numFmtId="10" fontId="0" fillId="0" borderId="0" xfId="0" applyNumberFormat="1"/>
    <xf numFmtId="44" fontId="0" fillId="0" borderId="0" xfId="0" applyNumberFormat="1"/>
    <xf numFmtId="44" fontId="0" fillId="33" borderId="0" xfId="1" applyFont="1" applyFill="1"/>
    <xf numFmtId="44" fontId="0" fillId="33" borderId="0" xfId="0" applyNumberFormat="1" applyFill="1"/>
    <xf numFmtId="44" fontId="0" fillId="34" borderId="0" xfId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3"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153" totalsRowShown="0">
  <autoFilter ref="A1:S153" xr:uid="{00000000-0009-0000-0100-000001000000}"/>
  <sortState xmlns:xlrd2="http://schemas.microsoft.com/office/spreadsheetml/2017/richdata2" ref="A2:S153">
    <sortCondition descending="1" ref="K1:K153"/>
  </sortState>
  <tableColumns count="19">
    <tableColumn id="1" xr3:uid="{00000000-0010-0000-0000-000001000000}" name="id"/>
    <tableColumn id="2" xr3:uid="{00000000-0010-0000-0000-000002000000}" name="player_name"/>
    <tableColumn id="3" xr3:uid="{00000000-0010-0000-0000-000003000000}" name="date" dataDxfId="12"/>
    <tableColumn id="4" xr3:uid="{00000000-0010-0000-0000-000004000000}" name="over_under"/>
    <tableColumn id="5" xr3:uid="{00000000-0010-0000-0000-000005000000}" name="points"/>
    <tableColumn id="6" xr3:uid="{00000000-0010-0000-0000-000006000000}" name="implied_likelihood" dataDxfId="11" dataCellStyle="Percent"/>
    <tableColumn id="7" xr3:uid="{00000000-0010-0000-0000-000007000000}" name="normal_likelihood" dataDxfId="10" dataCellStyle="Percent"/>
    <tableColumn id="8" xr3:uid="{00000000-0010-0000-0000-000008000000}" name="poisson_likelihood" dataDxfId="9" dataCellStyle="Percent"/>
    <tableColumn id="9" xr3:uid="{00000000-0010-0000-0000-000009000000}" name="raw_data_likelihood" dataDxfId="8" dataCellStyle="Percent"/>
    <tableColumn id="10" xr3:uid="{00000000-0010-0000-0000-00000A000000}" name="weighted_likelihood" dataDxfId="7" dataCellStyle="Percent"/>
    <tableColumn id="11" xr3:uid="{00000000-0010-0000-0000-00000B000000}" name="poisson_kelly" dataDxfId="6" dataCellStyle="Percent"/>
    <tableColumn id="12" xr3:uid="{00000000-0010-0000-0000-00000C000000}" name="365 implied" dataDxfId="5" dataCellStyle="Percent">
      <calculatedColumnFormula>1/1.58</calculatedColumnFormula>
    </tableColumn>
    <tableColumn id="13" xr3:uid="{00000000-0010-0000-0000-00000D000000}" name="kelly/4 365" dataDxfId="4" dataCellStyle="Percent">
      <calculatedColumnFormula>(Table1[[#This Row],[poisson_likelihood]] - (1-Table1[[#This Row],[poisson_likelihood]])/(1/Table1[[#This Row],[365 implied]]-1))/4</calculatedColumnFormula>
    </tableColumn>
    <tableColumn id="14" xr3:uid="{00000000-0010-0000-0000-00000E000000}" name="bet" dataDxfId="3">
      <calculatedColumnFormula>Table1[[#This Row],[kelly/4 365]]*0.8*$U$2</calculatedColumnFormula>
    </tableColumn>
    <tableColumn id="15" xr3:uid="{00000000-0010-0000-0000-00000F000000}" name="99/pinn implied" dataDxfId="2" dataCellStyle="Percent">
      <calculatedColumnFormula>1/1.6</calculatedColumnFormula>
    </tableColumn>
    <tableColumn id="16" xr3:uid="{00000000-0010-0000-0000-000010000000}" name="kelly/4 99" dataDxfId="1" dataCellStyle="Percent">
      <calculatedColumnFormula>(Table1[[#This Row],[poisson_likelihood]] - (1-Table1[[#This Row],[poisson_likelihood]])/(1/Table1[[#This Row],[99/pinn implied]]-1))/4</calculatedColumnFormula>
    </tableColumn>
    <tableColumn id="17" xr3:uid="{00000000-0010-0000-0000-000011000000}" name="bet99/pinn" dataDxfId="0" dataCellStyle="Currency">
      <calculatedColumnFormula>Table1[[#This Row],[kelly/4 99]]*0.8*$U$2</calculatedColumnFormula>
    </tableColumn>
    <tableColumn id="18" xr3:uid="{00000000-0010-0000-0000-000012000000}" name="W/L:"/>
    <tableColumn id="19" xr3:uid="{00000000-0010-0000-0000-000013000000}" name="del$" dataCellStyle="Currency">
      <calculatedColumnFormula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3"/>
  <sheetViews>
    <sheetView tabSelected="1" topLeftCell="G1" workbookViewId="0">
      <selection activeCell="U1" sqref="U1:Y4"/>
    </sheetView>
  </sheetViews>
  <sheetFormatPr baseColWidth="10" defaultRowHeight="16" x14ac:dyDescent="0.2"/>
  <cols>
    <col min="2" max="2" width="14.33203125" customWidth="1"/>
    <col min="4" max="4" width="12.83203125" customWidth="1"/>
    <col min="5" max="5" width="8.6640625" bestFit="1" customWidth="1"/>
    <col min="6" max="6" width="14.1640625" customWidth="1"/>
    <col min="7" max="7" width="14.5" customWidth="1"/>
    <col min="8" max="8" width="15" customWidth="1"/>
    <col min="9" max="9" width="16.6640625" customWidth="1"/>
    <col min="10" max="10" width="17" customWidth="1"/>
    <col min="11" max="11" width="13.1640625" customWidth="1"/>
    <col min="14" max="14" width="9" bestFit="1" customWidth="1"/>
    <col min="15" max="16" width="10.83203125" style="2"/>
    <col min="17" max="17" width="10.83203125" style="3"/>
    <col min="18" max="18" width="7.6640625" bestFit="1" customWidth="1"/>
    <col min="19" max="19" width="9.6640625" style="3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89</v>
      </c>
      <c r="M1" s="2" t="s">
        <v>90</v>
      </c>
      <c r="N1" s="3" t="s">
        <v>91</v>
      </c>
      <c r="O1" s="2" t="s">
        <v>92</v>
      </c>
      <c r="P1" s="2" t="s">
        <v>93</v>
      </c>
      <c r="Q1" s="3" t="s">
        <v>94</v>
      </c>
      <c r="R1" s="4" t="s">
        <v>95</v>
      </c>
      <c r="S1" s="3" t="s">
        <v>96</v>
      </c>
      <c r="U1" t="s">
        <v>97</v>
      </c>
      <c r="V1" s="5">
        <f>SUM(K2:K33)</f>
        <v>1.0852428951872291</v>
      </c>
      <c r="X1" t="s">
        <v>98</v>
      </c>
      <c r="Y1" s="6">
        <f>SUM(Q2:Q6,N7:N10,Q11,Q15,N12:N14,N16:N22,Q23,N24:N29,N33:N34,N36,N38:N39,N41:N44,N46,Q47,15)</f>
        <v>1765.4207623264974</v>
      </c>
    </row>
    <row r="2" spans="1:25" x14ac:dyDescent="0.2">
      <c r="A2">
        <v>6668</v>
      </c>
      <c r="B2" t="s">
        <v>49</v>
      </c>
      <c r="C2" s="1">
        <v>45614</v>
      </c>
      <c r="D2" t="s">
        <v>13</v>
      </c>
      <c r="E2">
        <v>3.5</v>
      </c>
      <c r="F2" s="2">
        <v>0.61728395061728303</v>
      </c>
      <c r="G2" s="2">
        <v>0.69808388443403602</v>
      </c>
      <c r="H2" s="2">
        <v>0.73845648063343095</v>
      </c>
      <c r="I2" s="2">
        <v>0.81215469613259605</v>
      </c>
      <c r="J2" s="2">
        <v>0.77922077922077904</v>
      </c>
      <c r="K2" s="2">
        <v>7.9153023639580405E-2</v>
      </c>
      <c r="L2" s="2">
        <f t="shared" ref="L2" si="0">1/1.58</f>
        <v>0.63291139240506322</v>
      </c>
      <c r="M2" s="2">
        <f>(Table1[[#This Row],[poisson_likelihood]] - (1-Table1[[#This Row],[poisson_likelihood]])/(1/Table1[[#This Row],[365 implied]]-1))/4</f>
        <v>7.1879844569319368E-2</v>
      </c>
      <c r="N2" s="6">
        <f>Table1[[#This Row],[kelly/4 365]]*0.8*$U$2</f>
        <v>115.00775131091099</v>
      </c>
      <c r="O2" s="2">
        <f t="shared" ref="O2" si="1">1/1.6</f>
        <v>0.625</v>
      </c>
      <c r="P2" s="2">
        <f>(Table1[[#This Row],[poisson_likelihood]] - (1-Table1[[#This Row],[poisson_likelihood]])/(1/Table1[[#This Row],[99/pinn implied]]-1))/4</f>
        <v>7.5637653755620649E-2</v>
      </c>
      <c r="Q2" s="7">
        <f>Table1[[#This Row],[kelly/4 99]]*0.8*$U$2</f>
        <v>121.02024600899304</v>
      </c>
      <c r="R2" t="s">
        <v>102</v>
      </c>
      <c r="S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72.612147605395847</v>
      </c>
      <c r="U2" s="3">
        <v>2000</v>
      </c>
    </row>
    <row r="3" spans="1:25" x14ac:dyDescent="0.2">
      <c r="A3">
        <v>6643</v>
      </c>
      <c r="B3" t="s">
        <v>37</v>
      </c>
      <c r="C3" s="1">
        <v>45614</v>
      </c>
      <c r="D3" t="s">
        <v>12</v>
      </c>
      <c r="E3">
        <v>3.5</v>
      </c>
      <c r="F3" s="2">
        <v>0.55555555555555503</v>
      </c>
      <c r="G3" s="2">
        <v>0.67749528839070206</v>
      </c>
      <c r="H3" s="2">
        <v>0.68011289730542102</v>
      </c>
      <c r="I3" s="2">
        <v>0.67836257309941494</v>
      </c>
      <c r="J3" s="2">
        <v>0.66555183946488194</v>
      </c>
      <c r="K3" s="2">
        <v>7.0063504734299495E-2</v>
      </c>
      <c r="L3" s="2">
        <f>1/1.8</f>
        <v>0.55555555555555558</v>
      </c>
      <c r="M3" s="2">
        <f>(Table1[[#This Row],[poisson_likelihood]] - (1-Table1[[#This Row],[poisson_likelihood]])/(1/Table1[[#This Row],[365 implied]]-1))/4</f>
        <v>7.0063504734299301E-2</v>
      </c>
      <c r="N3" s="6">
        <f>Table1[[#This Row],[kelly/4 365]]*0.8*$U$2</f>
        <v>112.10160757487888</v>
      </c>
      <c r="O3" s="2">
        <f>1/1.83</f>
        <v>0.54644808743169393</v>
      </c>
      <c r="P3" s="2">
        <f>(Table1[[#This Row],[poisson_likelihood]] - (1-Table1[[#This Row],[poisson_likelihood]])/(1/Table1[[#This Row],[99/pinn implied]]-1))/4</f>
        <v>7.3676687370156799E-2</v>
      </c>
      <c r="Q3" s="7">
        <f>Table1[[#This Row],[kelly/4 99]]*0.8*$U$2</f>
        <v>117.88269979225089</v>
      </c>
      <c r="R3" t="s">
        <v>101</v>
      </c>
      <c r="S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-117.88269979225089</v>
      </c>
    </row>
    <row r="4" spans="1:25" x14ac:dyDescent="0.2">
      <c r="A4">
        <v>6661</v>
      </c>
      <c r="B4" t="s">
        <v>46</v>
      </c>
      <c r="C4" s="1">
        <v>45614</v>
      </c>
      <c r="D4" t="s">
        <v>12</v>
      </c>
      <c r="E4">
        <v>2.5</v>
      </c>
      <c r="F4" s="2">
        <v>0.413223140495867</v>
      </c>
      <c r="G4" s="2">
        <v>0.60430926305346799</v>
      </c>
      <c r="H4" s="2">
        <v>0.57376162535097697</v>
      </c>
      <c r="I4" s="2">
        <v>0.573099415204678</v>
      </c>
      <c r="J4" s="2">
        <v>0.57388316151202701</v>
      </c>
      <c r="K4" s="2">
        <v>6.83984389699588E-2</v>
      </c>
      <c r="L4" s="2">
        <f>1/2.35</f>
        <v>0.42553191489361702</v>
      </c>
      <c r="M4" s="2">
        <f>(Table1[[#This Row],[poisson_likelihood]] - (1-Table1[[#This Row],[poisson_likelihood]])/(1/Table1[[#This Row],[365 implied]]-1))/4</f>
        <v>6.4507373995332573E-2</v>
      </c>
      <c r="N4" s="6">
        <f>Table1[[#This Row],[kelly/4 365]]*0.8*$U$2</f>
        <v>103.21179839253213</v>
      </c>
      <c r="O4" s="2">
        <f>1/2.35</f>
        <v>0.42553191489361702</v>
      </c>
      <c r="P4" s="2">
        <f>(Table1[[#This Row],[poisson_likelihood]] - (1-Table1[[#This Row],[poisson_likelihood]])/(1/Table1[[#This Row],[99/pinn implied]]-1))/4</f>
        <v>6.4507373995332573E-2</v>
      </c>
      <c r="Q4" s="7">
        <f>Table1[[#This Row],[kelly/4 99]]*0.8*$U$2</f>
        <v>103.21179839253213</v>
      </c>
      <c r="R4" t="s">
        <v>102</v>
      </c>
      <c r="S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139.33592782991838</v>
      </c>
      <c r="U4" t="s">
        <v>99</v>
      </c>
      <c r="V4" s="6">
        <f>SUM(S:S)</f>
        <v>-121.60447937836042</v>
      </c>
    </row>
    <row r="5" spans="1:25" x14ac:dyDescent="0.2">
      <c r="A5">
        <v>6673</v>
      </c>
      <c r="B5" t="s">
        <v>52</v>
      </c>
      <c r="C5" s="1">
        <v>45614</v>
      </c>
      <c r="D5" t="s">
        <v>12</v>
      </c>
      <c r="E5">
        <v>2.5</v>
      </c>
      <c r="F5" s="2">
        <v>0.59523809523809501</v>
      </c>
      <c r="G5" s="2">
        <v>0.71685759642415303</v>
      </c>
      <c r="H5" s="2">
        <v>0.70257880750973301</v>
      </c>
      <c r="I5" s="2">
        <v>0.57777777777777695</v>
      </c>
      <c r="J5" s="2">
        <v>0.52960526315789402</v>
      </c>
      <c r="K5" s="2">
        <v>6.6298675226600198E-2</v>
      </c>
      <c r="L5" s="2">
        <f>1/1.64</f>
        <v>0.6097560975609756</v>
      </c>
      <c r="M5" s="2">
        <f>(Table1[[#This Row],[poisson_likelihood]] - (1-Table1[[#This Row],[poisson_likelihood]])/(1/Table1[[#This Row],[365 implied]]-1))/4</f>
        <v>5.9464548560922731E-2</v>
      </c>
      <c r="N5" s="6">
        <f>Table1[[#This Row],[kelly/4 365]]*0.8*$U$2</f>
        <v>95.143277697476378</v>
      </c>
      <c r="O5" s="2">
        <f>1/1.7</f>
        <v>0.58823529411764708</v>
      </c>
      <c r="P5" s="2">
        <f>(Table1[[#This Row],[poisson_likelihood]] - (1-Table1[[#This Row],[poisson_likelihood]])/(1/Table1[[#This Row],[99/pinn implied]]-1))/4</f>
        <v>6.9422847416623606E-2</v>
      </c>
      <c r="Q5" s="7">
        <f>Table1[[#This Row],[kelly/4 99]]*0.8*$U$2</f>
        <v>111.07655586659777</v>
      </c>
      <c r="R5" t="s">
        <v>101</v>
      </c>
      <c r="S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-111.07655586659777</v>
      </c>
    </row>
    <row r="6" spans="1:25" x14ac:dyDescent="0.2">
      <c r="A6">
        <v>6628</v>
      </c>
      <c r="B6" t="s">
        <v>29</v>
      </c>
      <c r="C6" s="1">
        <v>45614</v>
      </c>
      <c r="D6" t="s">
        <v>13</v>
      </c>
      <c r="E6">
        <v>3.5</v>
      </c>
      <c r="F6" s="2">
        <v>0.61728395061728303</v>
      </c>
      <c r="G6" s="2">
        <v>0.67957412164046405</v>
      </c>
      <c r="H6" s="2">
        <v>0.71531296299274305</v>
      </c>
      <c r="I6" s="2">
        <v>0.60389610389610304</v>
      </c>
      <c r="J6" s="2">
        <v>0.60869565217391297</v>
      </c>
      <c r="K6" s="2">
        <v>6.4035080664614497E-2</v>
      </c>
      <c r="L6" s="2">
        <f>1/1.58</f>
        <v>0.63291139240506322</v>
      </c>
      <c r="M6" s="2">
        <f>(Table1[[#This Row],[poisson_likelihood]] - (1-Table1[[#This Row],[poisson_likelihood]])/(1/Table1[[#This Row],[365 implied]]-1))/4</f>
        <v>5.6118311003678478E-2</v>
      </c>
      <c r="N6" s="6">
        <f>Table1[[#This Row],[kelly/4 365]]*0.8*$U$2</f>
        <v>89.789297605885565</v>
      </c>
      <c r="O6" s="2">
        <f>1/1.6</f>
        <v>0.625</v>
      </c>
      <c r="P6" s="2">
        <f>(Table1[[#This Row],[poisson_likelihood]] - (1-Table1[[#This Row],[poisson_likelihood]])/(1/Table1[[#This Row],[99/pinn implied]]-1))/4</f>
        <v>6.0208641995162057E-2</v>
      </c>
      <c r="Q6" s="7">
        <f>Table1[[#This Row],[kelly/4 99]]*0.8*$U$2</f>
        <v>96.333827192259307</v>
      </c>
      <c r="R6" t="s">
        <v>102</v>
      </c>
      <c r="S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57.800296315355595</v>
      </c>
    </row>
    <row r="7" spans="1:25" x14ac:dyDescent="0.2">
      <c r="A7">
        <v>6743</v>
      </c>
      <c r="B7" t="s">
        <v>87</v>
      </c>
      <c r="C7" s="1">
        <v>45614</v>
      </c>
      <c r="D7" t="s">
        <v>12</v>
      </c>
      <c r="E7">
        <v>2.5</v>
      </c>
      <c r="F7" s="2">
        <v>0.54644808743169304</v>
      </c>
      <c r="G7" s="2">
        <v>0.68015457701640603</v>
      </c>
      <c r="H7" s="2">
        <v>0.657256966039652</v>
      </c>
      <c r="I7" s="2">
        <v>0.57222222222222197</v>
      </c>
      <c r="J7" s="2">
        <v>0.54071661237784996</v>
      </c>
      <c r="K7" s="2">
        <v>6.1078387907398897E-2</v>
      </c>
      <c r="L7" s="2">
        <f>1/1.83</f>
        <v>0.54644808743169393</v>
      </c>
      <c r="M7" s="2">
        <f>(Table1[[#This Row],[poisson_likelihood]] - (1-Table1[[#This Row],[poisson_likelihood]])/(1/Table1[[#This Row],[365 implied]]-1))/4</f>
        <v>6.1078387907398585E-2</v>
      </c>
      <c r="N7" s="8">
        <f>Table1[[#This Row],[kelly/4 365]]*0.8*$U$2</f>
        <v>97.725420651837737</v>
      </c>
      <c r="O7" s="2">
        <f>Table1[[#This Row],[365 implied]]</f>
        <v>0.54644808743169393</v>
      </c>
      <c r="P7" s="2">
        <f>(Table1[[#This Row],[poisson_likelihood]] - (1-Table1[[#This Row],[poisson_likelihood]])/(1/Table1[[#This Row],[99/pinn implied]]-1))/4</f>
        <v>6.1078387907398585E-2</v>
      </c>
      <c r="Q7" s="3">
        <f>Table1[[#This Row],[kelly/4 99]]*0.8*$U$2</f>
        <v>97.725420651837737</v>
      </c>
      <c r="R7" t="s">
        <v>102</v>
      </c>
      <c r="S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81.11209914102534</v>
      </c>
    </row>
    <row r="8" spans="1:25" x14ac:dyDescent="0.2">
      <c r="A8">
        <v>6733</v>
      </c>
      <c r="B8" t="s">
        <v>82</v>
      </c>
      <c r="C8" s="1">
        <v>45614</v>
      </c>
      <c r="D8" t="s">
        <v>12</v>
      </c>
      <c r="E8">
        <v>2.5</v>
      </c>
      <c r="F8" s="2">
        <v>0.51020408163265296</v>
      </c>
      <c r="G8" s="2">
        <v>0.65609214936892701</v>
      </c>
      <c r="H8" s="2">
        <v>0.61967983792529002</v>
      </c>
      <c r="I8" s="2">
        <v>0.54285714285714204</v>
      </c>
      <c r="J8" s="2">
        <v>0.50427350427350404</v>
      </c>
      <c r="K8" s="2">
        <v>5.5878250607700103E-2</v>
      </c>
      <c r="L8" s="2">
        <f>1/1.95</f>
        <v>0.51282051282051289</v>
      </c>
      <c r="M8" s="2">
        <f>(Table1[[#This Row],[poisson_likelihood]] - (1-Table1[[#This Row],[poisson_likelihood]])/(1/Table1[[#This Row],[365 implied]]-1))/4</f>
        <v>5.4835706303767218E-2</v>
      </c>
      <c r="N8" s="8">
        <f>Table1[[#This Row],[kelly/4 365]]*0.8*$U$2</f>
        <v>87.737130086027562</v>
      </c>
      <c r="O8" s="2">
        <f>Table1[[#This Row],[365 implied]]</f>
        <v>0.51282051282051289</v>
      </c>
      <c r="P8" s="2">
        <f>(Table1[[#This Row],[poisson_likelihood]] - (1-Table1[[#This Row],[poisson_likelihood]])/(1/Table1[[#This Row],[99/pinn implied]]-1))/4</f>
        <v>5.4835706303767218E-2</v>
      </c>
      <c r="Q8" s="3">
        <f>Table1[[#This Row],[kelly/4 99]]*0.8*$U$2</f>
        <v>87.737130086027562</v>
      </c>
      <c r="R8" t="s">
        <v>102</v>
      </c>
      <c r="S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83.350273581726171</v>
      </c>
    </row>
    <row r="9" spans="1:25" x14ac:dyDescent="0.2">
      <c r="A9">
        <v>6642</v>
      </c>
      <c r="B9" t="s">
        <v>36</v>
      </c>
      <c r="C9" s="1">
        <v>45614</v>
      </c>
      <c r="D9" t="s">
        <v>13</v>
      </c>
      <c r="E9">
        <v>1.5</v>
      </c>
      <c r="F9" s="2">
        <v>0.434782608695652</v>
      </c>
      <c r="G9" s="2">
        <v>0.48461226322291201</v>
      </c>
      <c r="H9" s="2">
        <v>0.54023758263174404</v>
      </c>
      <c r="I9" s="2">
        <v>0.49444444444444402</v>
      </c>
      <c r="J9" s="2">
        <v>0.449511400651465</v>
      </c>
      <c r="K9" s="2">
        <v>4.66435461640409E-2</v>
      </c>
      <c r="L9" s="2">
        <f>1/2.35</f>
        <v>0.42553191489361702</v>
      </c>
      <c r="M9" s="2">
        <f>(Table1[[#This Row],[poisson_likelihood]] - (1-Table1[[#This Row],[poisson_likelihood]])/(1/Table1[[#This Row],[365 implied]]-1))/4</f>
        <v>4.9918207256407138E-2</v>
      </c>
      <c r="N9" s="8">
        <f>Table1[[#This Row],[kelly/4 365]]*0.8*$U$2</f>
        <v>79.869131610251429</v>
      </c>
      <c r="O9" s="2">
        <f>1/2.3</f>
        <v>0.43478260869565222</v>
      </c>
      <c r="P9" s="2">
        <f>(Table1[[#This Row],[poisson_likelihood]] - (1-Table1[[#This Row],[poisson_likelihood]])/(1/Table1[[#This Row],[99/pinn implied]]-1))/4</f>
        <v>4.6643546164040622E-2</v>
      </c>
      <c r="Q9" s="3">
        <f>Table1[[#This Row],[kelly/4 99]]*0.8*$U$2</f>
        <v>74.629673862464998</v>
      </c>
      <c r="R9" t="s">
        <v>101</v>
      </c>
      <c r="S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-79.869131610251429</v>
      </c>
    </row>
    <row r="10" spans="1:25" x14ac:dyDescent="0.2">
      <c r="A10">
        <v>6712</v>
      </c>
      <c r="B10" t="s">
        <v>71</v>
      </c>
      <c r="C10" s="1">
        <v>45614</v>
      </c>
      <c r="D10" t="s">
        <v>13</v>
      </c>
      <c r="E10">
        <v>2.5</v>
      </c>
      <c r="F10" s="2">
        <v>0.60606060606060597</v>
      </c>
      <c r="G10" s="2">
        <v>0.60641909914102299</v>
      </c>
      <c r="H10" s="2">
        <v>0.67168873484227198</v>
      </c>
      <c r="I10" s="2">
        <v>0.74757281553398003</v>
      </c>
      <c r="J10" s="2">
        <v>0.71806167400881005</v>
      </c>
      <c r="K10" s="2">
        <v>4.16486201883653E-2</v>
      </c>
      <c r="L10" s="2">
        <f>1/1.62</f>
        <v>0.61728395061728392</v>
      </c>
      <c r="M10" s="2">
        <f>(Table1[[#This Row],[poisson_likelihood]] - (1-Table1[[#This Row],[poisson_likelihood]])/(1/Table1[[#This Row],[365 implied]]-1))/4</f>
        <v>3.553860905019382E-2</v>
      </c>
      <c r="N10" s="8">
        <f>Table1[[#This Row],[kelly/4 365]]*0.8*$U$2</f>
        <v>56.861774480310117</v>
      </c>
      <c r="O10" s="2">
        <f>Table1[[#This Row],[365 implied]]</f>
        <v>0.61728395061728392</v>
      </c>
      <c r="P10" s="2">
        <f>(Table1[[#This Row],[poisson_likelihood]] - (1-Table1[[#This Row],[poisson_likelihood]])/(1/Table1[[#This Row],[99/pinn implied]]-1))/4</f>
        <v>3.553860905019382E-2</v>
      </c>
      <c r="Q10" s="3">
        <f>Table1[[#This Row],[kelly/4 99]]*0.8*$U$2</f>
        <v>56.861774480310117</v>
      </c>
      <c r="R10" t="s">
        <v>102</v>
      </c>
      <c r="S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35.254300177792274</v>
      </c>
    </row>
    <row r="11" spans="1:25" x14ac:dyDescent="0.2">
      <c r="A11">
        <v>6677</v>
      </c>
      <c r="B11" t="s">
        <v>54</v>
      </c>
      <c r="C11" s="1">
        <v>45614</v>
      </c>
      <c r="D11" t="s">
        <v>12</v>
      </c>
      <c r="E11">
        <v>1.5</v>
      </c>
      <c r="F11" s="2">
        <v>0.64516129032257996</v>
      </c>
      <c r="G11" s="2">
        <v>0.70913673999663096</v>
      </c>
      <c r="H11" s="2">
        <v>0.70238024074356198</v>
      </c>
      <c r="I11" s="2">
        <v>0.58333333333333304</v>
      </c>
      <c r="J11" s="2">
        <v>0.5625</v>
      </c>
      <c r="K11" s="2">
        <v>4.0313351432964301E-2</v>
      </c>
      <c r="L11" s="2">
        <f>1/1.52</f>
        <v>0.65789473684210531</v>
      </c>
      <c r="M11" s="2">
        <f>(Table1[[#This Row],[poisson_likelihood]] - (1-Table1[[#This Row],[poisson_likelihood]])/(1/Table1[[#This Row],[365 implied]]-1))/4</f>
        <v>3.2508637466449081E-2</v>
      </c>
      <c r="N11" s="6">
        <f>Table1[[#This Row],[kelly/4 365]]*0.8*$U$2</f>
        <v>52.013819946318534</v>
      </c>
      <c r="O11" s="2">
        <f>1/1.55</f>
        <v>0.64516129032258063</v>
      </c>
      <c r="P11" s="2">
        <f>(Table1[[#This Row],[poisson_likelihood]] - (1-Table1[[#This Row],[poisson_likelihood]])/(1/Table1[[#This Row],[99/pinn implied]]-1))/4</f>
        <v>4.0313351432964134E-2</v>
      </c>
      <c r="Q11" s="7">
        <f>Table1[[#This Row],[kelly/4 99]]*0.8*$U$2</f>
        <v>64.501362292742613</v>
      </c>
      <c r="R11" t="s">
        <v>101</v>
      </c>
      <c r="S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-64.501362292742613</v>
      </c>
    </row>
    <row r="12" spans="1:25" x14ac:dyDescent="0.2">
      <c r="A12">
        <v>6658</v>
      </c>
      <c r="B12" t="s">
        <v>44</v>
      </c>
      <c r="C12" s="1">
        <v>45614</v>
      </c>
      <c r="D12" t="s">
        <v>13</v>
      </c>
      <c r="E12">
        <v>1.5</v>
      </c>
      <c r="F12" s="2">
        <v>0.51020408163265296</v>
      </c>
      <c r="G12" s="2">
        <v>0.52093380676601597</v>
      </c>
      <c r="H12" s="2">
        <v>0.58545789449253804</v>
      </c>
      <c r="I12" s="2">
        <v>0.58088235294117596</v>
      </c>
      <c r="J12" s="2">
        <v>0.57364341085271298</v>
      </c>
      <c r="K12" s="2">
        <v>3.8410800313899998E-2</v>
      </c>
      <c r="L12" s="2">
        <f>1/2</f>
        <v>0.5</v>
      </c>
      <c r="M12" s="2">
        <f>(Table1[[#This Row],[poisson_likelihood]] - (1-Table1[[#This Row],[poisson_likelihood]])/(1/Table1[[#This Row],[365 implied]]-1))/4</f>
        <v>4.2728947246269022E-2</v>
      </c>
      <c r="N12" s="8">
        <f>Table1[[#This Row],[kelly/4 365]]*0.8*$U$2</f>
        <v>68.366315594030439</v>
      </c>
      <c r="O12" s="2">
        <f>1/1.95</f>
        <v>0.51282051282051289</v>
      </c>
      <c r="P12" s="2">
        <f>(Table1[[#This Row],[poisson_likelihood]] - (1-Table1[[#This Row],[poisson_likelihood]])/(1/Table1[[#This Row],[99/pinn implied]]-1))/4</f>
        <v>3.7274445858012914E-2</v>
      </c>
      <c r="Q12" s="3">
        <f>Table1[[#This Row],[kelly/4 99]]*0.8*$U$2</f>
        <v>59.639113372820667</v>
      </c>
      <c r="R12" t="s">
        <v>101</v>
      </c>
      <c r="S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-68.366315594030439</v>
      </c>
    </row>
    <row r="13" spans="1:25" x14ac:dyDescent="0.2">
      <c r="A13">
        <v>6737</v>
      </c>
      <c r="B13" t="s">
        <v>84</v>
      </c>
      <c r="C13" s="1">
        <v>45614</v>
      </c>
      <c r="D13" t="s">
        <v>12</v>
      </c>
      <c r="E13">
        <v>2.5</v>
      </c>
      <c r="F13" s="2">
        <v>0.59523809523809501</v>
      </c>
      <c r="G13" s="2">
        <v>0.69332809470523904</v>
      </c>
      <c r="H13" s="2">
        <v>0.65629485122203601</v>
      </c>
      <c r="I13" s="2">
        <v>0.55248618784530301</v>
      </c>
      <c r="J13" s="2">
        <v>0.52768729641693801</v>
      </c>
      <c r="K13" s="2">
        <v>3.7711525754787402E-2</v>
      </c>
      <c r="L13" s="2">
        <f>1/1.66</f>
        <v>0.60240963855421692</v>
      </c>
      <c r="M13" s="2">
        <f>(Table1[[#This Row],[poisson_likelihood]] - (1-Table1[[#This Row],[poisson_likelihood]])/(1/Table1[[#This Row],[365 implied]]-1))/4</f>
        <v>3.3882368571431731E-2</v>
      </c>
      <c r="N13" s="8">
        <f>Table1[[#This Row],[kelly/4 365]]*0.8*$U$2</f>
        <v>54.211789714290774</v>
      </c>
      <c r="O13" s="2">
        <f>Table1[[#This Row],[365 implied]]</f>
        <v>0.60240963855421692</v>
      </c>
      <c r="P13" s="2">
        <f>(Table1[[#This Row],[poisson_likelihood]] - (1-Table1[[#This Row],[poisson_likelihood]])/(1/Table1[[#This Row],[99/pinn implied]]-1))/4</f>
        <v>3.3882368571431731E-2</v>
      </c>
      <c r="Q13" s="3">
        <f>Table1[[#This Row],[kelly/4 99]]*0.8*$U$2</f>
        <v>54.211789714290774</v>
      </c>
      <c r="R13" t="s">
        <v>102</v>
      </c>
      <c r="S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35.77978121143191</v>
      </c>
    </row>
    <row r="14" spans="1:25" x14ac:dyDescent="0.2">
      <c r="A14">
        <v>6741</v>
      </c>
      <c r="B14" t="s">
        <v>86</v>
      </c>
      <c r="C14" s="1">
        <v>45614</v>
      </c>
      <c r="D14" t="s">
        <v>12</v>
      </c>
      <c r="E14">
        <v>1.5</v>
      </c>
      <c r="F14" s="2">
        <v>0.63694267515923497</v>
      </c>
      <c r="G14" s="2">
        <v>0.71651107341380205</v>
      </c>
      <c r="H14" s="2">
        <v>0.69036339794130297</v>
      </c>
      <c r="I14" s="2">
        <v>0.60248447204968902</v>
      </c>
      <c r="J14" s="2">
        <v>0.58064516129032195</v>
      </c>
      <c r="K14" s="2">
        <v>3.6785322266599398E-2</v>
      </c>
      <c r="L14" s="2">
        <f>1/1.55</f>
        <v>0.64516129032258063</v>
      </c>
      <c r="M14" s="2">
        <f>(Table1[[#This Row],[poisson_likelihood]] - (1-Table1[[#This Row],[poisson_likelihood]])/(1/Table1[[#This Row],[365 implied]]-1))/4</f>
        <v>3.1846939458645279E-2</v>
      </c>
      <c r="N14" s="8">
        <f>Table1[[#This Row],[kelly/4 365]]*0.8*$U$2</f>
        <v>50.955103133832445</v>
      </c>
      <c r="O14" s="2">
        <f>Table1[[#This Row],[365 implied]]</f>
        <v>0.64516129032258063</v>
      </c>
      <c r="P14" s="2">
        <f>(Table1[[#This Row],[poisson_likelihood]] - (1-Table1[[#This Row],[poisson_likelihood]])/(1/Table1[[#This Row],[99/pinn implied]]-1))/4</f>
        <v>3.1846939458645279E-2</v>
      </c>
      <c r="Q14" s="3">
        <f>Table1[[#This Row],[kelly/4 99]]*0.8*$U$2</f>
        <v>50.955103133832445</v>
      </c>
      <c r="R14" t="s">
        <v>101</v>
      </c>
      <c r="S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-50.955103133832445</v>
      </c>
    </row>
    <row r="15" spans="1:25" x14ac:dyDescent="0.2">
      <c r="A15">
        <v>6635</v>
      </c>
      <c r="B15" t="s">
        <v>33</v>
      </c>
      <c r="C15" s="1">
        <v>45614</v>
      </c>
      <c r="D15" t="s">
        <v>12</v>
      </c>
      <c r="E15">
        <v>2.5</v>
      </c>
      <c r="F15" s="2">
        <v>0.59880239520958001</v>
      </c>
      <c r="G15" s="2">
        <v>0.66232719405224705</v>
      </c>
      <c r="H15" s="2">
        <v>0.65007074636633599</v>
      </c>
      <c r="I15" s="2">
        <v>0.63333333333333297</v>
      </c>
      <c r="J15" s="2">
        <v>0.63725490196078405</v>
      </c>
      <c r="K15" s="2">
        <v>3.1947069564097701E-2</v>
      </c>
      <c r="L15" s="2">
        <f>1/1.62</f>
        <v>0.61728395061728392</v>
      </c>
      <c r="M15" s="2">
        <f>(Table1[[#This Row],[poisson_likelihood]] - (1-Table1[[#This Row],[poisson_likelihood]])/(1/Table1[[#This Row],[365 implied]]-1))/4</f>
        <v>2.1417181094138871E-2</v>
      </c>
      <c r="N15" s="6">
        <f>Table1[[#This Row],[kelly/4 365]]*0.8*$U$2</f>
        <v>34.267489750622197</v>
      </c>
      <c r="O15" s="2">
        <f>1/1.62</f>
        <v>0.61728395061728392</v>
      </c>
      <c r="P15" s="2">
        <f>(Table1[[#This Row],[poisson_likelihood]] - (1-Table1[[#This Row],[poisson_likelihood]])/(1/Table1[[#This Row],[99/pinn implied]]-1))/4</f>
        <v>2.1417181094138871E-2</v>
      </c>
      <c r="Q15" s="7">
        <f>Table1[[#This Row],[kelly/4 99]]*0.8*$U$2</f>
        <v>34.267489750622197</v>
      </c>
      <c r="R15" t="s">
        <v>102</v>
      </c>
      <c r="S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21.245843645385769</v>
      </c>
    </row>
    <row r="16" spans="1:25" x14ac:dyDescent="0.2">
      <c r="A16">
        <v>6626</v>
      </c>
      <c r="B16" t="s">
        <v>28</v>
      </c>
      <c r="C16" s="1">
        <v>45614</v>
      </c>
      <c r="D16" t="s">
        <v>13</v>
      </c>
      <c r="E16">
        <v>2.5</v>
      </c>
      <c r="F16" s="2">
        <v>0.60606060606060597</v>
      </c>
      <c r="G16" s="2">
        <v>0.58942218175364702</v>
      </c>
      <c r="H16" s="2">
        <v>0.65202554398055901</v>
      </c>
      <c r="I16" s="2">
        <v>0.59340659340659296</v>
      </c>
      <c r="J16" s="2">
        <v>0.58851674641148299</v>
      </c>
      <c r="K16" s="2">
        <v>2.9170056756893201E-2</v>
      </c>
      <c r="L16" s="2">
        <f>1/1.6</f>
        <v>0.625</v>
      </c>
      <c r="M16" s="2">
        <f>(Table1[[#This Row],[poisson_likelihood]] - (1-Table1[[#This Row],[poisson_likelihood]])/(1/Table1[[#This Row],[365 implied]]-1))/4</f>
        <v>1.8017029320372691E-2</v>
      </c>
      <c r="N16" s="8">
        <f>Table1[[#This Row],[kelly/4 365]]*0.8*$U$2</f>
        <v>28.827246912596305</v>
      </c>
      <c r="O16" s="2">
        <f>1/1.6</f>
        <v>0.625</v>
      </c>
      <c r="P16" s="2">
        <f>(Table1[[#This Row],[poisson_likelihood]] - (1-Table1[[#This Row],[poisson_likelihood]])/(1/Table1[[#This Row],[99/pinn implied]]-1))/4</f>
        <v>1.8017029320372691E-2</v>
      </c>
      <c r="Q16" s="3">
        <f>Table1[[#This Row],[kelly/4 99]]*0.8*$U$2</f>
        <v>28.827246912596305</v>
      </c>
      <c r="R16" t="s">
        <v>102</v>
      </c>
      <c r="S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17.296348147557783</v>
      </c>
    </row>
    <row r="17" spans="1:19" x14ac:dyDescent="0.2">
      <c r="A17">
        <v>6618</v>
      </c>
      <c r="B17" t="s">
        <v>24</v>
      </c>
      <c r="C17" s="1">
        <v>45614</v>
      </c>
      <c r="D17" t="s">
        <v>13</v>
      </c>
      <c r="E17">
        <v>1.5</v>
      </c>
      <c r="F17" s="2">
        <v>0.5</v>
      </c>
      <c r="G17" s="2">
        <v>0.49492521930844002</v>
      </c>
      <c r="H17" s="2">
        <v>0.552508716717799</v>
      </c>
      <c r="I17" s="2">
        <v>0.56603773584905603</v>
      </c>
      <c r="J17" s="2">
        <v>0.53846153846153799</v>
      </c>
      <c r="K17" s="2">
        <v>2.6254358358899499E-2</v>
      </c>
      <c r="L17" s="2">
        <f>1/2.05</f>
        <v>0.48780487804878053</v>
      </c>
      <c r="M17" s="2">
        <f>(Table1[[#This Row],[poisson_likelihood]] - (1-Table1[[#This Row],[poisson_likelihood]])/(1/Table1[[#This Row],[365 implied]]-1))/4</f>
        <v>3.1581635540830447E-2</v>
      </c>
      <c r="N17" s="8">
        <f>Table1[[#This Row],[kelly/4 365]]*0.8*$U$2</f>
        <v>50.530616865328717</v>
      </c>
      <c r="O17" s="2">
        <f>Table1[[#This Row],[365 implied]]</f>
        <v>0.48780487804878053</v>
      </c>
      <c r="P17" s="2">
        <f>(Table1[[#This Row],[poisson_likelihood]] - (1-Table1[[#This Row],[poisson_likelihood]])/(1/Table1[[#This Row],[99/pinn implied]]-1))/4</f>
        <v>3.1581635540830447E-2</v>
      </c>
      <c r="Q17" s="3">
        <f>Table1[[#This Row],[kelly/4 99]]*0.8*$U$2</f>
        <v>50.530616865328717</v>
      </c>
      <c r="R17" t="s">
        <v>101</v>
      </c>
      <c r="S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-50.530616865328717</v>
      </c>
    </row>
    <row r="18" spans="1:19" x14ac:dyDescent="0.2">
      <c r="A18">
        <v>6697</v>
      </c>
      <c r="B18" t="s">
        <v>64</v>
      </c>
      <c r="C18" s="1">
        <v>45614</v>
      </c>
      <c r="D18" t="s">
        <v>12</v>
      </c>
      <c r="E18">
        <v>2.5</v>
      </c>
      <c r="F18" s="2">
        <v>0.48076923076923</v>
      </c>
      <c r="G18" s="2">
        <v>0.58212496952814596</v>
      </c>
      <c r="H18" s="2">
        <v>0.53423035198650803</v>
      </c>
      <c r="I18" s="2">
        <v>0.426035502958579</v>
      </c>
      <c r="J18" s="2">
        <v>0.41237113402061798</v>
      </c>
      <c r="K18" s="2">
        <v>2.5740539845356E-2</v>
      </c>
      <c r="L18" s="2">
        <f>1/2.1</f>
        <v>0.47619047619047616</v>
      </c>
      <c r="M18" s="2">
        <f>(Table1[[#This Row],[poisson_likelihood]] - (1-Table1[[#This Row],[poisson_likelihood]])/(1/Table1[[#This Row],[365 implied]]-1))/4</f>
        <v>2.7700849811742478E-2</v>
      </c>
      <c r="N18" s="8">
        <f>Table1[[#This Row],[kelly/4 365]]*0.8*$U$2</f>
        <v>44.321359698787973</v>
      </c>
      <c r="O18" s="2">
        <f>1/2.05</f>
        <v>0.48780487804878053</v>
      </c>
      <c r="P18" s="2">
        <f>(Table1[[#This Row],[poisson_likelihood]] - (1-Table1[[#This Row],[poisson_likelihood]])/(1/Table1[[#This Row],[99/pinn implied]]-1))/4</f>
        <v>2.2660052755319376E-2</v>
      </c>
      <c r="Q18" s="3">
        <f>Table1[[#This Row],[kelly/4 99]]*0.8*$U$2</f>
        <v>36.256084408511001</v>
      </c>
      <c r="R18" t="s">
        <v>101</v>
      </c>
      <c r="S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-44.321359698787973</v>
      </c>
    </row>
    <row r="19" spans="1:19" x14ac:dyDescent="0.2">
      <c r="A19">
        <v>6637</v>
      </c>
      <c r="B19" t="s">
        <v>34</v>
      </c>
      <c r="C19" s="1">
        <v>45614</v>
      </c>
      <c r="D19" t="s">
        <v>12</v>
      </c>
      <c r="E19">
        <v>2.5</v>
      </c>
      <c r="F19" s="2">
        <v>0.485436893203883</v>
      </c>
      <c r="G19" s="2">
        <v>0.57279694573911899</v>
      </c>
      <c r="H19" s="2">
        <v>0.53767107101589695</v>
      </c>
      <c r="I19" s="2">
        <v>0.57407407407407396</v>
      </c>
      <c r="J19" s="2">
        <v>0.55952380952380898</v>
      </c>
      <c r="K19" s="2">
        <v>2.53779260124408E-2</v>
      </c>
      <c r="L19" s="2">
        <f>1/2.1</f>
        <v>0.47619047619047616</v>
      </c>
      <c r="M19" s="2">
        <f>(Table1[[#This Row],[poisson_likelihood]] - (1-Table1[[#This Row],[poisson_likelihood]])/(1/Table1[[#This Row],[365 implied]]-1))/4</f>
        <v>2.9343011166678104E-2</v>
      </c>
      <c r="N19" s="8">
        <f>Table1[[#This Row],[kelly/4 365]]*0.8*$U$2</f>
        <v>46.948817866684969</v>
      </c>
      <c r="O19" s="2">
        <f>1/2.05</f>
        <v>0.48780487804878053</v>
      </c>
      <c r="P19" s="2">
        <f>(Table1[[#This Row],[poisson_likelihood]] - (1-Table1[[#This Row],[poisson_likelihood]])/(1/Table1[[#This Row],[99/pinn implied]]-1))/4</f>
        <v>2.4339451329187772E-2</v>
      </c>
      <c r="Q19" s="3">
        <f>Table1[[#This Row],[kelly/4 99]]*0.8*$U$2</f>
        <v>38.943122126700437</v>
      </c>
      <c r="R19" t="s">
        <v>101</v>
      </c>
      <c r="S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-46.948817866684969</v>
      </c>
    </row>
    <row r="20" spans="1:19" x14ac:dyDescent="0.2">
      <c r="A20">
        <v>6602</v>
      </c>
      <c r="B20" t="s">
        <v>16</v>
      </c>
      <c r="C20" s="1">
        <v>45614</v>
      </c>
      <c r="D20" t="s">
        <v>13</v>
      </c>
      <c r="E20">
        <v>1.5</v>
      </c>
      <c r="F20" s="2">
        <v>0.39215686274509798</v>
      </c>
      <c r="G20" s="2">
        <v>0.398266524004105</v>
      </c>
      <c r="H20" s="2">
        <v>0.45060934080311399</v>
      </c>
      <c r="I20" s="2">
        <v>0.463687150837988</v>
      </c>
      <c r="J20" s="2">
        <v>0.43278688524590098</v>
      </c>
      <c r="K20" s="2">
        <v>2.4040938556119499E-2</v>
      </c>
      <c r="L20" s="2">
        <f>1/2.5</f>
        <v>0.4</v>
      </c>
      <c r="M20" s="2">
        <f>(Table1[[#This Row],[poisson_likelihood]] - (1-Table1[[#This Row],[poisson_likelihood]])/(1/Table1[[#This Row],[365 implied]]-1))/4</f>
        <v>2.1087225334630824E-2</v>
      </c>
      <c r="N20" s="8">
        <f>Table1[[#This Row],[kelly/4 365]]*0.8*$U$2</f>
        <v>33.739560535409325</v>
      </c>
      <c r="O20" s="2">
        <f>Table1[[#This Row],[365 implied]]</f>
        <v>0.4</v>
      </c>
      <c r="P20" s="2">
        <f>(Table1[[#This Row],[poisson_likelihood]] - (1-Table1[[#This Row],[poisson_likelihood]])/(1/Table1[[#This Row],[99/pinn implied]]-1))/4</f>
        <v>2.1087225334630824E-2</v>
      </c>
      <c r="Q20" s="3">
        <f>Table1[[#This Row],[kelly/4 99]]*0.8*$U$2</f>
        <v>33.739560535409325</v>
      </c>
      <c r="R20" t="s">
        <v>102</v>
      </c>
      <c r="S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50.609340803113994</v>
      </c>
    </row>
    <row r="21" spans="1:19" x14ac:dyDescent="0.2">
      <c r="A21">
        <v>6600</v>
      </c>
      <c r="B21" t="s">
        <v>15</v>
      </c>
      <c r="C21" s="1">
        <v>45614</v>
      </c>
      <c r="D21" t="s">
        <v>13</v>
      </c>
      <c r="E21">
        <v>1.5</v>
      </c>
      <c r="F21" s="2">
        <v>0.42372881355932202</v>
      </c>
      <c r="G21" s="2">
        <v>0.43381098385773698</v>
      </c>
      <c r="H21" s="2">
        <v>0.47876696364940802</v>
      </c>
      <c r="I21" s="2">
        <v>0.49375000000000002</v>
      </c>
      <c r="J21" s="2">
        <v>0.489361702127659</v>
      </c>
      <c r="K21" s="2">
        <v>2.3876844524375801E-2</v>
      </c>
      <c r="L21" s="2">
        <f>1/2.3</f>
        <v>0.43478260869565222</v>
      </c>
      <c r="M21" s="2">
        <f>(Table1[[#This Row],[poisson_likelihood]] - (1-Table1[[#This Row],[poisson_likelihood]])/(1/Table1[[#This Row],[365 implied]]-1))/4</f>
        <v>1.9454618537238164E-2</v>
      </c>
      <c r="N21" s="8">
        <f>Table1[[#This Row],[kelly/4 365]]*0.8*$U$2</f>
        <v>31.127389659581063</v>
      </c>
      <c r="O21" s="2">
        <f>Table1[[#This Row],[365 implied]]</f>
        <v>0.43478260869565222</v>
      </c>
      <c r="P21" s="2">
        <f>(Table1[[#This Row],[poisson_likelihood]] - (1-Table1[[#This Row],[poisson_likelihood]])/(1/Table1[[#This Row],[99/pinn implied]]-1))/4</f>
        <v>1.9454618537238164E-2</v>
      </c>
      <c r="Q21" s="3">
        <f>Table1[[#This Row],[kelly/4 99]]*0.8*$U$2</f>
        <v>31.127389659581063</v>
      </c>
      <c r="R21" t="s">
        <v>101</v>
      </c>
      <c r="S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-31.127389659581063</v>
      </c>
    </row>
    <row r="22" spans="1:19" x14ac:dyDescent="0.2">
      <c r="A22">
        <v>6705</v>
      </c>
      <c r="B22" t="s">
        <v>68</v>
      </c>
      <c r="C22" s="1">
        <v>45614</v>
      </c>
      <c r="D22" t="s">
        <v>12</v>
      </c>
      <c r="E22">
        <v>2.5</v>
      </c>
      <c r="F22" s="2">
        <v>0.4</v>
      </c>
      <c r="G22" s="2">
        <v>0.49594141794403401</v>
      </c>
      <c r="H22" s="2">
        <v>0.451850051338961</v>
      </c>
      <c r="I22" s="2">
        <v>0.47887323943661902</v>
      </c>
      <c r="J22" s="2">
        <v>0.42248062015503801</v>
      </c>
      <c r="K22" s="2">
        <v>2.1604188057900701E-2</v>
      </c>
      <c r="L22" s="2">
        <f>1/2.45</f>
        <v>0.4081632653061224</v>
      </c>
      <c r="M22" s="2">
        <f>(Table1[[#This Row],[poisson_likelihood]] - (1-Table1[[#This Row],[poisson_likelihood]])/(1/Table1[[#This Row],[365 implied]]-1))/4</f>
        <v>1.8453900996630079E-2</v>
      </c>
      <c r="N22" s="8">
        <f>Table1[[#This Row],[kelly/4 365]]*0.8*$U$2</f>
        <v>29.526241594608127</v>
      </c>
      <c r="O22" s="2">
        <f>Table1[[#This Row],[365 implied]]</f>
        <v>0.4081632653061224</v>
      </c>
      <c r="P22" s="2">
        <f>(Table1[[#This Row],[poisson_likelihood]] - (1-Table1[[#This Row],[poisson_likelihood]])/(1/Table1[[#This Row],[99/pinn implied]]-1))/4</f>
        <v>1.8453900996630079E-2</v>
      </c>
      <c r="Q22" s="3">
        <f>Table1[[#This Row],[kelly/4 99]]*0.8*$U$2</f>
        <v>29.526241594608127</v>
      </c>
      <c r="R22" t="s">
        <v>101</v>
      </c>
      <c r="S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-29.526241594608127</v>
      </c>
    </row>
    <row r="23" spans="1:19" x14ac:dyDescent="0.2">
      <c r="A23">
        <v>6660</v>
      </c>
      <c r="B23" t="s">
        <v>45</v>
      </c>
      <c r="C23" s="1">
        <v>45614</v>
      </c>
      <c r="D23" t="s">
        <v>13</v>
      </c>
      <c r="E23">
        <v>2.5</v>
      </c>
      <c r="F23" s="2">
        <v>0.56497175141242895</v>
      </c>
      <c r="G23" s="2">
        <v>0.55636604575703497</v>
      </c>
      <c r="H23" s="2">
        <v>0.60041700775249796</v>
      </c>
      <c r="I23" s="2">
        <v>0.66285714285714203</v>
      </c>
      <c r="J23" s="2">
        <v>0.64</v>
      </c>
      <c r="K23" s="2">
        <v>2.0369514195429501E-2</v>
      </c>
      <c r="L23" s="2">
        <f>1/1.76</f>
        <v>0.56818181818181823</v>
      </c>
      <c r="M23" s="2">
        <f>(Table1[[#This Row],[poisson_likelihood]] - (1-Table1[[#This Row],[poisson_likelihood]])/(1/Table1[[#This Row],[365 implied]]-1))/4</f>
        <v>1.8662478172498775E-2</v>
      </c>
      <c r="N23" s="6">
        <f>Table1[[#This Row],[kelly/4 365]]*0.8*$U$2</f>
        <v>29.859965075998044</v>
      </c>
      <c r="O23" s="2">
        <f>1/1.8</f>
        <v>0.55555555555555558</v>
      </c>
      <c r="P23" s="2">
        <f>(Table1[[#This Row],[poisson_likelihood]] - (1-Table1[[#This Row],[poisson_likelihood]])/(1/Table1[[#This Row],[99/pinn implied]]-1))/4</f>
        <v>2.5234566860780072E-2</v>
      </c>
      <c r="Q23" s="7">
        <f>Table1[[#This Row],[kelly/4 99]]*0.8*$U$2</f>
        <v>40.375306977248115</v>
      </c>
      <c r="R23" t="s">
        <v>102</v>
      </c>
      <c r="S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32.300245581798478</v>
      </c>
    </row>
    <row r="24" spans="1:19" x14ac:dyDescent="0.2">
      <c r="A24">
        <v>6745</v>
      </c>
      <c r="B24" t="s">
        <v>88</v>
      </c>
      <c r="C24" s="1">
        <v>45614</v>
      </c>
      <c r="D24" t="s">
        <v>12</v>
      </c>
      <c r="E24">
        <v>3.5</v>
      </c>
      <c r="F24" s="2">
        <v>0.44247787610619399</v>
      </c>
      <c r="G24" s="2">
        <v>0.52494867611918405</v>
      </c>
      <c r="H24" s="2">
        <v>0.486734445828506</v>
      </c>
      <c r="I24" s="2">
        <v>0.36969696969696902</v>
      </c>
      <c r="J24" s="2">
        <v>0.37906137184115501</v>
      </c>
      <c r="K24" s="2">
        <v>1.98452078516713E-2</v>
      </c>
      <c r="L24" s="2">
        <f>1/2.3</f>
        <v>0.43478260869565222</v>
      </c>
      <c r="M24" s="2">
        <f>(Table1[[#This Row],[poisson_likelihood]] - (1-Table1[[#This Row],[poisson_likelihood]])/(1/Table1[[#This Row],[365 implied]]-1))/4</f>
        <v>2.297869719337764E-2</v>
      </c>
      <c r="N24" s="8">
        <f>Table1[[#This Row],[kelly/4 365]]*0.8*$U$2</f>
        <v>36.765915509404223</v>
      </c>
      <c r="O24" s="2">
        <f>Table1[[#This Row],[365 implied]]</f>
        <v>0.43478260869565222</v>
      </c>
      <c r="P24" s="2">
        <f>(Table1[[#This Row],[poisson_likelihood]] - (1-Table1[[#This Row],[poisson_likelihood]])/(1/Table1[[#This Row],[99/pinn implied]]-1))/4</f>
        <v>2.297869719337764E-2</v>
      </c>
      <c r="Q24" s="3">
        <f>Table1[[#This Row],[kelly/4 99]]*0.8*$U$2</f>
        <v>36.765915509404223</v>
      </c>
      <c r="R24" t="s">
        <v>102</v>
      </c>
      <c r="S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47.795690162225483</v>
      </c>
    </row>
    <row r="25" spans="1:19" x14ac:dyDescent="0.2">
      <c r="A25">
        <v>6610</v>
      </c>
      <c r="B25" t="s">
        <v>20</v>
      </c>
      <c r="C25" s="1">
        <v>45614</v>
      </c>
      <c r="D25" t="s">
        <v>13</v>
      </c>
      <c r="E25">
        <v>2.5</v>
      </c>
      <c r="F25" s="2">
        <v>0.52356020942408299</v>
      </c>
      <c r="G25" s="2">
        <v>0.51621812123371402</v>
      </c>
      <c r="H25" s="2">
        <v>0.560342563172882</v>
      </c>
      <c r="I25" s="2">
        <v>0.57792207792207795</v>
      </c>
      <c r="J25" s="2">
        <v>0.57608695652173902</v>
      </c>
      <c r="K25" s="2">
        <v>1.9300630675880798E-2</v>
      </c>
      <c r="L25" s="2">
        <f>1/1.9</f>
        <v>0.52631578947368418</v>
      </c>
      <c r="M25" s="2">
        <f>(Table1[[#This Row],[poisson_likelihood]] - (1-Table1[[#This Row],[poisson_likelihood]])/(1/Table1[[#This Row],[365 implied]]-1))/4</f>
        <v>1.7958575007909969E-2</v>
      </c>
      <c r="N25" s="8">
        <f>Table1[[#This Row],[kelly/4 365]]*0.8*$U$2</f>
        <v>28.733720012655951</v>
      </c>
      <c r="O25" s="2">
        <f>Table1[[#This Row],[365 implied]]</f>
        <v>0.52631578947368418</v>
      </c>
      <c r="P25" s="2">
        <f>(Table1[[#This Row],[poisson_likelihood]] - (1-Table1[[#This Row],[poisson_likelihood]])/(1/Table1[[#This Row],[99/pinn implied]]-1))/4</f>
        <v>1.7958575007909969E-2</v>
      </c>
      <c r="Q25" s="3">
        <f>Table1[[#This Row],[kelly/4 99]]*0.8*$U$2</f>
        <v>28.733720012655951</v>
      </c>
      <c r="R25" t="s">
        <v>101</v>
      </c>
      <c r="S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-28.733720012655951</v>
      </c>
    </row>
    <row r="26" spans="1:19" x14ac:dyDescent="0.2">
      <c r="A26">
        <v>6707</v>
      </c>
      <c r="B26" t="s">
        <v>69</v>
      </c>
      <c r="C26" s="1">
        <v>45614</v>
      </c>
      <c r="D26" t="s">
        <v>12</v>
      </c>
      <c r="E26">
        <v>1.5</v>
      </c>
      <c r="F26" s="2">
        <v>0.56497175141242895</v>
      </c>
      <c r="G26" s="2">
        <v>0.63792864076531997</v>
      </c>
      <c r="H26" s="2">
        <v>0.59678853056524495</v>
      </c>
      <c r="I26" s="2">
        <v>0.63953488372093004</v>
      </c>
      <c r="J26" s="2">
        <v>0.59395973154362403</v>
      </c>
      <c r="K26" s="2">
        <v>1.8284317889767501E-2</v>
      </c>
      <c r="L26" s="2">
        <f>1/1.74</f>
        <v>0.57471264367816088</v>
      </c>
      <c r="M26" s="2">
        <f>(Table1[[#This Row],[poisson_likelihood]] - (1-Table1[[#This Row],[poisson_likelihood]])/(1/Table1[[#This Row],[365 implied]]-1))/4</f>
        <v>1.2977041616056201E-2</v>
      </c>
      <c r="N26" s="8">
        <f>Table1[[#This Row],[kelly/4 365]]*0.8*$U$2</f>
        <v>20.763266585689923</v>
      </c>
      <c r="O26" s="2">
        <f>Table1[[#This Row],[365 implied]]</f>
        <v>0.57471264367816088</v>
      </c>
      <c r="P26" s="2">
        <f>(Table1[[#This Row],[poisson_likelihood]] - (1-Table1[[#This Row],[poisson_likelihood]])/(1/Table1[[#This Row],[99/pinn implied]]-1))/4</f>
        <v>1.2977041616056201E-2</v>
      </c>
      <c r="Q26" s="3">
        <f>Table1[[#This Row],[kelly/4 99]]*0.8*$U$2</f>
        <v>20.763266585689923</v>
      </c>
      <c r="R26" t="s">
        <v>101</v>
      </c>
      <c r="S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-20.763266585689923</v>
      </c>
    </row>
    <row r="27" spans="1:19" x14ac:dyDescent="0.2">
      <c r="A27">
        <v>6716</v>
      </c>
      <c r="B27" t="s">
        <v>73</v>
      </c>
      <c r="C27" s="1">
        <v>45614</v>
      </c>
      <c r="D27" t="s">
        <v>13</v>
      </c>
      <c r="E27">
        <v>1.5</v>
      </c>
      <c r="F27" s="2">
        <v>0.44052863436123302</v>
      </c>
      <c r="G27" s="2">
        <v>0.42383544225332498</v>
      </c>
      <c r="H27" s="2">
        <v>0.48031720857048898</v>
      </c>
      <c r="I27" s="2">
        <v>0.45384615384615301</v>
      </c>
      <c r="J27" s="2">
        <v>0.48557692307692302</v>
      </c>
      <c r="K27" s="2">
        <v>1.7779540050198901E-2</v>
      </c>
      <c r="L27" s="2">
        <f>1/2.32</f>
        <v>0.43103448275862072</v>
      </c>
      <c r="M27" s="2">
        <f>(Table1[[#This Row],[poisson_likelihood]] - (1-Table1[[#This Row],[poisson_likelihood]])/(1/Table1[[#This Row],[365 implied]]-1))/4</f>
        <v>2.1654531038548183E-2</v>
      </c>
      <c r="N27" s="8">
        <f>Table1[[#This Row],[kelly/4 365]]*0.8*$U$2</f>
        <v>34.647249661677094</v>
      </c>
      <c r="O27" s="2">
        <f>Table1[[#This Row],[365 implied]]</f>
        <v>0.43103448275862072</v>
      </c>
      <c r="P27" s="2">
        <f>(Table1[[#This Row],[poisson_likelihood]] - (1-Table1[[#This Row],[poisson_likelihood]])/(1/Table1[[#This Row],[99/pinn implied]]-1))/4</f>
        <v>2.1654531038548183E-2</v>
      </c>
      <c r="Q27" s="3">
        <f>Table1[[#This Row],[kelly/4 99]]*0.8*$U$2</f>
        <v>34.647249661677094</v>
      </c>
      <c r="R27" t="s">
        <v>102</v>
      </c>
      <c r="S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45.734369553413757</v>
      </c>
    </row>
    <row r="28" spans="1:19" x14ac:dyDescent="0.2">
      <c r="A28">
        <v>6721</v>
      </c>
      <c r="B28" t="s">
        <v>76</v>
      </c>
      <c r="C28" s="1">
        <v>45614</v>
      </c>
      <c r="D28" t="s">
        <v>12</v>
      </c>
      <c r="E28">
        <v>3.5</v>
      </c>
      <c r="F28" s="2">
        <v>0.467289719626168</v>
      </c>
      <c r="G28" s="2">
        <v>0.53265540488726804</v>
      </c>
      <c r="H28" s="2">
        <v>0.49943751658607799</v>
      </c>
      <c r="I28" s="2">
        <v>0.48520710059171501</v>
      </c>
      <c r="J28" s="2">
        <v>0.48972602739726001</v>
      </c>
      <c r="K28" s="2">
        <v>1.5086904713642201E-2</v>
      </c>
      <c r="L28" s="2">
        <f>1/2.15</f>
        <v>0.46511627906976744</v>
      </c>
      <c r="M28" s="2">
        <f>(Table1[[#This Row],[poisson_likelihood]] - (1-Table1[[#This Row],[poisson_likelihood]])/(1/Table1[[#This Row],[365 implied]]-1))/4</f>
        <v>1.6041447969579931E-2</v>
      </c>
      <c r="N28" s="8">
        <f>Table1[[#This Row],[kelly/4 365]]*0.8*$U$2</f>
        <v>25.666316751327891</v>
      </c>
      <c r="O28" s="2">
        <f>Table1[[#This Row],[365 implied]]</f>
        <v>0.46511627906976744</v>
      </c>
      <c r="P28" s="2">
        <f>(Table1[[#This Row],[poisson_likelihood]] - (1-Table1[[#This Row],[poisson_likelihood]])/(1/Table1[[#This Row],[99/pinn implied]]-1))/4</f>
        <v>1.6041447969579931E-2</v>
      </c>
      <c r="Q28" s="3">
        <f>Table1[[#This Row],[kelly/4 99]]*0.8*$U$2</f>
        <v>25.666316751327891</v>
      </c>
      <c r="R28" t="s">
        <v>101</v>
      </c>
      <c r="S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-25.666316751327891</v>
      </c>
    </row>
    <row r="29" spans="1:19" x14ac:dyDescent="0.2">
      <c r="A29">
        <v>6690</v>
      </c>
      <c r="B29" t="s">
        <v>60</v>
      </c>
      <c r="C29" s="1">
        <v>45614</v>
      </c>
      <c r="D29" t="s">
        <v>13</v>
      </c>
      <c r="E29">
        <v>2.5</v>
      </c>
      <c r="F29" s="2">
        <v>0.59523809523809501</v>
      </c>
      <c r="G29" s="2">
        <v>0.56996730931830297</v>
      </c>
      <c r="H29" s="2">
        <v>0.61962382482087297</v>
      </c>
      <c r="I29" s="2">
        <v>0.56790123456790098</v>
      </c>
      <c r="J29" s="2">
        <v>0.57857142857142796</v>
      </c>
      <c r="K29" s="2">
        <v>1.5061774154068701E-2</v>
      </c>
      <c r="L29" s="2">
        <f>1/1.64</f>
        <v>0.6097560975609756</v>
      </c>
      <c r="M29" s="2">
        <f>(Table1[[#This Row],[poisson_likelihood]] - (1-Table1[[#This Row],[poisson_likelihood]])/(1/Table1[[#This Row],[365 implied]]-1))/4</f>
        <v>6.3215127758717848E-3</v>
      </c>
      <c r="N29" s="8">
        <f>Table1[[#This Row],[kelly/4 365]]*0.8*$U$2</f>
        <v>10.114420441394858</v>
      </c>
      <c r="O29" s="2">
        <f>Table1[[#This Row],[365 implied]]</f>
        <v>0.6097560975609756</v>
      </c>
      <c r="P29" s="2">
        <f>(Table1[[#This Row],[poisson_likelihood]] - (1-Table1[[#This Row],[poisson_likelihood]])/(1/Table1[[#This Row],[99/pinn implied]]-1))/4</f>
        <v>6.3215127758717848E-3</v>
      </c>
      <c r="Q29" s="3">
        <f>Table1[[#This Row],[kelly/4 99]]*0.8*$U$2</f>
        <v>10.114420441394858</v>
      </c>
      <c r="R29" t="s">
        <v>102</v>
      </c>
      <c r="S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6.4732290824927095</v>
      </c>
    </row>
    <row r="30" spans="1:19" x14ac:dyDescent="0.2">
      <c r="A30">
        <v>6630</v>
      </c>
      <c r="B30" t="s">
        <v>30</v>
      </c>
      <c r="C30" s="1">
        <v>45614</v>
      </c>
      <c r="D30" t="s">
        <v>13</v>
      </c>
      <c r="E30">
        <v>2.5</v>
      </c>
      <c r="F30" s="2">
        <v>0.41666666666666602</v>
      </c>
      <c r="G30" s="2">
        <v>0.42571529564376298</v>
      </c>
      <c r="H30" s="2">
        <v>0.44541635785327099</v>
      </c>
      <c r="I30" s="2">
        <v>0.38150289017340999</v>
      </c>
      <c r="J30" s="2">
        <v>0.38047138047138002</v>
      </c>
      <c r="K30" s="2">
        <v>1.2321296222830401E-2</v>
      </c>
      <c r="L30" s="2" t="s">
        <v>100</v>
      </c>
      <c r="M30" s="2" t="e">
        <f>(Table1[[#This Row],[poisson_likelihood]] - (1-Table1[[#This Row],[poisson_likelihood]])/(1/Table1[[#This Row],[365 implied]]-1))/4</f>
        <v>#VALUE!</v>
      </c>
      <c r="N30" s="6" t="e">
        <f>Table1[[#This Row],[kelly/4 365]]*0.8*$U$2</f>
        <v>#VALUE!</v>
      </c>
      <c r="P30" s="2" t="e">
        <f>(Table1[[#This Row],[poisson_likelihood]] - (1-Table1[[#This Row],[poisson_likelihood]])/(1/Table1[[#This Row],[99/pinn implied]]-1))/4</f>
        <v>#DIV/0!</v>
      </c>
      <c r="Q30" s="9" t="e">
        <f>Table1[[#This Row],[kelly/4 99]]*0.8*$U$2</f>
        <v>#DIV/0!</v>
      </c>
      <c r="S30" s="3">
        <v>9</v>
      </c>
    </row>
    <row r="31" spans="1:19" x14ac:dyDescent="0.2">
      <c r="A31">
        <v>6702</v>
      </c>
      <c r="B31" t="s">
        <v>66</v>
      </c>
      <c r="C31" s="1">
        <v>45614</v>
      </c>
      <c r="D31" t="s">
        <v>13</v>
      </c>
      <c r="E31">
        <v>1.5</v>
      </c>
      <c r="F31" s="2">
        <v>0.434782608695652</v>
      </c>
      <c r="G31" s="2">
        <v>0.39390280535694999</v>
      </c>
      <c r="H31" s="2">
        <v>0.46226245406056399</v>
      </c>
      <c r="I31" s="2">
        <v>0.57142857142857095</v>
      </c>
      <c r="J31" s="2">
        <v>0.55364806866952698</v>
      </c>
      <c r="K31" s="2">
        <v>1.2154546988326499E-2</v>
      </c>
      <c r="L31" s="2"/>
      <c r="M31" s="2" t="e">
        <f>(Table1[[#This Row],[poisson_likelihood]] - (1-Table1[[#This Row],[poisson_likelihood]])/(1/Table1[[#This Row],[365 implied]]-1))/4</f>
        <v>#DIV/0!</v>
      </c>
      <c r="N31" s="6" t="e">
        <f>Table1[[#This Row],[kelly/4 365]]*0.8*$U$2</f>
        <v>#DIV/0!</v>
      </c>
      <c r="P31" s="2" t="e">
        <f>(Table1[[#This Row],[poisson_likelihood]] - (1-Table1[[#This Row],[poisson_likelihood]])/(1/Table1[[#This Row],[99/pinn implied]]-1))/4</f>
        <v>#DIV/0!</v>
      </c>
      <c r="Q31" s="3" t="e">
        <f>Table1[[#This Row],[kelly/4 99]]*0.8*$U$2</f>
        <v>#DIV/0!</v>
      </c>
      <c r="S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" spans="1:19" x14ac:dyDescent="0.2">
      <c r="A32">
        <v>6606</v>
      </c>
      <c r="B32" t="s">
        <v>18</v>
      </c>
      <c r="C32" s="1">
        <v>45614</v>
      </c>
      <c r="D32" t="s">
        <v>13</v>
      </c>
      <c r="E32">
        <v>2.5</v>
      </c>
      <c r="F32" s="2">
        <v>0.61728395061728303</v>
      </c>
      <c r="G32" s="2">
        <v>0.57696099160271896</v>
      </c>
      <c r="H32" s="2">
        <v>0.63343755795508605</v>
      </c>
      <c r="I32" s="2">
        <v>0.71</v>
      </c>
      <c r="J32" s="2">
        <v>0.66497461928933999</v>
      </c>
      <c r="K32" s="2">
        <v>1.0551953180338899E-2</v>
      </c>
      <c r="L32" s="2">
        <f>1/1.58</f>
        <v>0.63291139240506322</v>
      </c>
      <c r="M32" s="2">
        <f>(Table1[[#This Row],[poisson_likelihood]] - (1-Table1[[#This Row],[poisson_likelihood]])/(1/Table1[[#This Row],[365 implied]]-1))/4</f>
        <v>3.5833688320516255E-4</v>
      </c>
      <c r="N32" s="6">
        <f>Table1[[#This Row],[kelly/4 365]]*0.8*$U$2</f>
        <v>0.57333901312826008</v>
      </c>
      <c r="P32" s="2" t="e">
        <f>(Table1[[#This Row],[poisson_likelihood]] - (1-Table1[[#This Row],[poisson_likelihood]])/(1/Table1[[#This Row],[99/pinn implied]]-1))/4</f>
        <v>#DIV/0!</v>
      </c>
      <c r="Q32" s="3" t="e">
        <f>Table1[[#This Row],[kelly/4 99]]*0.8*$U$2</f>
        <v>#DIV/0!</v>
      </c>
      <c r="S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" spans="1:19" x14ac:dyDescent="0.2">
      <c r="A33">
        <v>6634</v>
      </c>
      <c r="B33" t="s">
        <v>32</v>
      </c>
      <c r="C33" s="1">
        <v>45614</v>
      </c>
      <c r="D33" t="s">
        <v>13</v>
      </c>
      <c r="E33">
        <v>2.5</v>
      </c>
      <c r="F33" s="2">
        <v>0.427350427350427</v>
      </c>
      <c r="G33" s="2">
        <v>0.41196284015347501</v>
      </c>
      <c r="H33" s="2">
        <v>0.45038642396985201</v>
      </c>
      <c r="I33" s="2">
        <v>0.46451612903225797</v>
      </c>
      <c r="J33" s="2">
        <v>0.44964028776978399</v>
      </c>
      <c r="K33" s="2">
        <v>1.00567597181817E-2</v>
      </c>
      <c r="L33" s="2">
        <f>1/2.32</f>
        <v>0.43103448275862072</v>
      </c>
      <c r="M33" s="2">
        <f>(Table1[[#This Row],[poisson_likelihood]] - (1-Table1[[#This Row],[poisson_likelihood]])/(1/Table1[[#This Row],[365 implied]]-1))/4</f>
        <v>8.5031256837228564E-3</v>
      </c>
      <c r="N33" s="8">
        <f>Table1[[#This Row],[kelly/4 365]]*0.8*$U$2</f>
        <v>13.60500109395657</v>
      </c>
      <c r="O33" s="2">
        <f>1/2.3</f>
        <v>0.43478260869565222</v>
      </c>
      <c r="P33" s="2">
        <f>(Table1[[#This Row],[poisson_likelihood]] - (1-Table1[[#This Row],[poisson_likelihood]])/(1/Table1[[#This Row],[99/pinn implied]]-1))/4</f>
        <v>6.9016875251268484E-3</v>
      </c>
      <c r="Q33" s="3">
        <f>Table1[[#This Row],[kelly/4 99]]*0.8*$U$2</f>
        <v>11.042700040202957</v>
      </c>
      <c r="R33" t="s">
        <v>101</v>
      </c>
      <c r="S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-13.60500109395657</v>
      </c>
    </row>
    <row r="34" spans="1:19" x14ac:dyDescent="0.2">
      <c r="A34">
        <v>6718</v>
      </c>
      <c r="B34" t="s">
        <v>74</v>
      </c>
      <c r="C34" s="1">
        <v>45614</v>
      </c>
      <c r="D34" t="s">
        <v>13</v>
      </c>
      <c r="E34">
        <v>2.5</v>
      </c>
      <c r="F34" s="2">
        <v>0.56497175141242895</v>
      </c>
      <c r="G34" s="2">
        <v>0.53645407505746401</v>
      </c>
      <c r="H34" s="2">
        <v>0.58219073286297296</v>
      </c>
      <c r="I34" s="2">
        <v>0.58947368421052604</v>
      </c>
      <c r="J34" s="2">
        <v>0.52717391304347805</v>
      </c>
      <c r="K34" s="2">
        <v>9.8953237556697795E-3</v>
      </c>
      <c r="L34" s="2">
        <f>1/1.74</f>
        <v>0.57471264367816088</v>
      </c>
      <c r="M34" s="2">
        <f>(Table1[[#This Row],[poisson_likelihood]] - (1-Table1[[#This Row],[poisson_likelihood]])/(1/Table1[[#This Row],[365 implied]]-1))/4</f>
        <v>4.3959037775584686E-3</v>
      </c>
      <c r="N34" s="8">
        <f>Table1[[#This Row],[kelly/4 365]]*0.8*$U$2</f>
        <v>7.0334460440935507</v>
      </c>
      <c r="O34" s="2">
        <f>Table1[[#This Row],[365 implied]]</f>
        <v>0.57471264367816088</v>
      </c>
      <c r="P34" s="2">
        <f>(Table1[[#This Row],[poisson_likelihood]] - (1-Table1[[#This Row],[poisson_likelihood]])/(1/Table1[[#This Row],[99/pinn implied]]-1))/4</f>
        <v>4.3959037775584686E-3</v>
      </c>
      <c r="Q34" s="3">
        <f>Table1[[#This Row],[kelly/4 99]]*0.8*$U$2</f>
        <v>7.0334460440935507</v>
      </c>
      <c r="R34" t="s">
        <v>101</v>
      </c>
      <c r="S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-7.0334460440935507</v>
      </c>
    </row>
    <row r="35" spans="1:19" x14ac:dyDescent="0.2">
      <c r="A35">
        <v>6622</v>
      </c>
      <c r="B35" t="s">
        <v>26</v>
      </c>
      <c r="C35" s="1">
        <v>45614</v>
      </c>
      <c r="D35" t="s">
        <v>13</v>
      </c>
      <c r="E35">
        <v>1.5</v>
      </c>
      <c r="F35" s="2">
        <v>0.48076923076923</v>
      </c>
      <c r="G35" s="2">
        <v>0.44810774470458797</v>
      </c>
      <c r="H35" s="2">
        <v>0.50111676008170902</v>
      </c>
      <c r="I35" s="2">
        <v>0.50273224043715803</v>
      </c>
      <c r="J35" s="2">
        <v>0.50159744408945595</v>
      </c>
      <c r="K35" s="2">
        <v>9.7969585578602802E-3</v>
      </c>
      <c r="L35" s="2">
        <f>1/2</f>
        <v>0.5</v>
      </c>
      <c r="M35" s="2">
        <f>(Table1[[#This Row],[poisson_likelihood]] - (1-Table1[[#This Row],[poisson_likelihood]])/(1/Table1[[#This Row],[365 implied]]-1))/4</f>
        <v>5.5838004085451143E-4</v>
      </c>
      <c r="N35" s="6">
        <f>Table1[[#This Row],[kelly/4 365]]*0.8*$U$2</f>
        <v>0.89340806536721828</v>
      </c>
      <c r="P35" s="2" t="e">
        <f>(Table1[[#This Row],[poisson_likelihood]] - (1-Table1[[#This Row],[poisson_likelihood]])/(1/Table1[[#This Row],[99/pinn implied]]-1))/4</f>
        <v>#DIV/0!</v>
      </c>
      <c r="Q35" s="3" t="e">
        <f>Table1[[#This Row],[kelly/4 99]]*0.8*$U$2</f>
        <v>#DIV/0!</v>
      </c>
      <c r="S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" spans="1:19" x14ac:dyDescent="0.2">
      <c r="A36">
        <v>6620</v>
      </c>
      <c r="B36" t="s">
        <v>25</v>
      </c>
      <c r="C36" s="1">
        <v>45614</v>
      </c>
      <c r="D36" t="s">
        <v>13</v>
      </c>
      <c r="E36">
        <v>2.5</v>
      </c>
      <c r="F36" s="2">
        <v>0.66225165562913901</v>
      </c>
      <c r="G36" s="2">
        <v>0.62938547467374395</v>
      </c>
      <c r="H36" s="2">
        <v>0.675130445759624</v>
      </c>
      <c r="I36" s="2">
        <v>0.715189873417721</v>
      </c>
      <c r="J36" s="2">
        <v>0.68100358422939</v>
      </c>
      <c r="K36" s="2">
        <v>9.5328299495262506E-3</v>
      </c>
      <c r="L36" s="2">
        <f>1/1.5</f>
        <v>0.66666666666666663</v>
      </c>
      <c r="M36" s="2">
        <f>(Table1[[#This Row],[poisson_likelihood]] - (1-Table1[[#This Row],[poisson_likelihood]])/(1/Table1[[#This Row],[365 implied]]-1))/4</f>
        <v>6.3478343197179987E-3</v>
      </c>
      <c r="N36" s="8">
        <f>Table1[[#This Row],[kelly/4 365]]*0.8*$U$2</f>
        <v>10.156534911548798</v>
      </c>
      <c r="O36" s="2">
        <f>Table1[[#This Row],[365 implied]]</f>
        <v>0.66666666666666663</v>
      </c>
      <c r="P36" s="2">
        <f>(Table1[[#This Row],[poisson_likelihood]] - (1-Table1[[#This Row],[poisson_likelihood]])/(1/Table1[[#This Row],[99/pinn implied]]-1))/4</f>
        <v>6.3478343197179987E-3</v>
      </c>
      <c r="Q36" s="3">
        <f>Table1[[#This Row],[kelly/4 99]]*0.8*$U$2</f>
        <v>10.156534911548798</v>
      </c>
      <c r="R36" t="s">
        <v>102</v>
      </c>
      <c r="S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5.0782674557743999</v>
      </c>
    </row>
    <row r="37" spans="1:19" x14ac:dyDescent="0.2">
      <c r="A37">
        <v>6730</v>
      </c>
      <c r="B37" t="s">
        <v>80</v>
      </c>
      <c r="C37" s="1">
        <v>45614</v>
      </c>
      <c r="D37" t="s">
        <v>13</v>
      </c>
      <c r="E37">
        <v>2.5</v>
      </c>
      <c r="F37" s="2">
        <v>0.54644808743169304</v>
      </c>
      <c r="G37" s="2">
        <v>0.51649943042820001</v>
      </c>
      <c r="H37" s="2">
        <v>0.56191893191823095</v>
      </c>
      <c r="I37" s="2">
        <v>0.68263473053892199</v>
      </c>
      <c r="J37" s="2">
        <v>0.61267605633802802</v>
      </c>
      <c r="K37" s="2">
        <v>8.5276040392658608E-3</v>
      </c>
      <c r="L37" s="2">
        <f>1/1.76</f>
        <v>0.56818181818181823</v>
      </c>
      <c r="M37" s="2">
        <f>(Table1[[#This Row],[poisson_likelihood]] - (1-Table1[[#This Row],[poisson_likelihood]])/(1/Table1[[#This Row],[365 implied]]-1))/4</f>
        <v>-3.6258815210242212E-3</v>
      </c>
      <c r="N37" s="6">
        <f>Table1[[#This Row],[kelly/4 365]]*0.8*$U$2</f>
        <v>-5.801410433638754</v>
      </c>
      <c r="P37" s="2" t="e">
        <f>(Table1[[#This Row],[poisson_likelihood]] - (1-Table1[[#This Row],[poisson_likelihood]])/(1/Table1[[#This Row],[99/pinn implied]]-1))/4</f>
        <v>#DIV/0!</v>
      </c>
      <c r="Q37" s="3" t="e">
        <f>Table1[[#This Row],[kelly/4 99]]*0.8*$U$2</f>
        <v>#DIV/0!</v>
      </c>
      <c r="S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" spans="1:19" x14ac:dyDescent="0.2">
      <c r="A38">
        <v>6740</v>
      </c>
      <c r="B38" t="s">
        <v>85</v>
      </c>
      <c r="C38" s="1">
        <v>45614</v>
      </c>
      <c r="D38" t="s">
        <v>13</v>
      </c>
      <c r="E38">
        <v>1.5</v>
      </c>
      <c r="F38" s="2">
        <v>0.45045045045045001</v>
      </c>
      <c r="G38" s="2">
        <v>0.416720298760893</v>
      </c>
      <c r="H38" s="2">
        <v>0.46797673182216099</v>
      </c>
      <c r="I38" s="2">
        <v>0.50943396226415005</v>
      </c>
      <c r="J38" s="2">
        <v>0.53448275862068895</v>
      </c>
      <c r="K38" s="2">
        <v>7.9730214436880796E-3</v>
      </c>
      <c r="L38" s="2">
        <f>1/2.28</f>
        <v>0.43859649122807021</v>
      </c>
      <c r="M38" s="2">
        <f>(Table1[[#This Row],[poisson_likelihood]] - (1-Table1[[#This Row],[poisson_likelihood]])/(1/Table1[[#This Row],[365 implied]]-1))/4</f>
        <v>1.3083388389556055E-2</v>
      </c>
      <c r="N38" s="8">
        <f>Table1[[#This Row],[kelly/4 365]]*0.8*$U$2</f>
        <v>20.933421423289687</v>
      </c>
      <c r="O38" s="2">
        <f>Table1[[#This Row],[365 implied]]</f>
        <v>0.43859649122807021</v>
      </c>
      <c r="P38" s="2">
        <f>(Table1[[#This Row],[poisson_likelihood]] - (1-Table1[[#This Row],[poisson_likelihood]])/(1/Table1[[#This Row],[99/pinn implied]]-1))/4</f>
        <v>1.3083388389556055E-2</v>
      </c>
      <c r="Q38" s="3">
        <f>Table1[[#This Row],[kelly/4 99]]*0.8*$U$2</f>
        <v>20.933421423289687</v>
      </c>
      <c r="R38" t="s">
        <v>101</v>
      </c>
      <c r="S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-20.933421423289687</v>
      </c>
    </row>
    <row r="39" spans="1:19" x14ac:dyDescent="0.2">
      <c r="A39">
        <v>6665</v>
      </c>
      <c r="B39" t="s">
        <v>48</v>
      </c>
      <c r="C39" s="1">
        <v>45614</v>
      </c>
      <c r="D39" t="s">
        <v>12</v>
      </c>
      <c r="E39">
        <v>2.5</v>
      </c>
      <c r="F39" s="2">
        <v>0.56497175141242895</v>
      </c>
      <c r="G39" s="2">
        <v>0.59817504430405299</v>
      </c>
      <c r="H39" s="2">
        <v>0.57728098946248896</v>
      </c>
      <c r="I39" s="2">
        <v>0.66438356164383505</v>
      </c>
      <c r="J39" s="2">
        <v>0.63503649635036497</v>
      </c>
      <c r="K39" s="2">
        <v>7.0738153729241696E-3</v>
      </c>
      <c r="L39" s="2">
        <f>1/1.76</f>
        <v>0.56818181818181823</v>
      </c>
      <c r="M39" s="2">
        <f>(Table1[[#This Row],[poisson_likelihood]] - (1-Table1[[#This Row],[poisson_likelihood]])/(1/Table1[[#This Row],[365 implied]]-1))/4</f>
        <v>5.2679412677567317E-3</v>
      </c>
      <c r="N39" s="8">
        <f>Table1[[#This Row],[kelly/4 365]]*0.8*$U$2</f>
        <v>8.4287060284107707</v>
      </c>
      <c r="O39" s="2">
        <f>Table1[[#This Row],[365 implied]]</f>
        <v>0.56818181818181823</v>
      </c>
      <c r="P39" s="2">
        <f>(Table1[[#This Row],[poisson_likelihood]] - (1-Table1[[#This Row],[poisson_likelihood]])/(1/Table1[[#This Row],[99/pinn implied]]-1))/4</f>
        <v>5.2679412677567317E-3</v>
      </c>
      <c r="Q39" s="3">
        <f>Table1[[#This Row],[kelly/4 99]]*0.8*$U$2</f>
        <v>8.4287060284107707</v>
      </c>
      <c r="R39" t="s">
        <v>101</v>
      </c>
      <c r="S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-8.4287060284107707</v>
      </c>
    </row>
    <row r="40" spans="1:19" x14ac:dyDescent="0.2">
      <c r="A40">
        <v>6639</v>
      </c>
      <c r="B40" t="s">
        <v>35</v>
      </c>
      <c r="C40" s="1">
        <v>45614</v>
      </c>
      <c r="D40" t="s">
        <v>12</v>
      </c>
      <c r="E40">
        <v>1.5</v>
      </c>
      <c r="F40" s="2">
        <v>0.54644808743169304</v>
      </c>
      <c r="G40" s="2">
        <v>0.60702199906480403</v>
      </c>
      <c r="H40" s="2">
        <v>0.55800254907572999</v>
      </c>
      <c r="I40" s="2">
        <v>0.59090909090909005</v>
      </c>
      <c r="J40" s="2">
        <v>0.58108108108108103</v>
      </c>
      <c r="K40" s="2">
        <v>6.36887494234564E-3</v>
      </c>
      <c r="L40" s="2">
        <f>1/1.8</f>
        <v>0.55555555555555558</v>
      </c>
      <c r="M40" s="2">
        <f>(Table1[[#This Row],[poisson_likelihood]] - (1-Table1[[#This Row],[poisson_likelihood]])/(1/Table1[[#This Row],[365 implied]]-1))/4</f>
        <v>1.3764338550980859E-3</v>
      </c>
      <c r="N40" s="6">
        <f>Table1[[#This Row],[kelly/4 365]]*0.8*$U$2</f>
        <v>2.2022941681569375</v>
      </c>
      <c r="P40" s="2" t="e">
        <f>(Table1[[#This Row],[poisson_likelihood]] - (1-Table1[[#This Row],[poisson_likelihood]])/(1/Table1[[#This Row],[99/pinn implied]]-1))/4</f>
        <v>#DIV/0!</v>
      </c>
      <c r="Q40" s="3" t="e">
        <f>Table1[[#This Row],[kelly/4 99]]*0.8*$U$2</f>
        <v>#DIV/0!</v>
      </c>
      <c r="S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1" spans="1:19" x14ac:dyDescent="0.2">
      <c r="A41">
        <v>6687</v>
      </c>
      <c r="B41" t="s">
        <v>59</v>
      </c>
      <c r="C41" s="1">
        <v>45614</v>
      </c>
      <c r="D41" t="s">
        <v>12</v>
      </c>
      <c r="E41">
        <v>2.5</v>
      </c>
      <c r="F41" s="2">
        <v>0.46511627906976699</v>
      </c>
      <c r="G41" s="2">
        <v>0.52449109459896104</v>
      </c>
      <c r="H41" s="2">
        <v>0.478031891310358</v>
      </c>
      <c r="I41" s="2">
        <v>0.40119760479041899</v>
      </c>
      <c r="J41" s="2">
        <v>0.397923875432525</v>
      </c>
      <c r="K41" s="2">
        <v>6.0366448515803799E-3</v>
      </c>
      <c r="L41" s="2">
        <f>1/2.25</f>
        <v>0.44444444444444442</v>
      </c>
      <c r="M41" s="2">
        <f>(Table1[[#This Row],[poisson_likelihood]] - (1-Table1[[#This Row],[poisson_likelihood]])/(1/Table1[[#This Row],[365 implied]]-1))/4</f>
        <v>1.511435108966111E-2</v>
      </c>
      <c r="N41" s="8">
        <f>Table1[[#This Row],[kelly/4 365]]*0.8*$U$2</f>
        <v>24.182961743457778</v>
      </c>
      <c r="O41" s="2">
        <f>Table1[[#This Row],[365 implied]]</f>
        <v>0.44444444444444442</v>
      </c>
      <c r="P41" s="2">
        <f>(Table1[[#This Row],[poisson_likelihood]] - (1-Table1[[#This Row],[poisson_likelihood]])/(1/Table1[[#This Row],[99/pinn implied]]-1))/4</f>
        <v>1.511435108966111E-2</v>
      </c>
      <c r="Q41" s="3">
        <f>Table1[[#This Row],[kelly/4 99]]*0.8*$U$2</f>
        <v>24.182961743457778</v>
      </c>
      <c r="R41" t="s">
        <v>101</v>
      </c>
      <c r="S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-24.182961743457778</v>
      </c>
    </row>
    <row r="42" spans="1:19" x14ac:dyDescent="0.2">
      <c r="A42">
        <v>6616</v>
      </c>
      <c r="B42" t="s">
        <v>23</v>
      </c>
      <c r="C42" s="1">
        <v>45614</v>
      </c>
      <c r="D42" t="s">
        <v>13</v>
      </c>
      <c r="E42">
        <v>1.5</v>
      </c>
      <c r="F42" s="2">
        <v>0.41666666666666602</v>
      </c>
      <c r="G42" s="2">
        <v>0.39961278717325699</v>
      </c>
      <c r="H42" s="2">
        <v>0.42894612698920898</v>
      </c>
      <c r="I42" s="2">
        <v>0.43373493975903599</v>
      </c>
      <c r="J42" s="2">
        <v>0.43520782396087998</v>
      </c>
      <c r="K42" s="2">
        <v>5.2626258525184603E-3</v>
      </c>
      <c r="L42" s="2">
        <f>1/2.4</f>
        <v>0.41666666666666669</v>
      </c>
      <c r="M42" s="2">
        <f>(Table1[[#This Row],[poisson_likelihood]] - (1-Table1[[#This Row],[poisson_likelihood]])/(1/Table1[[#This Row],[365 implied]]-1))/4</f>
        <v>5.2626258525181324E-3</v>
      </c>
      <c r="N42" s="8">
        <f>Table1[[#This Row],[kelly/4 365]]*0.8*$U$2</f>
        <v>8.4202013640290119</v>
      </c>
      <c r="O42" s="2">
        <f>Table1[[#This Row],[365 implied]]</f>
        <v>0.41666666666666669</v>
      </c>
      <c r="P42" s="2">
        <f>(Table1[[#This Row],[poisson_likelihood]] - (1-Table1[[#This Row],[poisson_likelihood]])/(1/Table1[[#This Row],[99/pinn implied]]-1))/4</f>
        <v>5.2626258525181324E-3</v>
      </c>
      <c r="Q42" s="3">
        <f>Table1[[#This Row],[kelly/4 99]]*0.8*$U$2</f>
        <v>8.4202013640290119</v>
      </c>
      <c r="R42" t="s">
        <v>102</v>
      </c>
      <c r="S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11.788281909640617</v>
      </c>
    </row>
    <row r="43" spans="1:19" x14ac:dyDescent="0.2">
      <c r="A43">
        <v>6694</v>
      </c>
      <c r="B43" t="s">
        <v>62</v>
      </c>
      <c r="C43" s="1">
        <v>45614</v>
      </c>
      <c r="D43" t="s">
        <v>13</v>
      </c>
      <c r="E43">
        <v>2.5</v>
      </c>
      <c r="F43" s="2">
        <v>0.42553191489361702</v>
      </c>
      <c r="G43" s="2">
        <v>0.412220473099143</v>
      </c>
      <c r="H43" s="2">
        <v>0.43647880200789202</v>
      </c>
      <c r="I43" s="2">
        <v>0.40449438202247101</v>
      </c>
      <c r="J43" s="2">
        <v>0.38</v>
      </c>
      <c r="K43" s="2">
        <v>4.7639230960274202E-3</v>
      </c>
      <c r="L43" s="2">
        <f>1/2.4</f>
        <v>0.41666666666666669</v>
      </c>
      <c r="M43" s="2">
        <f>(Table1[[#This Row],[poisson_likelihood]] - (1-Table1[[#This Row],[poisson_likelihood]])/(1/Table1[[#This Row],[365 implied]]-1))/4</f>
        <v>8.490915146239425E-3</v>
      </c>
      <c r="N43" s="8">
        <f>Table1[[#This Row],[kelly/4 365]]*0.8*$U$2</f>
        <v>13.585464233983082</v>
      </c>
      <c r="O43" s="2">
        <f>Table1[[#This Row],[365 implied]]</f>
        <v>0.41666666666666669</v>
      </c>
      <c r="P43" s="2">
        <f>(Table1[[#This Row],[poisson_likelihood]] - (1-Table1[[#This Row],[poisson_likelihood]])/(1/Table1[[#This Row],[99/pinn implied]]-1))/4</f>
        <v>8.490915146239425E-3</v>
      </c>
      <c r="Q43" s="3">
        <f>Table1[[#This Row],[kelly/4 99]]*0.8*$U$2</f>
        <v>13.585464233983082</v>
      </c>
      <c r="R43" t="s">
        <v>101</v>
      </c>
      <c r="S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-13.585464233983082</v>
      </c>
    </row>
    <row r="44" spans="1:19" x14ac:dyDescent="0.2">
      <c r="A44">
        <v>6603</v>
      </c>
      <c r="B44" t="s">
        <v>17</v>
      </c>
      <c r="C44" s="1">
        <v>45614</v>
      </c>
      <c r="D44" t="s">
        <v>12</v>
      </c>
      <c r="E44">
        <v>4.5</v>
      </c>
      <c r="F44" s="2">
        <v>0.476190476190476</v>
      </c>
      <c r="G44" s="2">
        <v>0.51760331841533802</v>
      </c>
      <c r="H44" s="2">
        <v>0.48605605999720097</v>
      </c>
      <c r="I44" s="2">
        <v>0.51366120218579203</v>
      </c>
      <c r="J44" s="2">
        <v>0.46964856230031898</v>
      </c>
      <c r="K44" s="2">
        <v>4.7085740895734902E-3</v>
      </c>
      <c r="L44" s="2">
        <f>1/2.2</f>
        <v>0.45454545454545453</v>
      </c>
      <c r="M44" s="2">
        <f>(Table1[[#This Row],[poisson_likelihood]] - (1-Table1[[#This Row],[poisson_likelihood]])/(1/Table1[[#This Row],[365 implied]]-1))/4</f>
        <v>1.4442360832050471E-2</v>
      </c>
      <c r="N44" s="8">
        <f>Table1[[#This Row],[kelly/4 365]]*0.8*$U$2</f>
        <v>23.107777331280754</v>
      </c>
      <c r="O44" s="2">
        <f>Table1[[#This Row],[365 implied]]</f>
        <v>0.45454545454545453</v>
      </c>
      <c r="P44" s="2">
        <f>(Table1[[#This Row],[poisson_likelihood]] - (1-Table1[[#This Row],[poisson_likelihood]])/(1/Table1[[#This Row],[99/pinn implied]]-1))/4</f>
        <v>1.4442360832050471E-2</v>
      </c>
      <c r="Q44" s="3">
        <f>Table1[[#This Row],[kelly/4 99]]*0.8*$U$2</f>
        <v>23.107777331280754</v>
      </c>
      <c r="R44" t="s">
        <v>101</v>
      </c>
      <c r="S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-23.107777331280754</v>
      </c>
    </row>
    <row r="45" spans="1:19" x14ac:dyDescent="0.2">
      <c r="A45">
        <v>6736</v>
      </c>
      <c r="B45" t="s">
        <v>83</v>
      </c>
      <c r="C45" s="1">
        <v>45614</v>
      </c>
      <c r="D45" t="s">
        <v>13</v>
      </c>
      <c r="E45">
        <v>2.5</v>
      </c>
      <c r="F45" s="2">
        <v>0.53475935828876997</v>
      </c>
      <c r="G45" s="2">
        <v>0.49929029734297897</v>
      </c>
      <c r="H45" s="2">
        <v>0.54309766286710204</v>
      </c>
      <c r="I45" s="2">
        <v>0.625</v>
      </c>
      <c r="J45" s="2">
        <v>0.60402684563758302</v>
      </c>
      <c r="K45" s="2">
        <v>4.4806406785869403E-3</v>
      </c>
      <c r="L45" s="2">
        <f>1/1.8</f>
        <v>0.55555555555555558</v>
      </c>
      <c r="M45" s="2">
        <f>(Table1[[#This Row],[poisson_likelihood]] - (1-Table1[[#This Row],[poisson_likelihood]])/(1/Table1[[#This Row],[365 implied]]-1))/4</f>
        <v>-7.0075646372551315E-3</v>
      </c>
      <c r="N45" s="6">
        <f>Table1[[#This Row],[kelly/4 365]]*0.8*$U$2</f>
        <v>-11.21210341960821</v>
      </c>
      <c r="P45" s="2" t="e">
        <f>(Table1[[#This Row],[poisson_likelihood]] - (1-Table1[[#This Row],[poisson_likelihood]])/(1/Table1[[#This Row],[99/pinn implied]]-1))/4</f>
        <v>#DIV/0!</v>
      </c>
      <c r="Q45" s="3" t="e">
        <f>Table1[[#This Row],[kelly/4 99]]*0.8*$U$2</f>
        <v>#DIV/0!</v>
      </c>
      <c r="S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6" spans="1:19" x14ac:dyDescent="0.2">
      <c r="A46">
        <v>6710</v>
      </c>
      <c r="B46" t="s">
        <v>70</v>
      </c>
      <c r="C46" s="1">
        <v>45614</v>
      </c>
      <c r="D46" t="s">
        <v>13</v>
      </c>
      <c r="E46">
        <v>1.5</v>
      </c>
      <c r="F46" s="2">
        <v>0.43859649122806998</v>
      </c>
      <c r="G46" s="2">
        <v>0.39635665261309899</v>
      </c>
      <c r="H46" s="2">
        <v>0.448196647731607</v>
      </c>
      <c r="I46" s="2">
        <v>0.44444444444444398</v>
      </c>
      <c r="J46" s="2">
        <v>0.422222222222222</v>
      </c>
      <c r="K46" s="2">
        <v>4.2750696929816498E-3</v>
      </c>
      <c r="L46" s="2">
        <f>1/2.3</f>
        <v>0.43478260869565222</v>
      </c>
      <c r="M46" s="2">
        <f>(Table1[[#This Row],[poisson_likelihood]] - (1-Table1[[#This Row],[poisson_likelihood]])/(1/Table1[[#This Row],[365 implied]]-1))/4</f>
        <v>5.93313265051848E-3</v>
      </c>
      <c r="N46" s="8">
        <f>Table1[[#This Row],[kelly/4 365]]*0.8*$U$2</f>
        <v>9.4930122408295681</v>
      </c>
      <c r="O46" s="2">
        <f>Table1[[#This Row],[365 implied]]</f>
        <v>0.43478260869565222</v>
      </c>
      <c r="P46" s="2">
        <f>(Table1[[#This Row],[poisson_likelihood]] - (1-Table1[[#This Row],[poisson_likelihood]])/(1/Table1[[#This Row],[99/pinn implied]]-1))/4</f>
        <v>5.93313265051848E-3</v>
      </c>
      <c r="Q46" s="3">
        <f>Table1[[#This Row],[kelly/4 99]]*0.8*$U$2</f>
        <v>9.4930122408295681</v>
      </c>
      <c r="R46" t="s">
        <v>102</v>
      </c>
      <c r="S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12.340915913078437</v>
      </c>
    </row>
    <row r="47" spans="1:19" x14ac:dyDescent="0.2">
      <c r="A47">
        <v>6720</v>
      </c>
      <c r="B47" t="s">
        <v>75</v>
      </c>
      <c r="C47" s="1">
        <v>45614</v>
      </c>
      <c r="D47" t="s">
        <v>13</v>
      </c>
      <c r="E47">
        <v>1.5</v>
      </c>
      <c r="F47" s="2">
        <v>0.40650406504065001</v>
      </c>
      <c r="G47" s="2">
        <v>0.37046954944634503</v>
      </c>
      <c r="H47" s="2">
        <v>0.41446605377851797</v>
      </c>
      <c r="I47" s="2">
        <v>0.39622641509433898</v>
      </c>
      <c r="J47" s="2">
        <v>0.400709219858156</v>
      </c>
      <c r="K47" s="2">
        <v>3.3538514204032501E-3</v>
      </c>
      <c r="L47" s="2">
        <f>Table1[[#This Row],[99/pinn implied]]</f>
        <v>0.4065040650406504</v>
      </c>
      <c r="M47" s="2">
        <f>(Table1[[#This Row],[poisson_likelihood]] - (1-Table1[[#This Row],[poisson_likelihood]])/(1/Table1[[#This Row],[365 implied]]-1))/4</f>
        <v>3.35385142040312E-3</v>
      </c>
      <c r="N47" s="6">
        <f>Table1[[#This Row],[kelly/4 365]]*0.8*$U$2</f>
        <v>5.366162272644992</v>
      </c>
      <c r="O47" s="2">
        <f>1/2.46</f>
        <v>0.4065040650406504</v>
      </c>
      <c r="P47" s="2">
        <f>(Table1[[#This Row],[poisson_likelihood]] - (1-Table1[[#This Row],[poisson_likelihood]])/(1/Table1[[#This Row],[99/pinn implied]]-1))/4</f>
        <v>3.35385142040312E-3</v>
      </c>
      <c r="Q47" s="7">
        <f>Table1[[#This Row],[kelly/4 99]]*0.8*$U$2</f>
        <v>5.366162272644992</v>
      </c>
      <c r="R47" t="s">
        <v>101</v>
      </c>
      <c r="S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-5.366162272644992</v>
      </c>
    </row>
    <row r="48" spans="1:19" x14ac:dyDescent="0.2">
      <c r="A48">
        <v>6681</v>
      </c>
      <c r="B48" t="s">
        <v>56</v>
      </c>
      <c r="C48" s="1">
        <v>45614</v>
      </c>
      <c r="D48" t="s">
        <v>12</v>
      </c>
      <c r="E48">
        <v>1.5</v>
      </c>
      <c r="F48" s="2">
        <v>0.65359477124182996</v>
      </c>
      <c r="G48" s="2">
        <v>0.68588754800319496</v>
      </c>
      <c r="H48" s="2">
        <v>0.65694132793621396</v>
      </c>
      <c r="I48" s="2">
        <v>0.51485148514851398</v>
      </c>
      <c r="J48" s="2">
        <v>0.5</v>
      </c>
      <c r="K48" s="2">
        <v>2.4152036520792802E-3</v>
      </c>
      <c r="L48" s="2"/>
      <c r="M48" s="2" t="e">
        <f>(Table1[[#This Row],[poisson_likelihood]] - (1-Table1[[#This Row],[poisson_likelihood]])/(1/Table1[[#This Row],[365 implied]]-1))/4</f>
        <v>#DIV/0!</v>
      </c>
      <c r="N48" s="6" t="e">
        <f>Table1[[#This Row],[kelly/4 365]]*0.8*$U$2</f>
        <v>#DIV/0!</v>
      </c>
      <c r="P48" s="2" t="e">
        <f>(Table1[[#This Row],[poisson_likelihood]] - (1-Table1[[#This Row],[poisson_likelihood]])/(1/Table1[[#This Row],[99/pinn implied]]-1))/4</f>
        <v>#DIV/0!</v>
      </c>
      <c r="Q48" s="3" t="e">
        <f>Table1[[#This Row],[kelly/4 99]]*0.8*$U$2</f>
        <v>#DIV/0!</v>
      </c>
      <c r="S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9" spans="1:19" x14ac:dyDescent="0.2">
      <c r="A49">
        <v>6664</v>
      </c>
      <c r="B49" t="s">
        <v>47</v>
      </c>
      <c r="C49" s="1">
        <v>45614</v>
      </c>
      <c r="D49" t="s">
        <v>13</v>
      </c>
      <c r="E49">
        <v>1.5</v>
      </c>
      <c r="F49" s="2">
        <v>0.434782608695652</v>
      </c>
      <c r="G49" s="2">
        <v>0.39837329535652299</v>
      </c>
      <c r="H49" s="2">
        <v>0.43771170602883003</v>
      </c>
      <c r="I49" s="2">
        <v>0.39010989010989</v>
      </c>
      <c r="J49" s="2">
        <v>0.38387096774193502</v>
      </c>
      <c r="K49" s="2">
        <v>1.2955622819826799E-3</v>
      </c>
      <c r="L49" s="2"/>
      <c r="M49" s="2" t="e">
        <f>(Table1[[#This Row],[poisson_likelihood]] - (1-Table1[[#This Row],[poisson_likelihood]])/(1/Table1[[#This Row],[365 implied]]-1))/4</f>
        <v>#DIV/0!</v>
      </c>
      <c r="N49" s="6" t="e">
        <f>Table1[[#This Row],[kelly/4 365]]*0.8*$U$2</f>
        <v>#DIV/0!</v>
      </c>
      <c r="P49" s="2" t="e">
        <f>(Table1[[#This Row],[poisson_likelihood]] - (1-Table1[[#This Row],[poisson_likelihood]])/(1/Table1[[#This Row],[99/pinn implied]]-1))/4</f>
        <v>#DIV/0!</v>
      </c>
      <c r="Q49" s="3" t="e">
        <f>Table1[[#This Row],[kelly/4 99]]*0.8*$U$2</f>
        <v>#DIV/0!</v>
      </c>
      <c r="S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0" spans="1:19" x14ac:dyDescent="0.2">
      <c r="A50">
        <v>6614</v>
      </c>
      <c r="B50" t="s">
        <v>22</v>
      </c>
      <c r="C50" s="1">
        <v>45614</v>
      </c>
      <c r="D50" t="s">
        <v>13</v>
      </c>
      <c r="E50">
        <v>3.5</v>
      </c>
      <c r="F50" s="2">
        <v>0.60975609756097504</v>
      </c>
      <c r="G50" s="2">
        <v>0.57349071943458296</v>
      </c>
      <c r="H50" s="2">
        <v>0.61128141357754595</v>
      </c>
      <c r="I50" s="2">
        <v>0.66</v>
      </c>
      <c r="J50" s="2">
        <v>0.644859813084112</v>
      </c>
      <c r="K50" s="2">
        <v>9.7715557311564495E-4</v>
      </c>
      <c r="L50" s="2"/>
      <c r="M50" s="2" t="e">
        <f>(Table1[[#This Row],[poisson_likelihood]] - (1-Table1[[#This Row],[poisson_likelihood]])/(1/Table1[[#This Row],[365 implied]]-1))/4</f>
        <v>#DIV/0!</v>
      </c>
      <c r="N50" s="6" t="e">
        <f>Table1[[#This Row],[kelly/4 365]]*0.8*$U$2</f>
        <v>#DIV/0!</v>
      </c>
      <c r="P50" s="2" t="e">
        <f>(Table1[[#This Row],[poisson_likelihood]] - (1-Table1[[#This Row],[poisson_likelihood]])/(1/Table1[[#This Row],[99/pinn implied]]-1))/4</f>
        <v>#DIV/0!</v>
      </c>
      <c r="Q50" s="3" t="e">
        <f>Table1[[#This Row],[kelly/4 99]]*0.8*$U$2</f>
        <v>#DIV/0!</v>
      </c>
      <c r="S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1" spans="1:19" x14ac:dyDescent="0.2">
      <c r="A51">
        <v>6608</v>
      </c>
      <c r="B51" t="s">
        <v>19</v>
      </c>
      <c r="C51" s="1">
        <v>45614</v>
      </c>
      <c r="D51" t="s">
        <v>13</v>
      </c>
      <c r="E51">
        <v>2.5</v>
      </c>
      <c r="F51" s="2">
        <v>0.58823529411764697</v>
      </c>
      <c r="G51" s="2">
        <v>0.53884086281403998</v>
      </c>
      <c r="H51" s="2">
        <v>0.58772949986297995</v>
      </c>
      <c r="I51" s="2">
        <v>0.62121212121212099</v>
      </c>
      <c r="J51" s="2">
        <v>0.61006289308176098</v>
      </c>
      <c r="K51" s="2">
        <v>-3.0708936890455602E-4</v>
      </c>
      <c r="L51" s="2"/>
      <c r="M51" s="2" t="e">
        <f>(Table1[[#This Row],[poisson_likelihood]] - (1-Table1[[#This Row],[poisson_likelihood]])/(1/Table1[[#This Row],[365 implied]]-1))/4</f>
        <v>#DIV/0!</v>
      </c>
      <c r="N51" s="6" t="e">
        <f>Table1[[#This Row],[kelly/4 365]]*0.8*$U$2</f>
        <v>#DIV/0!</v>
      </c>
      <c r="P51" s="2" t="e">
        <f>(Table1[[#This Row],[poisson_likelihood]] - (1-Table1[[#This Row],[poisson_likelihood]])/(1/Table1[[#This Row],[99/pinn implied]]-1))/4</f>
        <v>#DIV/0!</v>
      </c>
      <c r="Q51" s="3" t="e">
        <f>Table1[[#This Row],[kelly/4 99]]*0.8*$U$2</f>
        <v>#DIV/0!</v>
      </c>
      <c r="S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2" spans="1:19" x14ac:dyDescent="0.2">
      <c r="A52">
        <v>6598</v>
      </c>
      <c r="B52" t="s">
        <v>14</v>
      </c>
      <c r="C52" s="1">
        <v>45614</v>
      </c>
      <c r="D52" t="s">
        <v>13</v>
      </c>
      <c r="E52">
        <v>2.5</v>
      </c>
      <c r="F52" s="2">
        <v>0.52356020942408299</v>
      </c>
      <c r="G52" s="2">
        <v>0.479594480563929</v>
      </c>
      <c r="H52" s="2">
        <v>0.52181095041793102</v>
      </c>
      <c r="I52" s="2">
        <v>0.52873563218390796</v>
      </c>
      <c r="J52" s="2">
        <v>0.5</v>
      </c>
      <c r="K52" s="2">
        <v>-9.1788041256876598E-4</v>
      </c>
      <c r="L52" s="2"/>
      <c r="M52" s="2" t="e">
        <f>(Table1[[#This Row],[poisson_likelihood]] - (1-Table1[[#This Row],[poisson_likelihood]])/(1/Table1[[#This Row],[365 implied]]-1))/4</f>
        <v>#DIV/0!</v>
      </c>
      <c r="N52" s="6" t="e">
        <f>Table1[[#This Row],[kelly/4 365]]*0.8*$U$2</f>
        <v>#DIV/0!</v>
      </c>
      <c r="P52" s="2" t="e">
        <f>(Table1[[#This Row],[poisson_likelihood]] - (1-Table1[[#This Row],[poisson_likelihood]])/(1/Table1[[#This Row],[99/pinn implied]]-1))/4</f>
        <v>#DIV/0!</v>
      </c>
      <c r="Q52" s="3" t="e">
        <f>Table1[[#This Row],[kelly/4 99]]*0.8*$U$2</f>
        <v>#DIV/0!</v>
      </c>
      <c r="S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3" spans="1:19" x14ac:dyDescent="0.2">
      <c r="A53">
        <v>6723</v>
      </c>
      <c r="B53" t="s">
        <v>77</v>
      </c>
      <c r="C53" s="1">
        <v>45614</v>
      </c>
      <c r="D53" t="s">
        <v>12</v>
      </c>
      <c r="E53">
        <v>2.5</v>
      </c>
      <c r="F53" s="2">
        <v>0.43103448275862</v>
      </c>
      <c r="G53" s="2">
        <v>0.47234992702075401</v>
      </c>
      <c r="H53" s="2">
        <v>0.42587041837178002</v>
      </c>
      <c r="I53" s="2">
        <v>0.46762589928057502</v>
      </c>
      <c r="J53" s="2">
        <v>0.44905660377358397</v>
      </c>
      <c r="K53" s="2">
        <v>-2.2690585942177601E-3</v>
      </c>
      <c r="L53" s="2"/>
      <c r="M53" s="2" t="e">
        <f>(Table1[[#This Row],[poisson_likelihood]] - (1-Table1[[#This Row],[poisson_likelihood]])/(1/Table1[[#This Row],[365 implied]]-1))/4</f>
        <v>#DIV/0!</v>
      </c>
      <c r="N53" s="6" t="e">
        <f>Table1[[#This Row],[kelly/4 365]]*0.8*$U$2</f>
        <v>#DIV/0!</v>
      </c>
      <c r="P53" s="2" t="e">
        <f>(Table1[[#This Row],[poisson_likelihood]] - (1-Table1[[#This Row],[poisson_likelihood]])/(1/Table1[[#This Row],[99/pinn implied]]-1))/4</f>
        <v>#DIV/0!</v>
      </c>
      <c r="Q53" s="3" t="e">
        <f>Table1[[#This Row],[kelly/4 99]]*0.8*$U$2</f>
        <v>#DIV/0!</v>
      </c>
      <c r="S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4" spans="1:19" x14ac:dyDescent="0.2">
      <c r="A54">
        <v>6691</v>
      </c>
      <c r="B54" t="s">
        <v>61</v>
      </c>
      <c r="C54" s="1">
        <v>45614</v>
      </c>
      <c r="D54" t="s">
        <v>12</v>
      </c>
      <c r="E54">
        <v>1.5</v>
      </c>
      <c r="F54" s="2">
        <v>0.59523809523809501</v>
      </c>
      <c r="G54" s="2">
        <v>0.61643722931957301</v>
      </c>
      <c r="H54" s="2">
        <v>0.59037863793777101</v>
      </c>
      <c r="I54" s="2">
        <v>0.6328125</v>
      </c>
      <c r="J54" s="2">
        <v>0.616915422885572</v>
      </c>
      <c r="K54" s="2">
        <v>-3.0014295090235099E-3</v>
      </c>
      <c r="L54" s="2"/>
      <c r="M54" s="2" t="e">
        <f>(Table1[[#This Row],[poisson_likelihood]] - (1-Table1[[#This Row],[poisson_likelihood]])/(1/Table1[[#This Row],[365 implied]]-1))/4</f>
        <v>#DIV/0!</v>
      </c>
      <c r="N54" s="6" t="e">
        <f>Table1[[#This Row],[kelly/4 365]]*0.8*$U$2</f>
        <v>#DIV/0!</v>
      </c>
      <c r="O54" s="2">
        <f>1/1.555</f>
        <v>0.64308681672025725</v>
      </c>
      <c r="P54" s="2">
        <f>(Table1[[#This Row],[poisson_likelihood]] - (1-Table1[[#This Row],[poisson_likelihood]])/(1/Table1[[#This Row],[99/pinn implied]]-1))/4</f>
        <v>-3.6919467570615372E-2</v>
      </c>
      <c r="Q54" s="3">
        <f>Table1[[#This Row],[kelly/4 99]]*0.8*$U$2</f>
        <v>-59.071148112984595</v>
      </c>
      <c r="S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5" spans="1:19" x14ac:dyDescent="0.2">
      <c r="A55">
        <v>6651</v>
      </c>
      <c r="B55" t="s">
        <v>41</v>
      </c>
      <c r="C55" s="1">
        <v>45614</v>
      </c>
      <c r="D55" t="s">
        <v>12</v>
      </c>
      <c r="E55">
        <v>3.5</v>
      </c>
      <c r="F55" s="2">
        <v>0.55555555555555503</v>
      </c>
      <c r="G55" s="2">
        <v>0.57437794486421601</v>
      </c>
      <c r="H55" s="2">
        <v>0.550175135951118</v>
      </c>
      <c r="I55" s="2">
        <v>0.520231213872832</v>
      </c>
      <c r="J55" s="2">
        <v>0.49480968858131402</v>
      </c>
      <c r="K55" s="2">
        <v>-3.0264860274959999E-3</v>
      </c>
      <c r="L55" s="2"/>
      <c r="M55" s="2" t="e">
        <f>(Table1[[#This Row],[poisson_likelihood]] - (1-Table1[[#This Row],[poisson_likelihood]])/(1/Table1[[#This Row],[365 implied]]-1))/4</f>
        <v>#DIV/0!</v>
      </c>
      <c r="N55" s="6" t="e">
        <f>Table1[[#This Row],[kelly/4 365]]*0.8*$U$2</f>
        <v>#DIV/0!</v>
      </c>
      <c r="P55" s="2" t="e">
        <f>(Table1[[#This Row],[poisson_likelihood]] - (1-Table1[[#This Row],[poisson_likelihood]])/(1/Table1[[#This Row],[99/pinn implied]]-1))/4</f>
        <v>#DIV/0!</v>
      </c>
      <c r="Q55" s="3" t="e">
        <f>Table1[[#This Row],[kelly/4 99]]*0.8*$U$2</f>
        <v>#DIV/0!</v>
      </c>
      <c r="S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6" spans="1:19" x14ac:dyDescent="0.2">
      <c r="A56">
        <v>6669</v>
      </c>
      <c r="B56" t="s">
        <v>50</v>
      </c>
      <c r="C56" s="1">
        <v>45614</v>
      </c>
      <c r="D56" t="s">
        <v>12</v>
      </c>
      <c r="E56">
        <v>3.5</v>
      </c>
      <c r="F56" s="2">
        <v>0.46511627906976699</v>
      </c>
      <c r="G56" s="2">
        <v>0.494671577071017</v>
      </c>
      <c r="H56" s="2">
        <v>0.45805033735940498</v>
      </c>
      <c r="I56" s="2">
        <v>0.43502824858757</v>
      </c>
      <c r="J56" s="2">
        <v>0.40594059405940502</v>
      </c>
      <c r="K56" s="2">
        <v>-3.30255971245174E-3</v>
      </c>
      <c r="L56" s="2"/>
      <c r="M56" s="2" t="e">
        <f>(Table1[[#This Row],[poisson_likelihood]] - (1-Table1[[#This Row],[poisson_likelihood]])/(1/Table1[[#This Row],[365 implied]]-1))/4</f>
        <v>#DIV/0!</v>
      </c>
      <c r="N56" s="6" t="e">
        <f>Table1[[#This Row],[kelly/4 365]]*0.8*$U$2</f>
        <v>#DIV/0!</v>
      </c>
      <c r="P56" s="2" t="e">
        <f>(Table1[[#This Row],[poisson_likelihood]] - (1-Table1[[#This Row],[poisson_likelihood]])/(1/Table1[[#This Row],[99/pinn implied]]-1))/4</f>
        <v>#DIV/0!</v>
      </c>
      <c r="Q56" s="3" t="e">
        <f>Table1[[#This Row],[kelly/4 99]]*0.8*$U$2</f>
        <v>#DIV/0!</v>
      </c>
      <c r="S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7" spans="1:19" x14ac:dyDescent="0.2">
      <c r="A57">
        <v>6648</v>
      </c>
      <c r="B57" t="s">
        <v>39</v>
      </c>
      <c r="C57" s="1">
        <v>45614</v>
      </c>
      <c r="D57" t="s">
        <v>13</v>
      </c>
      <c r="E57">
        <v>1.5</v>
      </c>
      <c r="F57" s="2">
        <v>0.49019607843137197</v>
      </c>
      <c r="G57" s="2">
        <v>0.44034178814774799</v>
      </c>
      <c r="H57" s="2">
        <v>0.48305718094551903</v>
      </c>
      <c r="I57" s="2">
        <v>0.41758241758241699</v>
      </c>
      <c r="J57" s="2">
        <v>0.40322580645161199</v>
      </c>
      <c r="K57" s="2">
        <v>-3.5008054978700001E-3</v>
      </c>
      <c r="L57" s="2"/>
      <c r="M57" s="2" t="e">
        <f>(Table1[[#This Row],[poisson_likelihood]] - (1-Table1[[#This Row],[poisson_likelihood]])/(1/Table1[[#This Row],[365 implied]]-1))/4</f>
        <v>#DIV/0!</v>
      </c>
      <c r="N57" s="6" t="e">
        <f>Table1[[#This Row],[kelly/4 365]]*0.8*$U$2</f>
        <v>#DIV/0!</v>
      </c>
      <c r="P57" s="2" t="e">
        <f>(Table1[[#This Row],[poisson_likelihood]] - (1-Table1[[#This Row],[poisson_likelihood]])/(1/Table1[[#This Row],[99/pinn implied]]-1))/4</f>
        <v>#DIV/0!</v>
      </c>
      <c r="Q57" s="3" t="e">
        <f>Table1[[#This Row],[kelly/4 99]]*0.8*$U$2</f>
        <v>#DIV/0!</v>
      </c>
      <c r="S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8" spans="1:19" x14ac:dyDescent="0.2">
      <c r="A58">
        <v>6680</v>
      </c>
      <c r="B58" t="s">
        <v>55</v>
      </c>
      <c r="C58" s="1">
        <v>45614</v>
      </c>
      <c r="D58" t="s">
        <v>13</v>
      </c>
      <c r="E58">
        <v>2.5</v>
      </c>
      <c r="F58" s="2">
        <v>0.46296296296296202</v>
      </c>
      <c r="G58" s="2">
        <v>0.41260346714729201</v>
      </c>
      <c r="H58" s="2">
        <v>0.45540549410036801</v>
      </c>
      <c r="I58" s="2">
        <v>0.60256410256410198</v>
      </c>
      <c r="J58" s="2">
        <v>0.60077519379844901</v>
      </c>
      <c r="K58" s="2">
        <v>-3.5181320567248099E-3</v>
      </c>
      <c r="L58" s="2"/>
      <c r="M58" s="2" t="e">
        <f>(Table1[[#This Row],[poisson_likelihood]] - (1-Table1[[#This Row],[poisson_likelihood]])/(1/Table1[[#This Row],[365 implied]]-1))/4</f>
        <v>#DIV/0!</v>
      </c>
      <c r="N58" s="6" t="e">
        <f>Table1[[#This Row],[kelly/4 365]]*0.8*$U$2</f>
        <v>#DIV/0!</v>
      </c>
      <c r="P58" s="2" t="e">
        <f>(Table1[[#This Row],[poisson_likelihood]] - (1-Table1[[#This Row],[poisson_likelihood]])/(1/Table1[[#This Row],[99/pinn implied]]-1))/4</f>
        <v>#DIV/0!</v>
      </c>
      <c r="Q58" s="3" t="e">
        <f>Table1[[#This Row],[kelly/4 99]]*0.8*$U$2</f>
        <v>#DIV/0!</v>
      </c>
      <c r="S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9" spans="1:19" x14ac:dyDescent="0.2">
      <c r="A59">
        <v>6686</v>
      </c>
      <c r="B59" t="s">
        <v>58</v>
      </c>
      <c r="C59" s="1">
        <v>45614</v>
      </c>
      <c r="D59" t="s">
        <v>13</v>
      </c>
      <c r="E59">
        <v>2.5</v>
      </c>
      <c r="F59" s="2">
        <v>0.44444444444444398</v>
      </c>
      <c r="G59" s="2">
        <v>0.39892743838474998</v>
      </c>
      <c r="H59" s="2">
        <v>0.435924564409093</v>
      </c>
      <c r="I59" s="2">
        <v>0.6</v>
      </c>
      <c r="J59" s="2">
        <v>0.56907894736842102</v>
      </c>
      <c r="K59" s="2">
        <v>-3.8339460159081502E-3</v>
      </c>
      <c r="L59" s="2"/>
      <c r="M59" s="2" t="e">
        <f>(Table1[[#This Row],[poisson_likelihood]] - (1-Table1[[#This Row],[poisson_likelihood]])/(1/Table1[[#This Row],[365 implied]]-1))/4</f>
        <v>#DIV/0!</v>
      </c>
      <c r="N59" s="6" t="e">
        <f>Table1[[#This Row],[kelly/4 365]]*0.8*$U$2</f>
        <v>#DIV/0!</v>
      </c>
      <c r="P59" s="2" t="e">
        <f>(Table1[[#This Row],[poisson_likelihood]] - (1-Table1[[#This Row],[poisson_likelihood]])/(1/Table1[[#This Row],[99/pinn implied]]-1))/4</f>
        <v>#DIV/0!</v>
      </c>
      <c r="Q59" s="3" t="e">
        <f>Table1[[#This Row],[kelly/4 99]]*0.8*$U$2</f>
        <v>#DIV/0!</v>
      </c>
      <c r="S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0" spans="1:19" x14ac:dyDescent="0.2">
      <c r="A60">
        <v>6725</v>
      </c>
      <c r="B60" t="s">
        <v>78</v>
      </c>
      <c r="C60" s="1">
        <v>45614</v>
      </c>
      <c r="D60" t="s">
        <v>12</v>
      </c>
      <c r="E60">
        <v>2.5</v>
      </c>
      <c r="F60" s="2">
        <v>0.434782608695652</v>
      </c>
      <c r="G60" s="2">
        <v>0.472411673091786</v>
      </c>
      <c r="H60" s="2">
        <v>0.42485136484630298</v>
      </c>
      <c r="I60" s="2">
        <v>0.38709677419354799</v>
      </c>
      <c r="J60" s="2">
        <v>0.37190082644628097</v>
      </c>
      <c r="K60" s="2">
        <v>-4.39266554875049E-3</v>
      </c>
      <c r="L60" s="2"/>
      <c r="M60" s="2" t="e">
        <f>(Table1[[#This Row],[poisson_likelihood]] - (1-Table1[[#This Row],[poisson_likelihood]])/(1/Table1[[#This Row],[365 implied]]-1))/4</f>
        <v>#DIV/0!</v>
      </c>
      <c r="N60" s="6" t="e">
        <f>Table1[[#This Row],[kelly/4 365]]*0.8*$U$2</f>
        <v>#DIV/0!</v>
      </c>
      <c r="P60" s="2" t="e">
        <f>(Table1[[#This Row],[poisson_likelihood]] - (1-Table1[[#This Row],[poisson_likelihood]])/(1/Table1[[#This Row],[99/pinn implied]]-1))/4</f>
        <v>#DIV/0!</v>
      </c>
      <c r="Q60" s="3" t="e">
        <f>Table1[[#This Row],[kelly/4 99]]*0.8*$U$2</f>
        <v>#DIV/0!</v>
      </c>
      <c r="S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1" spans="1:19" x14ac:dyDescent="0.2">
      <c r="A61">
        <v>6684</v>
      </c>
      <c r="B61" t="s">
        <v>57</v>
      </c>
      <c r="C61" s="1">
        <v>45614</v>
      </c>
      <c r="D61" t="s">
        <v>13</v>
      </c>
      <c r="E61">
        <v>2.5</v>
      </c>
      <c r="F61" s="2">
        <v>0.59523809523809501</v>
      </c>
      <c r="G61" s="2">
        <v>0.54393941445101002</v>
      </c>
      <c r="H61" s="2">
        <v>0.58762430752183104</v>
      </c>
      <c r="I61" s="2">
        <v>0.67682926829268297</v>
      </c>
      <c r="J61" s="2">
        <v>0.67017543859649098</v>
      </c>
      <c r="K61" s="2">
        <v>-4.7026335894573201E-3</v>
      </c>
      <c r="L61" s="2"/>
      <c r="M61" s="2" t="e">
        <f>(Table1[[#This Row],[poisson_likelihood]] - (1-Table1[[#This Row],[poisson_likelihood]])/(1/Table1[[#This Row],[365 implied]]-1))/4</f>
        <v>#DIV/0!</v>
      </c>
      <c r="N61" s="6" t="e">
        <f>Table1[[#This Row],[kelly/4 365]]*0.8*$U$2</f>
        <v>#DIV/0!</v>
      </c>
      <c r="P61" s="2" t="e">
        <f>(Table1[[#This Row],[poisson_likelihood]] - (1-Table1[[#This Row],[poisson_likelihood]])/(1/Table1[[#This Row],[99/pinn implied]]-1))/4</f>
        <v>#DIV/0!</v>
      </c>
      <c r="Q61" s="3" t="e">
        <f>Table1[[#This Row],[kelly/4 99]]*0.8*$U$2</f>
        <v>#DIV/0!</v>
      </c>
      <c r="S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2" spans="1:19" x14ac:dyDescent="0.2">
      <c r="A62">
        <v>6728</v>
      </c>
      <c r="B62" t="s">
        <v>79</v>
      </c>
      <c r="C62" s="1">
        <v>45614</v>
      </c>
      <c r="D62" t="s">
        <v>13</v>
      </c>
      <c r="E62">
        <v>1.5</v>
      </c>
      <c r="F62" s="2">
        <v>0.41666666666666602</v>
      </c>
      <c r="G62" s="2">
        <v>0.34975325896711201</v>
      </c>
      <c r="H62" s="2">
        <v>0.40516428339731902</v>
      </c>
      <c r="I62" s="2">
        <v>0.49171270718232002</v>
      </c>
      <c r="J62" s="2">
        <v>0.50162866449511401</v>
      </c>
      <c r="K62" s="2">
        <v>-4.92959282972042E-3</v>
      </c>
      <c r="L62" s="2"/>
      <c r="M62" s="2" t="e">
        <f>(Table1[[#This Row],[poisson_likelihood]] - (1-Table1[[#This Row],[poisson_likelihood]])/(1/Table1[[#This Row],[365 implied]]-1))/4</f>
        <v>#DIV/0!</v>
      </c>
      <c r="N62" s="6" t="e">
        <f>Table1[[#This Row],[kelly/4 365]]*0.8*$U$2</f>
        <v>#DIV/0!</v>
      </c>
      <c r="P62" s="2" t="e">
        <f>(Table1[[#This Row],[poisson_likelihood]] - (1-Table1[[#This Row],[poisson_likelihood]])/(1/Table1[[#This Row],[99/pinn implied]]-1))/4</f>
        <v>#DIV/0!</v>
      </c>
      <c r="Q62" s="3" t="e">
        <f>Table1[[#This Row],[kelly/4 99]]*0.8*$U$2</f>
        <v>#DIV/0!</v>
      </c>
      <c r="S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3" spans="1:19" x14ac:dyDescent="0.2">
      <c r="A63">
        <v>6650</v>
      </c>
      <c r="B63" t="s">
        <v>40</v>
      </c>
      <c r="C63" s="1">
        <v>45614</v>
      </c>
      <c r="D63" t="s">
        <v>13</v>
      </c>
      <c r="E63">
        <v>2.5</v>
      </c>
      <c r="F63" s="2">
        <v>0.460829493087557</v>
      </c>
      <c r="G63" s="2">
        <v>0.411776078812708</v>
      </c>
      <c r="H63" s="2">
        <v>0.44883965282634197</v>
      </c>
      <c r="I63" s="2">
        <v>0.44134078212290501</v>
      </c>
      <c r="J63" s="2">
        <v>0.46078431372549</v>
      </c>
      <c r="K63" s="2">
        <v>-5.5593917450505303E-3</v>
      </c>
      <c r="L63" s="2"/>
      <c r="M63" s="2" t="e">
        <f>(Table1[[#This Row],[poisson_likelihood]] - (1-Table1[[#This Row],[poisson_likelihood]])/(1/Table1[[#This Row],[365 implied]]-1))/4</f>
        <v>#DIV/0!</v>
      </c>
      <c r="N63" s="6" t="e">
        <f>Table1[[#This Row],[kelly/4 365]]*0.8*$U$2</f>
        <v>#DIV/0!</v>
      </c>
      <c r="P63" s="2" t="e">
        <f>(Table1[[#This Row],[poisson_likelihood]] - (1-Table1[[#This Row],[poisson_likelihood]])/(1/Table1[[#This Row],[99/pinn implied]]-1))/4</f>
        <v>#DIV/0!</v>
      </c>
      <c r="Q63" s="3" t="e">
        <f>Table1[[#This Row],[kelly/4 99]]*0.8*$U$2</f>
        <v>#DIV/0!</v>
      </c>
      <c r="S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4" spans="1:19" x14ac:dyDescent="0.2">
      <c r="A64">
        <v>6655</v>
      </c>
      <c r="B64" t="s">
        <v>43</v>
      </c>
      <c r="C64" s="1">
        <v>45614</v>
      </c>
      <c r="D64" t="s">
        <v>12</v>
      </c>
      <c r="E64">
        <v>2.5</v>
      </c>
      <c r="F64" s="2">
        <v>0.42372881355932202</v>
      </c>
      <c r="G64" s="2">
        <v>0.45490295960881499</v>
      </c>
      <c r="H64" s="2">
        <v>0.41022609106508101</v>
      </c>
      <c r="I64" s="2">
        <v>0.38333333333333303</v>
      </c>
      <c r="J64" s="2">
        <v>0.36928104575163401</v>
      </c>
      <c r="K64" s="2">
        <v>-5.8577987291191704E-3</v>
      </c>
      <c r="L64" s="2"/>
      <c r="M64" s="2" t="e">
        <f>(Table1[[#This Row],[poisson_likelihood]] - (1-Table1[[#This Row],[poisson_likelihood]])/(1/Table1[[#This Row],[365 implied]]-1))/4</f>
        <v>#DIV/0!</v>
      </c>
      <c r="N64" s="6" t="e">
        <f>Table1[[#This Row],[kelly/4 365]]*0.8*$U$2</f>
        <v>#DIV/0!</v>
      </c>
      <c r="P64" s="2" t="e">
        <f>(Table1[[#This Row],[poisson_likelihood]] - (1-Table1[[#This Row],[poisson_likelihood]])/(1/Table1[[#This Row],[99/pinn implied]]-1))/4</f>
        <v>#DIV/0!</v>
      </c>
      <c r="Q64" s="3" t="e">
        <f>Table1[[#This Row],[kelly/4 99]]*0.8*$U$2</f>
        <v>#DIV/0!</v>
      </c>
      <c r="S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5" spans="1:19" x14ac:dyDescent="0.2">
      <c r="A65">
        <v>6595</v>
      </c>
      <c r="B65" t="s">
        <v>11</v>
      </c>
      <c r="C65" s="1">
        <v>45614</v>
      </c>
      <c r="D65" t="s">
        <v>12</v>
      </c>
      <c r="E65">
        <v>1.5</v>
      </c>
      <c r="F65" s="2">
        <v>0.625</v>
      </c>
      <c r="G65" s="2">
        <v>0.64452094025275997</v>
      </c>
      <c r="H65" s="2">
        <v>0.61612550510207997</v>
      </c>
      <c r="I65" s="2">
        <v>0.62643678160919503</v>
      </c>
      <c r="J65" s="2">
        <v>0.59932659932659904</v>
      </c>
      <c r="K65" s="2">
        <v>-5.9163299319463496E-3</v>
      </c>
      <c r="L65" s="2"/>
      <c r="M65" s="2" t="e">
        <f>(Table1[[#This Row],[poisson_likelihood]] - (1-Table1[[#This Row],[poisson_likelihood]])/(1/Table1[[#This Row],[365 implied]]-1))/4</f>
        <v>#DIV/0!</v>
      </c>
      <c r="N65" s="6" t="e">
        <f>Table1[[#This Row],[kelly/4 365]]*0.8*$U$2</f>
        <v>#DIV/0!</v>
      </c>
      <c r="P65" s="2" t="e">
        <f>(Table1[[#This Row],[poisson_likelihood]] - (1-Table1[[#This Row],[poisson_likelihood]])/(1/Table1[[#This Row],[99/pinn implied]]-1))/4</f>
        <v>#DIV/0!</v>
      </c>
      <c r="Q65" s="3" t="e">
        <f>Table1[[#This Row],[kelly/4 99]]*0.8*$U$2</f>
        <v>#DIV/0!</v>
      </c>
      <c r="S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6" spans="1:19" x14ac:dyDescent="0.2">
      <c r="A66">
        <v>6611</v>
      </c>
      <c r="B66" t="s">
        <v>21</v>
      </c>
      <c r="C66" s="1">
        <v>45614</v>
      </c>
      <c r="D66" t="s">
        <v>12</v>
      </c>
      <c r="E66">
        <v>2.5</v>
      </c>
      <c r="F66" s="2">
        <v>0.41666666666666602</v>
      </c>
      <c r="G66" s="2">
        <v>0.44331984241922001</v>
      </c>
      <c r="H66" s="2">
        <v>0.40214436100637502</v>
      </c>
      <c r="I66" s="2">
        <v>0.4</v>
      </c>
      <c r="J66" s="2">
        <v>0.42857142857142799</v>
      </c>
      <c r="K66" s="2">
        <v>-6.22384528298174E-3</v>
      </c>
      <c r="L66" s="2"/>
      <c r="M66" s="2" t="e">
        <f>(Table1[[#This Row],[poisson_likelihood]] - (1-Table1[[#This Row],[poisson_likelihood]])/(1/Table1[[#This Row],[365 implied]]-1))/4</f>
        <v>#DIV/0!</v>
      </c>
      <c r="N66" s="6" t="e">
        <f>Table1[[#This Row],[kelly/4 365]]*0.8*$U$2</f>
        <v>#DIV/0!</v>
      </c>
      <c r="P66" s="2" t="e">
        <f>(Table1[[#This Row],[poisson_likelihood]] - (1-Table1[[#This Row],[poisson_likelihood]])/(1/Table1[[#This Row],[99/pinn implied]]-1))/4</f>
        <v>#DIV/0!</v>
      </c>
      <c r="Q66" s="3" t="e">
        <f>Table1[[#This Row],[kelly/4 99]]*0.8*$U$2</f>
        <v>#DIV/0!</v>
      </c>
      <c r="S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7" spans="1:19" x14ac:dyDescent="0.2">
      <c r="A67">
        <v>6672</v>
      </c>
      <c r="B67" t="s">
        <v>51</v>
      </c>
      <c r="C67" s="1">
        <v>45614</v>
      </c>
      <c r="D67" t="s">
        <v>13</v>
      </c>
      <c r="E67">
        <v>1.5</v>
      </c>
      <c r="F67" s="2">
        <v>0.44843049327354201</v>
      </c>
      <c r="G67" s="2">
        <v>0.39233045537968297</v>
      </c>
      <c r="H67" s="2">
        <v>0.43178620269740398</v>
      </c>
      <c r="I67" s="2">
        <v>0.304054054054054</v>
      </c>
      <c r="J67" s="2">
        <v>0.33333333333333298</v>
      </c>
      <c r="K67" s="2">
        <v>-7.5440585334933799E-3</v>
      </c>
      <c r="L67" s="2"/>
      <c r="M67" s="2" t="e">
        <f>(Table1[[#This Row],[poisson_likelihood]] - (1-Table1[[#This Row],[poisson_likelihood]])/(1/Table1[[#This Row],[365 implied]]-1))/4</f>
        <v>#DIV/0!</v>
      </c>
      <c r="N67" s="6" t="e">
        <f>Table1[[#This Row],[kelly/4 365]]*0.8*$U$2</f>
        <v>#DIV/0!</v>
      </c>
      <c r="P67" s="2" t="e">
        <f>(Table1[[#This Row],[poisson_likelihood]] - (1-Table1[[#This Row],[poisson_likelihood]])/(1/Table1[[#This Row],[99/pinn implied]]-1))/4</f>
        <v>#DIV/0!</v>
      </c>
      <c r="Q67" s="3" t="e">
        <f>Table1[[#This Row],[kelly/4 99]]*0.8*$U$2</f>
        <v>#DIV/0!</v>
      </c>
      <c r="S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8" spans="1:19" x14ac:dyDescent="0.2">
      <c r="A68">
        <v>6696</v>
      </c>
      <c r="B68" t="s">
        <v>63</v>
      </c>
      <c r="C68" s="1">
        <v>45614</v>
      </c>
      <c r="D68" t="s">
        <v>13</v>
      </c>
      <c r="E68">
        <v>1.5</v>
      </c>
      <c r="F68" s="2">
        <v>0.512820512820512</v>
      </c>
      <c r="G68" s="2">
        <v>0.44589481912493001</v>
      </c>
      <c r="H68" s="2">
        <v>0.49733961436857399</v>
      </c>
      <c r="I68" s="2">
        <v>0.47887323943661902</v>
      </c>
      <c r="J68" s="2">
        <v>0.48809523809523803</v>
      </c>
      <c r="K68" s="2">
        <v>-7.9441452582316094E-3</v>
      </c>
      <c r="L68" s="2"/>
      <c r="M68" s="2" t="e">
        <f>(Table1[[#This Row],[poisson_likelihood]] - (1-Table1[[#This Row],[poisson_likelihood]])/(1/Table1[[#This Row],[365 implied]]-1))/4</f>
        <v>#DIV/0!</v>
      </c>
      <c r="N68" s="6" t="e">
        <f>Table1[[#This Row],[kelly/4 365]]*0.8*$U$2</f>
        <v>#DIV/0!</v>
      </c>
      <c r="P68" s="2" t="e">
        <f>(Table1[[#This Row],[poisson_likelihood]] - (1-Table1[[#This Row],[poisson_likelihood]])/(1/Table1[[#This Row],[99/pinn implied]]-1))/4</f>
        <v>#DIV/0!</v>
      </c>
      <c r="Q68" s="3" t="e">
        <f>Table1[[#This Row],[kelly/4 99]]*0.8*$U$2</f>
        <v>#DIV/0!</v>
      </c>
      <c r="S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9" spans="1:19" x14ac:dyDescent="0.2">
      <c r="A69">
        <v>6676</v>
      </c>
      <c r="B69" t="s">
        <v>53</v>
      </c>
      <c r="C69" s="1">
        <v>45614</v>
      </c>
      <c r="D69" t="s">
        <v>13</v>
      </c>
      <c r="E69">
        <v>1.5</v>
      </c>
      <c r="F69" s="2">
        <v>0.48076923076923</v>
      </c>
      <c r="G69" s="2">
        <v>0.42200392487480098</v>
      </c>
      <c r="H69" s="2">
        <v>0.46425600033305398</v>
      </c>
      <c r="I69" s="2">
        <v>0.440993788819875</v>
      </c>
      <c r="J69" s="2">
        <v>0.43609022556390897</v>
      </c>
      <c r="K69" s="2">
        <v>-7.9508146544554608E-3</v>
      </c>
      <c r="L69" s="2"/>
      <c r="M69" s="2" t="e">
        <f>(Table1[[#This Row],[poisson_likelihood]] - (1-Table1[[#This Row],[poisson_likelihood]])/(1/Table1[[#This Row],[365 implied]]-1))/4</f>
        <v>#DIV/0!</v>
      </c>
      <c r="N69" s="6" t="e">
        <f>Table1[[#This Row],[kelly/4 365]]*0.8*$U$2</f>
        <v>#DIV/0!</v>
      </c>
      <c r="P69" s="2" t="e">
        <f>(Table1[[#This Row],[poisson_likelihood]] - (1-Table1[[#This Row],[poisson_likelihood]])/(1/Table1[[#This Row],[99/pinn implied]]-1))/4</f>
        <v>#DIV/0!</v>
      </c>
      <c r="Q69" s="3" t="e">
        <f>Table1[[#This Row],[kelly/4 99]]*0.8*$U$2</f>
        <v>#DIV/0!</v>
      </c>
      <c r="S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0" spans="1:19" x14ac:dyDescent="0.2">
      <c r="A70">
        <v>6731</v>
      </c>
      <c r="B70" t="s">
        <v>81</v>
      </c>
      <c r="C70" s="1">
        <v>45614</v>
      </c>
      <c r="D70" t="s">
        <v>12</v>
      </c>
      <c r="E70">
        <v>2.5</v>
      </c>
      <c r="F70" s="2">
        <v>0.40983606557377</v>
      </c>
      <c r="G70" s="2">
        <v>0.43743443566142898</v>
      </c>
      <c r="H70" s="2">
        <v>0.39069798376307202</v>
      </c>
      <c r="I70" s="2">
        <v>0.28901734104046201</v>
      </c>
      <c r="J70" s="2">
        <v>0.28762541806019998</v>
      </c>
      <c r="K70" s="2">
        <v>-8.1071041003650604E-3</v>
      </c>
      <c r="L70" s="2"/>
      <c r="M70" s="2" t="e">
        <f>(Table1[[#This Row],[poisson_likelihood]] - (1-Table1[[#This Row],[poisson_likelihood]])/(1/Table1[[#This Row],[365 implied]]-1))/4</f>
        <v>#DIV/0!</v>
      </c>
      <c r="N70" s="6" t="e">
        <f>Table1[[#This Row],[kelly/4 365]]*0.8*$U$2</f>
        <v>#DIV/0!</v>
      </c>
      <c r="P70" s="2" t="e">
        <f>(Table1[[#This Row],[poisson_likelihood]] - (1-Table1[[#This Row],[poisson_likelihood]])/(1/Table1[[#This Row],[99/pinn implied]]-1))/4</f>
        <v>#DIV/0!</v>
      </c>
      <c r="Q70" s="3" t="e">
        <f>Table1[[#This Row],[kelly/4 99]]*0.8*$U$2</f>
        <v>#DIV/0!</v>
      </c>
      <c r="S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1" spans="1:19" x14ac:dyDescent="0.2">
      <c r="A71">
        <v>6654</v>
      </c>
      <c r="B71" t="s">
        <v>42</v>
      </c>
      <c r="C71" s="1">
        <v>45614</v>
      </c>
      <c r="D71" t="s">
        <v>13</v>
      </c>
      <c r="E71">
        <v>1.5</v>
      </c>
      <c r="F71" s="2">
        <v>0.49019607843137197</v>
      </c>
      <c r="G71" s="2">
        <v>0.42796106203686002</v>
      </c>
      <c r="H71" s="2">
        <v>0.46973983761593002</v>
      </c>
      <c r="I71" s="2">
        <v>0.38636363636363602</v>
      </c>
      <c r="J71" s="2">
        <v>0.40392156862745099</v>
      </c>
      <c r="K71" s="2">
        <v>-1.00314257844955E-2</v>
      </c>
      <c r="L71" s="2"/>
      <c r="M71" s="2" t="e">
        <f>(Table1[[#This Row],[poisson_likelihood]] - (1-Table1[[#This Row],[poisson_likelihood]])/(1/Table1[[#This Row],[365 implied]]-1))/4</f>
        <v>#DIV/0!</v>
      </c>
      <c r="N71" s="6" t="e">
        <f>Table1[[#This Row],[kelly/4 365]]*0.8*$U$2</f>
        <v>#DIV/0!</v>
      </c>
      <c r="P71" s="2" t="e">
        <f>(Table1[[#This Row],[poisson_likelihood]] - (1-Table1[[#This Row],[poisson_likelihood]])/(1/Table1[[#This Row],[99/pinn implied]]-1))/4</f>
        <v>#DIV/0!</v>
      </c>
      <c r="Q71" s="3" t="e">
        <f>Table1[[#This Row],[kelly/4 99]]*0.8*$U$2</f>
        <v>#DIV/0!</v>
      </c>
      <c r="S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2" spans="1:19" x14ac:dyDescent="0.2">
      <c r="A72">
        <v>6632</v>
      </c>
      <c r="B72" t="s">
        <v>31</v>
      </c>
      <c r="C72" s="1">
        <v>45614</v>
      </c>
      <c r="D72" t="s">
        <v>13</v>
      </c>
      <c r="E72">
        <v>2.5</v>
      </c>
      <c r="F72" s="2">
        <v>0.61728395061728303</v>
      </c>
      <c r="G72" s="2">
        <v>0.55678747289265595</v>
      </c>
      <c r="H72" s="2">
        <v>0.60158631816096098</v>
      </c>
      <c r="I72" s="2">
        <v>0.52173913043478204</v>
      </c>
      <c r="J72" s="2">
        <v>0.54258675078864305</v>
      </c>
      <c r="K72" s="2">
        <v>-1.02540986206622E-2</v>
      </c>
      <c r="L72" s="2"/>
      <c r="M72" s="2" t="e">
        <f>(Table1[[#This Row],[poisson_likelihood]] - (1-Table1[[#This Row],[poisson_likelihood]])/(1/Table1[[#This Row],[365 implied]]-1))/4</f>
        <v>#DIV/0!</v>
      </c>
      <c r="N72" s="6" t="e">
        <f>Table1[[#This Row],[kelly/4 365]]*0.8*$U$2</f>
        <v>#DIV/0!</v>
      </c>
      <c r="P72" s="2" t="e">
        <f>(Table1[[#This Row],[poisson_likelihood]] - (1-Table1[[#This Row],[poisson_likelihood]])/(1/Table1[[#This Row],[99/pinn implied]]-1))/4</f>
        <v>#DIV/0!</v>
      </c>
      <c r="Q72" s="3" t="e">
        <f>Table1[[#This Row],[kelly/4 99]]*0.8*$U$2</f>
        <v>#DIV/0!</v>
      </c>
      <c r="S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3" spans="1:19" x14ac:dyDescent="0.2">
      <c r="A73">
        <v>6646</v>
      </c>
      <c r="B73" t="s">
        <v>38</v>
      </c>
      <c r="C73" s="1">
        <v>45614</v>
      </c>
      <c r="D73" t="s">
        <v>13</v>
      </c>
      <c r="E73">
        <v>1.5</v>
      </c>
      <c r="F73" s="2">
        <v>0.51020408163265296</v>
      </c>
      <c r="G73" s="2">
        <v>0.43545455160830099</v>
      </c>
      <c r="H73" s="2">
        <v>0.48992647070888801</v>
      </c>
      <c r="I73" s="2">
        <v>0.5</v>
      </c>
      <c r="J73" s="2">
        <v>0.49019607843137197</v>
      </c>
      <c r="K73" s="2">
        <v>-1.0350030575671401E-2</v>
      </c>
      <c r="L73" s="2"/>
      <c r="M73" s="2" t="e">
        <f>(Table1[[#This Row],[poisson_likelihood]] - (1-Table1[[#This Row],[poisson_likelihood]])/(1/Table1[[#This Row],[365 implied]]-1))/4</f>
        <v>#DIV/0!</v>
      </c>
      <c r="N73" s="6" t="e">
        <f>Table1[[#This Row],[kelly/4 365]]*0.8*$U$2</f>
        <v>#DIV/0!</v>
      </c>
      <c r="P73" s="2" t="e">
        <f>(Table1[[#This Row],[poisson_likelihood]] - (1-Table1[[#This Row],[poisson_likelihood]])/(1/Table1[[#This Row],[99/pinn implied]]-1))/4</f>
        <v>#DIV/0!</v>
      </c>
      <c r="Q73" s="3" t="e">
        <f>Table1[[#This Row],[kelly/4 99]]*0.8*$U$2</f>
        <v>#DIV/0!</v>
      </c>
      <c r="S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4" spans="1:19" x14ac:dyDescent="0.2">
      <c r="A74">
        <v>6713</v>
      </c>
      <c r="B74" t="s">
        <v>72</v>
      </c>
      <c r="C74" s="1">
        <v>45614</v>
      </c>
      <c r="D74" t="s">
        <v>12</v>
      </c>
      <c r="E74">
        <v>1.5</v>
      </c>
      <c r="F74" s="2">
        <v>0.59523809523809501</v>
      </c>
      <c r="G74" s="2">
        <v>0.61491172120502102</v>
      </c>
      <c r="H74" s="2">
        <v>0.57785294766438</v>
      </c>
      <c r="I74" s="2">
        <v>0.54444444444444395</v>
      </c>
      <c r="J74" s="2">
        <v>0.54901960784313697</v>
      </c>
      <c r="K74" s="2">
        <v>-1.07378852661177E-2</v>
      </c>
      <c r="L74" s="2"/>
      <c r="M74" s="2" t="e">
        <f>(Table1[[#This Row],[poisson_likelihood]] - (1-Table1[[#This Row],[poisson_likelihood]])/(1/Table1[[#This Row],[365 implied]]-1))/4</f>
        <v>#DIV/0!</v>
      </c>
      <c r="N74" s="6" t="e">
        <f>Table1[[#This Row],[kelly/4 365]]*0.8*$U$2</f>
        <v>#DIV/0!</v>
      </c>
      <c r="P74" s="2" t="e">
        <f>(Table1[[#This Row],[poisson_likelihood]] - (1-Table1[[#This Row],[poisson_likelihood]])/(1/Table1[[#This Row],[99/pinn implied]]-1))/4</f>
        <v>#DIV/0!</v>
      </c>
      <c r="Q74" s="3" t="e">
        <f>Table1[[#This Row],[kelly/4 99]]*0.8*$U$2</f>
        <v>#DIV/0!</v>
      </c>
      <c r="S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5" spans="1:19" x14ac:dyDescent="0.2">
      <c r="A75">
        <v>6692</v>
      </c>
      <c r="B75" t="s">
        <v>61</v>
      </c>
      <c r="C75" s="1">
        <v>45614</v>
      </c>
      <c r="D75" t="s">
        <v>13</v>
      </c>
      <c r="E75">
        <v>1.5</v>
      </c>
      <c r="F75" s="2">
        <v>0.434782608695652</v>
      </c>
      <c r="G75" s="2">
        <v>0.38356277068042599</v>
      </c>
      <c r="H75" s="2">
        <v>0.40962136206222799</v>
      </c>
      <c r="I75" s="2">
        <v>0.3671875</v>
      </c>
      <c r="J75" s="2">
        <v>0.38308457711442701</v>
      </c>
      <c r="K75" s="2">
        <v>-1.1129012934014301E-2</v>
      </c>
      <c r="L75" s="2"/>
      <c r="M75" s="2" t="e">
        <f>(Table1[[#This Row],[poisson_likelihood]] - (1-Table1[[#This Row],[poisson_likelihood]])/(1/Table1[[#This Row],[365 implied]]-1))/4</f>
        <v>#DIV/0!</v>
      </c>
      <c r="N75" s="6" t="e">
        <f>Table1[[#This Row],[kelly/4 365]]*0.8*$U$2</f>
        <v>#DIV/0!</v>
      </c>
      <c r="P75" s="2" t="e">
        <f>(Table1[[#This Row],[poisson_likelihood]] - (1-Table1[[#This Row],[poisson_likelihood]])/(1/Table1[[#This Row],[99/pinn implied]]-1))/4</f>
        <v>#DIV/0!</v>
      </c>
      <c r="Q75" s="3" t="e">
        <f>Table1[[#This Row],[kelly/4 99]]*0.8*$U$2</f>
        <v>#DIV/0!</v>
      </c>
      <c r="S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6" spans="1:19" x14ac:dyDescent="0.2">
      <c r="A76">
        <v>6624</v>
      </c>
      <c r="B76" t="s">
        <v>27</v>
      </c>
      <c r="C76" s="1">
        <v>45614</v>
      </c>
      <c r="D76" t="s">
        <v>13</v>
      </c>
      <c r="E76">
        <v>1.5</v>
      </c>
      <c r="F76" s="2">
        <v>0.51546391752577303</v>
      </c>
      <c r="G76" s="2">
        <v>0.44724212898671001</v>
      </c>
      <c r="H76" s="2">
        <v>0.49313783811886802</v>
      </c>
      <c r="I76" s="2">
        <v>0.39215686274509798</v>
      </c>
      <c r="J76" s="2">
        <v>0.42152466367712998</v>
      </c>
      <c r="K76" s="2">
        <v>-1.1519306928030401E-2</v>
      </c>
      <c r="L76" s="2"/>
      <c r="M76" s="2" t="e">
        <f>(Table1[[#This Row],[poisson_likelihood]] - (1-Table1[[#This Row],[poisson_likelihood]])/(1/Table1[[#This Row],[365 implied]]-1))/4</f>
        <v>#DIV/0!</v>
      </c>
      <c r="N76" s="6" t="e">
        <f>Table1[[#This Row],[kelly/4 365]]*0.8*$U$2</f>
        <v>#DIV/0!</v>
      </c>
      <c r="P76" s="2" t="e">
        <f>(Table1[[#This Row],[poisson_likelihood]] - (1-Table1[[#This Row],[poisson_likelihood]])/(1/Table1[[#This Row],[99/pinn implied]]-1))/4</f>
        <v>#DIV/0!</v>
      </c>
      <c r="Q76" s="3" t="e">
        <f>Table1[[#This Row],[kelly/4 99]]*0.8*$U$2</f>
        <v>#DIV/0!</v>
      </c>
      <c r="S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7" spans="1:19" x14ac:dyDescent="0.2">
      <c r="A77">
        <v>6631</v>
      </c>
      <c r="B77" t="s">
        <v>31</v>
      </c>
      <c r="C77" s="1">
        <v>45614</v>
      </c>
      <c r="D77" t="s">
        <v>12</v>
      </c>
      <c r="E77">
        <v>2.5</v>
      </c>
      <c r="F77" s="2">
        <v>0.42553191489361702</v>
      </c>
      <c r="G77" s="2">
        <v>0.44321252710734299</v>
      </c>
      <c r="H77" s="2">
        <v>0.39841368183903803</v>
      </c>
      <c r="I77" s="2">
        <v>0.47826086956521702</v>
      </c>
      <c r="J77" s="2">
        <v>0.45741324921135601</v>
      </c>
      <c r="K77" s="2">
        <v>-1.18014532737517E-2</v>
      </c>
      <c r="L77" s="2"/>
      <c r="M77" s="2" t="e">
        <f>(Table1[[#This Row],[poisson_likelihood]] - (1-Table1[[#This Row],[poisson_likelihood]])/(1/Table1[[#This Row],[365 implied]]-1))/4</f>
        <v>#DIV/0!</v>
      </c>
      <c r="N77" s="6" t="e">
        <f>Table1[[#This Row],[kelly/4 365]]*0.8*$U$2</f>
        <v>#DIV/0!</v>
      </c>
      <c r="P77" s="2" t="e">
        <f>(Table1[[#This Row],[poisson_likelihood]] - (1-Table1[[#This Row],[poisson_likelihood]])/(1/Table1[[#This Row],[99/pinn implied]]-1))/4</f>
        <v>#DIV/0!</v>
      </c>
      <c r="Q77" s="3" t="e">
        <f>Table1[[#This Row],[kelly/4 99]]*0.8*$U$2</f>
        <v>#DIV/0!</v>
      </c>
      <c r="S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8" spans="1:19" x14ac:dyDescent="0.2">
      <c r="A78">
        <v>6703</v>
      </c>
      <c r="B78" t="s">
        <v>67</v>
      </c>
      <c r="C78" s="1">
        <v>45614</v>
      </c>
      <c r="D78" t="s">
        <v>12</v>
      </c>
      <c r="E78">
        <v>2.5</v>
      </c>
      <c r="F78" s="2">
        <v>0.52910052910052896</v>
      </c>
      <c r="G78" s="2">
        <v>0.54748582754366604</v>
      </c>
      <c r="H78" s="2">
        <v>0.50526880042019395</v>
      </c>
      <c r="I78" s="2">
        <v>0.52542372881355903</v>
      </c>
      <c r="J78" s="2">
        <v>0.52508361204013299</v>
      </c>
      <c r="K78" s="2">
        <v>-1.26522379791665E-2</v>
      </c>
      <c r="L78" s="2"/>
      <c r="M78" s="2" t="e">
        <f>(Table1[[#This Row],[poisson_likelihood]] - (1-Table1[[#This Row],[poisson_likelihood]])/(1/Table1[[#This Row],[365 implied]]-1))/4</f>
        <v>#DIV/0!</v>
      </c>
      <c r="N78" s="6" t="e">
        <f>Table1[[#This Row],[kelly/4 365]]*0.8*$U$2</f>
        <v>#DIV/0!</v>
      </c>
      <c r="P78" s="2" t="e">
        <f>(Table1[[#This Row],[poisson_likelihood]] - (1-Table1[[#This Row],[poisson_likelihood]])/(1/Table1[[#This Row],[99/pinn implied]]-1))/4</f>
        <v>#DIV/0!</v>
      </c>
      <c r="Q78" s="3" t="e">
        <f>Table1[[#This Row],[kelly/4 99]]*0.8*$U$2</f>
        <v>#DIV/0!</v>
      </c>
      <c r="S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9" spans="1:19" x14ac:dyDescent="0.2">
      <c r="A79">
        <v>6596</v>
      </c>
      <c r="B79" t="s">
        <v>11</v>
      </c>
      <c r="C79" s="1">
        <v>45614</v>
      </c>
      <c r="D79" t="s">
        <v>13</v>
      </c>
      <c r="E79">
        <v>1.5</v>
      </c>
      <c r="F79" s="2">
        <v>0.41666666666666602</v>
      </c>
      <c r="G79" s="2">
        <v>0.35547905974723998</v>
      </c>
      <c r="H79" s="2">
        <v>0.38387449489791903</v>
      </c>
      <c r="I79" s="2">
        <v>0.37356321839080397</v>
      </c>
      <c r="J79" s="2">
        <v>0.40067340067340002</v>
      </c>
      <c r="K79" s="2">
        <v>-1.40537879008915E-2</v>
      </c>
      <c r="L79" s="2"/>
      <c r="M79" s="2" t="e">
        <f>(Table1[[#This Row],[poisson_likelihood]] - (1-Table1[[#This Row],[poisson_likelihood]])/(1/Table1[[#This Row],[365 implied]]-1))/4</f>
        <v>#DIV/0!</v>
      </c>
      <c r="N79" s="6" t="e">
        <f>Table1[[#This Row],[kelly/4 365]]*0.8*$U$2</f>
        <v>#DIV/0!</v>
      </c>
      <c r="P79" s="2" t="e">
        <f>(Table1[[#This Row],[poisson_likelihood]] - (1-Table1[[#This Row],[poisson_likelihood]])/(1/Table1[[#This Row],[99/pinn implied]]-1))/4</f>
        <v>#DIV/0!</v>
      </c>
      <c r="Q79" s="3" t="e">
        <f>Table1[[#This Row],[kelly/4 99]]*0.8*$U$2</f>
        <v>#DIV/0!</v>
      </c>
      <c r="S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0" spans="1:19" x14ac:dyDescent="0.2">
      <c r="A80">
        <v>6700</v>
      </c>
      <c r="B80" t="s">
        <v>65</v>
      </c>
      <c r="C80" s="1">
        <v>45614</v>
      </c>
      <c r="D80" t="s">
        <v>13</v>
      </c>
      <c r="E80">
        <v>2.5</v>
      </c>
      <c r="F80" s="2">
        <v>0.476190476190476</v>
      </c>
      <c r="G80" s="2">
        <v>0.40568283820355799</v>
      </c>
      <c r="H80" s="2">
        <v>0.44446341059661298</v>
      </c>
      <c r="I80" s="2">
        <v>0.51204819277108404</v>
      </c>
      <c r="J80" s="2">
        <v>0.55197132616487399</v>
      </c>
      <c r="K80" s="2">
        <v>-1.51424631243434E-2</v>
      </c>
      <c r="L80" s="2"/>
      <c r="M80" s="2" t="e">
        <f>(Table1[[#This Row],[poisson_likelihood]] - (1-Table1[[#This Row],[poisson_likelihood]])/(1/Table1[[#This Row],[365 implied]]-1))/4</f>
        <v>#DIV/0!</v>
      </c>
      <c r="N80" s="6" t="e">
        <f>Table1[[#This Row],[kelly/4 365]]*0.8*$U$2</f>
        <v>#DIV/0!</v>
      </c>
      <c r="P80" s="2" t="e">
        <f>(Table1[[#This Row],[poisson_likelihood]] - (1-Table1[[#This Row],[poisson_likelihood]])/(1/Table1[[#This Row],[99/pinn implied]]-1))/4</f>
        <v>#DIV/0!</v>
      </c>
      <c r="Q80" s="3" t="e">
        <f>Table1[[#This Row],[kelly/4 99]]*0.8*$U$2</f>
        <v>#DIV/0!</v>
      </c>
      <c r="S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1" spans="1:19" x14ac:dyDescent="0.2">
      <c r="A81">
        <v>6613</v>
      </c>
      <c r="B81" t="s">
        <v>22</v>
      </c>
      <c r="C81" s="1">
        <v>45614</v>
      </c>
      <c r="D81" t="s">
        <v>12</v>
      </c>
      <c r="E81">
        <v>3.5</v>
      </c>
      <c r="F81" s="2">
        <v>0.42372881355932202</v>
      </c>
      <c r="G81" s="2">
        <v>0.42650928056541598</v>
      </c>
      <c r="H81" s="2">
        <v>0.38871858642245299</v>
      </c>
      <c r="I81" s="2">
        <v>0.34</v>
      </c>
      <c r="J81" s="2">
        <v>0.355140186915887</v>
      </c>
      <c r="K81" s="2">
        <v>-1.51882603020238E-2</v>
      </c>
      <c r="L81" s="2"/>
      <c r="M81" s="2" t="e">
        <f>(Table1[[#This Row],[poisson_likelihood]] - (1-Table1[[#This Row],[poisson_likelihood]])/(1/Table1[[#This Row],[365 implied]]-1))/4</f>
        <v>#DIV/0!</v>
      </c>
      <c r="N81" s="6" t="e">
        <f>Table1[[#This Row],[kelly/4 365]]*0.8*$U$2</f>
        <v>#DIV/0!</v>
      </c>
      <c r="P81" s="2" t="e">
        <f>(Table1[[#This Row],[poisson_likelihood]] - (1-Table1[[#This Row],[poisson_likelihood]])/(1/Table1[[#This Row],[99/pinn implied]]-1))/4</f>
        <v>#DIV/0!</v>
      </c>
      <c r="Q81" s="3" t="e">
        <f>Table1[[#This Row],[kelly/4 99]]*0.8*$U$2</f>
        <v>#DIV/0!</v>
      </c>
      <c r="S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2" spans="1:19" x14ac:dyDescent="0.2">
      <c r="A82">
        <v>6714</v>
      </c>
      <c r="B82" t="s">
        <v>72</v>
      </c>
      <c r="C82" s="1">
        <v>45614</v>
      </c>
      <c r="D82" t="s">
        <v>13</v>
      </c>
      <c r="E82">
        <v>1.5</v>
      </c>
      <c r="F82" s="2">
        <v>0.45871559633027498</v>
      </c>
      <c r="G82" s="2">
        <v>0.38508827879497798</v>
      </c>
      <c r="H82" s="2">
        <v>0.422147052335619</v>
      </c>
      <c r="I82" s="2">
        <v>0.45555555555555499</v>
      </c>
      <c r="J82" s="2">
        <v>0.45098039215686198</v>
      </c>
      <c r="K82" s="2">
        <v>-1.6889708878887699E-2</v>
      </c>
      <c r="L82" s="2"/>
      <c r="M82" s="2" t="e">
        <f>(Table1[[#This Row],[poisson_likelihood]] - (1-Table1[[#This Row],[poisson_likelihood]])/(1/Table1[[#This Row],[365 implied]]-1))/4</f>
        <v>#DIV/0!</v>
      </c>
      <c r="N82" s="6" t="e">
        <f>Table1[[#This Row],[kelly/4 365]]*0.8*$U$2</f>
        <v>#DIV/0!</v>
      </c>
      <c r="P82" s="2" t="e">
        <f>(Table1[[#This Row],[poisson_likelihood]] - (1-Table1[[#This Row],[poisson_likelihood]])/(1/Table1[[#This Row],[99/pinn implied]]-1))/4</f>
        <v>#DIV/0!</v>
      </c>
      <c r="Q82" s="3" t="e">
        <f>Table1[[#This Row],[kelly/4 99]]*0.8*$U$2</f>
        <v>#DIV/0!</v>
      </c>
      <c r="S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3" spans="1:19" x14ac:dyDescent="0.2">
      <c r="A83">
        <v>6726</v>
      </c>
      <c r="B83" t="s">
        <v>78</v>
      </c>
      <c r="C83" s="1">
        <v>45614</v>
      </c>
      <c r="D83" t="s">
        <v>13</v>
      </c>
      <c r="E83">
        <v>2.5</v>
      </c>
      <c r="F83" s="2">
        <v>0.60240963855421603</v>
      </c>
      <c r="G83" s="2">
        <v>0.527588326908214</v>
      </c>
      <c r="H83" s="2">
        <v>0.57514863515369596</v>
      </c>
      <c r="I83" s="2">
        <v>0.61290322580645096</v>
      </c>
      <c r="J83" s="2">
        <v>0.62809917355371903</v>
      </c>
      <c r="K83" s="2">
        <v>-1.71413885018422E-2</v>
      </c>
      <c r="L83" s="2"/>
      <c r="M83" s="2" t="e">
        <f>(Table1[[#This Row],[poisson_likelihood]] - (1-Table1[[#This Row],[poisson_likelihood]])/(1/Table1[[#This Row],[365 implied]]-1))/4</f>
        <v>#DIV/0!</v>
      </c>
      <c r="N83" s="6" t="e">
        <f>Table1[[#This Row],[kelly/4 365]]*0.8*$U$2</f>
        <v>#DIV/0!</v>
      </c>
      <c r="P83" s="2" t="e">
        <f>(Table1[[#This Row],[poisson_likelihood]] - (1-Table1[[#This Row],[poisson_likelihood]])/(1/Table1[[#This Row],[99/pinn implied]]-1))/4</f>
        <v>#DIV/0!</v>
      </c>
      <c r="Q83" s="3" t="e">
        <f>Table1[[#This Row],[kelly/4 99]]*0.8*$U$2</f>
        <v>#DIV/0!</v>
      </c>
      <c r="S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4" spans="1:19" x14ac:dyDescent="0.2">
      <c r="A84">
        <v>6699</v>
      </c>
      <c r="B84" t="s">
        <v>65</v>
      </c>
      <c r="C84" s="1">
        <v>45614</v>
      </c>
      <c r="D84" t="s">
        <v>12</v>
      </c>
      <c r="E84">
        <v>2.5</v>
      </c>
      <c r="F84" s="2">
        <v>0.58479532163742598</v>
      </c>
      <c r="G84" s="2">
        <v>0.59431716179644101</v>
      </c>
      <c r="H84" s="2">
        <v>0.55553658940338602</v>
      </c>
      <c r="I84" s="2">
        <v>0.48795180722891501</v>
      </c>
      <c r="J84" s="2">
        <v>0.44802867383512501</v>
      </c>
      <c r="K84" s="2">
        <v>-1.7617053563453999E-2</v>
      </c>
      <c r="L84" s="2"/>
      <c r="M84" s="2" t="e">
        <f>(Table1[[#This Row],[poisson_likelihood]] - (1-Table1[[#This Row],[poisson_likelihood]])/(1/Table1[[#This Row],[365 implied]]-1))/4</f>
        <v>#DIV/0!</v>
      </c>
      <c r="N84" s="6" t="e">
        <f>Table1[[#This Row],[kelly/4 365]]*0.8*$U$2</f>
        <v>#DIV/0!</v>
      </c>
      <c r="P84" s="2" t="e">
        <f>(Table1[[#This Row],[poisson_likelihood]] - (1-Table1[[#This Row],[poisson_likelihood]])/(1/Table1[[#This Row],[99/pinn implied]]-1))/4</f>
        <v>#DIV/0!</v>
      </c>
      <c r="Q84" s="3" t="e">
        <f>Table1[[#This Row],[kelly/4 99]]*0.8*$U$2</f>
        <v>#DIV/0!</v>
      </c>
      <c r="S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5" spans="1:19" x14ac:dyDescent="0.2">
      <c r="A85">
        <v>6679</v>
      </c>
      <c r="B85" t="s">
        <v>55</v>
      </c>
      <c r="C85" s="1">
        <v>45614</v>
      </c>
      <c r="D85" t="s">
        <v>12</v>
      </c>
      <c r="E85">
        <v>2.5</v>
      </c>
      <c r="F85" s="2">
        <v>0.57471264367816</v>
      </c>
      <c r="G85" s="2">
        <v>0.58739653285270699</v>
      </c>
      <c r="H85" s="2">
        <v>0.54459450589963099</v>
      </c>
      <c r="I85" s="2">
        <v>0.39743589743589702</v>
      </c>
      <c r="J85" s="2">
        <v>0.39922480620154999</v>
      </c>
      <c r="K85" s="2">
        <v>-1.7704580991432999E-2</v>
      </c>
      <c r="L85" s="2"/>
      <c r="M85" s="2" t="e">
        <f>(Table1[[#This Row],[poisson_likelihood]] - (1-Table1[[#This Row],[poisson_likelihood]])/(1/Table1[[#This Row],[365 implied]]-1))/4</f>
        <v>#DIV/0!</v>
      </c>
      <c r="N85" s="6" t="e">
        <f>Table1[[#This Row],[kelly/4 365]]*0.8*$U$2</f>
        <v>#DIV/0!</v>
      </c>
      <c r="P85" s="2" t="e">
        <f>(Table1[[#This Row],[poisson_likelihood]] - (1-Table1[[#This Row],[poisson_likelihood]])/(1/Table1[[#This Row],[99/pinn implied]]-1))/4</f>
        <v>#DIV/0!</v>
      </c>
      <c r="Q85" s="3" t="e">
        <f>Table1[[#This Row],[kelly/4 99]]*0.8*$U$2</f>
        <v>#DIV/0!</v>
      </c>
      <c r="S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6" spans="1:19" x14ac:dyDescent="0.2">
      <c r="A86">
        <v>6612</v>
      </c>
      <c r="B86" t="s">
        <v>21</v>
      </c>
      <c r="C86" s="1">
        <v>45614</v>
      </c>
      <c r="D86" t="s">
        <v>13</v>
      </c>
      <c r="E86">
        <v>2.5</v>
      </c>
      <c r="F86" s="2">
        <v>0.625</v>
      </c>
      <c r="G86" s="2">
        <v>0.55668015758077904</v>
      </c>
      <c r="H86" s="2">
        <v>0.59785563899362404</v>
      </c>
      <c r="I86" s="2">
        <v>0.6</v>
      </c>
      <c r="J86" s="2">
        <v>0.57142857142857095</v>
      </c>
      <c r="K86" s="2">
        <v>-1.80962406709172E-2</v>
      </c>
      <c r="L86" s="2"/>
      <c r="M86" s="2" t="e">
        <f>(Table1[[#This Row],[poisson_likelihood]] - (1-Table1[[#This Row],[poisson_likelihood]])/(1/Table1[[#This Row],[365 implied]]-1))/4</f>
        <v>#DIV/0!</v>
      </c>
      <c r="N86" s="6" t="e">
        <f>Table1[[#This Row],[kelly/4 365]]*0.8*$U$2</f>
        <v>#DIV/0!</v>
      </c>
      <c r="P86" s="2" t="e">
        <f>(Table1[[#This Row],[poisson_likelihood]] - (1-Table1[[#This Row],[poisson_likelihood]])/(1/Table1[[#This Row],[99/pinn implied]]-1))/4</f>
        <v>#DIV/0!</v>
      </c>
      <c r="Q86" s="3" t="e">
        <f>Table1[[#This Row],[kelly/4 99]]*0.8*$U$2</f>
        <v>#DIV/0!</v>
      </c>
      <c r="S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7" spans="1:19" x14ac:dyDescent="0.2">
      <c r="A87">
        <v>6683</v>
      </c>
      <c r="B87" t="s">
        <v>57</v>
      </c>
      <c r="C87" s="1">
        <v>45614</v>
      </c>
      <c r="D87" t="s">
        <v>12</v>
      </c>
      <c r="E87">
        <v>2.5</v>
      </c>
      <c r="F87" s="2">
        <v>0.45454545454545398</v>
      </c>
      <c r="G87" s="2">
        <v>0.45606058554898898</v>
      </c>
      <c r="H87" s="2">
        <v>0.41237569247816802</v>
      </c>
      <c r="I87" s="2">
        <v>0.32317073170731703</v>
      </c>
      <c r="J87" s="2">
        <v>0.32982456140350802</v>
      </c>
      <c r="K87" s="2">
        <v>-1.93278076141725E-2</v>
      </c>
      <c r="L87" s="2"/>
      <c r="M87" s="2" t="e">
        <f>(Table1[[#This Row],[poisson_likelihood]] - (1-Table1[[#This Row],[poisson_likelihood]])/(1/Table1[[#This Row],[365 implied]]-1))/4</f>
        <v>#DIV/0!</v>
      </c>
      <c r="N87" s="6" t="e">
        <f>Table1[[#This Row],[kelly/4 365]]*0.8*$U$2</f>
        <v>#DIV/0!</v>
      </c>
      <c r="P87" s="2" t="e">
        <f>(Table1[[#This Row],[poisson_likelihood]] - (1-Table1[[#This Row],[poisson_likelihood]])/(1/Table1[[#This Row],[99/pinn implied]]-1))/4</f>
        <v>#DIV/0!</v>
      </c>
      <c r="Q87" s="3" t="e">
        <f>Table1[[#This Row],[kelly/4 99]]*0.8*$U$2</f>
        <v>#DIV/0!</v>
      </c>
      <c r="S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8" spans="1:19" x14ac:dyDescent="0.2">
      <c r="A88">
        <v>6607</v>
      </c>
      <c r="B88" t="s">
        <v>19</v>
      </c>
      <c r="C88" s="1">
        <v>45614</v>
      </c>
      <c r="D88" t="s">
        <v>12</v>
      </c>
      <c r="E88">
        <v>2.5</v>
      </c>
      <c r="F88" s="2">
        <v>0.45454545454545398</v>
      </c>
      <c r="G88" s="2">
        <v>0.46115913718595902</v>
      </c>
      <c r="H88" s="2">
        <v>0.41227050013701899</v>
      </c>
      <c r="I88" s="2">
        <v>0.37878787878787801</v>
      </c>
      <c r="J88" s="2">
        <v>0.38993710691823902</v>
      </c>
      <c r="K88" s="2">
        <v>-1.9376020770532802E-2</v>
      </c>
      <c r="L88" s="2"/>
      <c r="M88" s="2" t="e">
        <f>(Table1[[#This Row],[poisson_likelihood]] - (1-Table1[[#This Row],[poisson_likelihood]])/(1/Table1[[#This Row],[365 implied]]-1))/4</f>
        <v>#DIV/0!</v>
      </c>
      <c r="N88" s="6" t="e">
        <f>Table1[[#This Row],[kelly/4 365]]*0.8*$U$2</f>
        <v>#DIV/0!</v>
      </c>
      <c r="P88" s="2" t="e">
        <f>(Table1[[#This Row],[poisson_likelihood]] - (1-Table1[[#This Row],[poisson_likelihood]])/(1/Table1[[#This Row],[99/pinn implied]]-1))/4</f>
        <v>#DIV/0!</v>
      </c>
      <c r="Q88" s="3" t="e">
        <f>Table1[[#This Row],[kelly/4 99]]*0.8*$U$2</f>
        <v>#DIV/0!</v>
      </c>
      <c r="S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9" spans="1:19" x14ac:dyDescent="0.2">
      <c r="A89">
        <v>6704</v>
      </c>
      <c r="B89" t="s">
        <v>67</v>
      </c>
      <c r="C89" s="1">
        <v>45614</v>
      </c>
      <c r="D89" t="s">
        <v>13</v>
      </c>
      <c r="E89">
        <v>2.5</v>
      </c>
      <c r="F89" s="2">
        <v>0.53191489361702105</v>
      </c>
      <c r="G89" s="2">
        <v>0.45251417245633302</v>
      </c>
      <c r="H89" s="2">
        <v>0.49473119957980499</v>
      </c>
      <c r="I89" s="2">
        <v>0.47457627118644002</v>
      </c>
      <c r="J89" s="2">
        <v>0.47491638795986602</v>
      </c>
      <c r="K89" s="2">
        <v>-1.9859472951694601E-2</v>
      </c>
      <c r="L89" s="2"/>
      <c r="M89" s="2" t="e">
        <f>(Table1[[#This Row],[poisson_likelihood]] - (1-Table1[[#This Row],[poisson_likelihood]])/(1/Table1[[#This Row],[365 implied]]-1))/4</f>
        <v>#DIV/0!</v>
      </c>
      <c r="N89" s="6" t="e">
        <f>Table1[[#This Row],[kelly/4 365]]*0.8*$U$2</f>
        <v>#DIV/0!</v>
      </c>
      <c r="P89" s="2" t="e">
        <f>(Table1[[#This Row],[poisson_likelihood]] - (1-Table1[[#This Row],[poisson_likelihood]])/(1/Table1[[#This Row],[99/pinn implied]]-1))/4</f>
        <v>#DIV/0!</v>
      </c>
      <c r="Q89" s="3" t="e">
        <f>Table1[[#This Row],[kelly/4 99]]*0.8*$U$2</f>
        <v>#DIV/0!</v>
      </c>
      <c r="S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0" spans="1:19" x14ac:dyDescent="0.2">
      <c r="A90">
        <v>6653</v>
      </c>
      <c r="B90" t="s">
        <v>42</v>
      </c>
      <c r="C90" s="1">
        <v>45614</v>
      </c>
      <c r="D90" t="s">
        <v>12</v>
      </c>
      <c r="E90">
        <v>1.5</v>
      </c>
      <c r="F90" s="2">
        <v>0.56497175141242895</v>
      </c>
      <c r="G90" s="2">
        <v>0.57203893796313898</v>
      </c>
      <c r="H90" s="2">
        <v>0.53026016238406903</v>
      </c>
      <c r="I90" s="2">
        <v>0.61363636363636298</v>
      </c>
      <c r="J90" s="2">
        <v>0.59607843137254901</v>
      </c>
      <c r="K90" s="2">
        <v>-1.9947893694869202E-2</v>
      </c>
      <c r="L90" s="2"/>
      <c r="M90" s="2" t="e">
        <f>(Table1[[#This Row],[poisson_likelihood]] - (1-Table1[[#This Row],[poisson_likelihood]])/(1/Table1[[#This Row],[365 implied]]-1))/4</f>
        <v>#DIV/0!</v>
      </c>
      <c r="N90" s="6" t="e">
        <f>Table1[[#This Row],[kelly/4 365]]*0.8*$U$2</f>
        <v>#DIV/0!</v>
      </c>
      <c r="P90" s="2" t="e">
        <f>(Table1[[#This Row],[poisson_likelihood]] - (1-Table1[[#This Row],[poisson_likelihood]])/(1/Table1[[#This Row],[99/pinn implied]]-1))/4</f>
        <v>#DIV/0!</v>
      </c>
      <c r="Q90" s="3" t="e">
        <f>Table1[[#This Row],[kelly/4 99]]*0.8*$U$2</f>
        <v>#DIV/0!</v>
      </c>
      <c r="S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1" spans="1:19" x14ac:dyDescent="0.2">
      <c r="A91">
        <v>6645</v>
      </c>
      <c r="B91" t="s">
        <v>38</v>
      </c>
      <c r="C91" s="1">
        <v>45614</v>
      </c>
      <c r="D91" t="s">
        <v>12</v>
      </c>
      <c r="E91">
        <v>1.5</v>
      </c>
      <c r="F91" s="2">
        <v>0.54945054945054905</v>
      </c>
      <c r="G91" s="2">
        <v>0.56454544839169796</v>
      </c>
      <c r="H91" s="2">
        <v>0.51007352929111105</v>
      </c>
      <c r="I91" s="2">
        <v>0.5</v>
      </c>
      <c r="J91" s="2">
        <v>0.50980392156862697</v>
      </c>
      <c r="K91" s="2">
        <v>-2.1849444112858801E-2</v>
      </c>
      <c r="L91" s="2"/>
      <c r="M91" s="2" t="e">
        <f>(Table1[[#This Row],[poisson_likelihood]] - (1-Table1[[#This Row],[poisson_likelihood]])/(1/Table1[[#This Row],[365 implied]]-1))/4</f>
        <v>#DIV/0!</v>
      </c>
      <c r="N91" s="6" t="e">
        <f>Table1[[#This Row],[kelly/4 365]]*0.8*$U$2</f>
        <v>#DIV/0!</v>
      </c>
      <c r="P91" s="2" t="e">
        <f>(Table1[[#This Row],[poisson_likelihood]] - (1-Table1[[#This Row],[poisson_likelihood]])/(1/Table1[[#This Row],[99/pinn implied]]-1))/4</f>
        <v>#DIV/0!</v>
      </c>
      <c r="Q91" s="3" t="e">
        <f>Table1[[#This Row],[kelly/4 99]]*0.8*$U$2</f>
        <v>#DIV/0!</v>
      </c>
      <c r="S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2" spans="1:19" x14ac:dyDescent="0.2">
      <c r="A92">
        <v>6652</v>
      </c>
      <c r="B92" t="s">
        <v>41</v>
      </c>
      <c r="C92" s="1">
        <v>45614</v>
      </c>
      <c r="D92" t="s">
        <v>13</v>
      </c>
      <c r="E92">
        <v>3.5</v>
      </c>
      <c r="F92" s="2">
        <v>0.49504950495049499</v>
      </c>
      <c r="G92" s="2">
        <v>0.425622055135783</v>
      </c>
      <c r="H92" s="2">
        <v>0.449824864048881</v>
      </c>
      <c r="I92" s="2">
        <v>0.479768786127167</v>
      </c>
      <c r="J92" s="2">
        <v>0.50519031141868498</v>
      </c>
      <c r="K92" s="2">
        <v>-2.2390631034622199E-2</v>
      </c>
      <c r="L92" s="2"/>
      <c r="M92" s="2" t="e">
        <f>(Table1[[#This Row],[poisson_likelihood]] - (1-Table1[[#This Row],[poisson_likelihood]])/(1/Table1[[#This Row],[365 implied]]-1))/4</f>
        <v>#DIV/0!</v>
      </c>
      <c r="N92" s="6" t="e">
        <f>Table1[[#This Row],[kelly/4 365]]*0.8*$U$2</f>
        <v>#DIV/0!</v>
      </c>
      <c r="P92" s="2" t="e">
        <f>(Table1[[#This Row],[poisson_likelihood]] - (1-Table1[[#This Row],[poisson_likelihood]])/(1/Table1[[#This Row],[99/pinn implied]]-1))/4</f>
        <v>#DIV/0!</v>
      </c>
      <c r="Q92" s="3" t="e">
        <f>Table1[[#This Row],[kelly/4 99]]*0.8*$U$2</f>
        <v>#DIV/0!</v>
      </c>
      <c r="S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3" spans="1:19" x14ac:dyDescent="0.2">
      <c r="A93">
        <v>6675</v>
      </c>
      <c r="B93" t="s">
        <v>53</v>
      </c>
      <c r="C93" s="1">
        <v>45614</v>
      </c>
      <c r="D93" t="s">
        <v>12</v>
      </c>
      <c r="E93">
        <v>1.5</v>
      </c>
      <c r="F93" s="2">
        <v>0.57471264367816</v>
      </c>
      <c r="G93" s="2">
        <v>0.57799607512519802</v>
      </c>
      <c r="H93" s="2">
        <v>0.53574399966694597</v>
      </c>
      <c r="I93" s="2">
        <v>0.55900621118012395</v>
      </c>
      <c r="J93" s="2">
        <v>0.56390977443609003</v>
      </c>
      <c r="K93" s="2">
        <v>-2.2907243439025001E-2</v>
      </c>
      <c r="L93" s="2"/>
      <c r="M93" s="2" t="e">
        <f>(Table1[[#This Row],[poisson_likelihood]] - (1-Table1[[#This Row],[poisson_likelihood]])/(1/Table1[[#This Row],[365 implied]]-1))/4</f>
        <v>#DIV/0!</v>
      </c>
      <c r="N93" s="6" t="e">
        <f>Table1[[#This Row],[kelly/4 365]]*0.8*$U$2</f>
        <v>#DIV/0!</v>
      </c>
      <c r="P93" s="2" t="e">
        <f>(Table1[[#This Row],[poisson_likelihood]] - (1-Table1[[#This Row],[poisson_likelihood]])/(1/Table1[[#This Row],[99/pinn implied]]-1))/4</f>
        <v>#DIV/0!</v>
      </c>
      <c r="Q93" s="3" t="e">
        <f>Table1[[#This Row],[kelly/4 99]]*0.8*$U$2</f>
        <v>#DIV/0!</v>
      </c>
      <c r="S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4" spans="1:19" x14ac:dyDescent="0.2">
      <c r="A94">
        <v>6597</v>
      </c>
      <c r="B94" t="s">
        <v>14</v>
      </c>
      <c r="C94" s="1">
        <v>45614</v>
      </c>
      <c r="D94" t="s">
        <v>12</v>
      </c>
      <c r="E94">
        <v>2.5</v>
      </c>
      <c r="F94" s="2">
        <v>0.52356020942408299</v>
      </c>
      <c r="G94" s="2">
        <v>0.52040551943607005</v>
      </c>
      <c r="H94" s="2">
        <v>0.47818904958206798</v>
      </c>
      <c r="I94" s="2">
        <v>0.47126436781609099</v>
      </c>
      <c r="J94" s="2">
        <v>0.5</v>
      </c>
      <c r="K94" s="2">
        <v>-2.3807394312705898E-2</v>
      </c>
      <c r="L94" s="2"/>
      <c r="M94" s="2" t="e">
        <f>(Table1[[#This Row],[poisson_likelihood]] - (1-Table1[[#This Row],[poisson_likelihood]])/(1/Table1[[#This Row],[365 implied]]-1))/4</f>
        <v>#DIV/0!</v>
      </c>
      <c r="N94" s="6" t="e">
        <f>Table1[[#This Row],[kelly/4 365]]*0.8*$U$2</f>
        <v>#DIV/0!</v>
      </c>
      <c r="P94" s="2" t="e">
        <f>(Table1[[#This Row],[poisson_likelihood]] - (1-Table1[[#This Row],[poisson_likelihood]])/(1/Table1[[#This Row],[99/pinn implied]]-1))/4</f>
        <v>#DIV/0!</v>
      </c>
      <c r="Q94" s="3" t="e">
        <f>Table1[[#This Row],[kelly/4 99]]*0.8*$U$2</f>
        <v>#DIV/0!</v>
      </c>
      <c r="S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5" spans="1:19" x14ac:dyDescent="0.2">
      <c r="A95">
        <v>6671</v>
      </c>
      <c r="B95" t="s">
        <v>51</v>
      </c>
      <c r="C95" s="1">
        <v>45614</v>
      </c>
      <c r="D95" t="s">
        <v>12</v>
      </c>
      <c r="E95">
        <v>1.5</v>
      </c>
      <c r="F95" s="2">
        <v>0.60606060606060597</v>
      </c>
      <c r="G95" s="2">
        <v>0.60766954462031597</v>
      </c>
      <c r="H95" s="2">
        <v>0.56821379730259503</v>
      </c>
      <c r="I95" s="2">
        <v>0.69594594594594505</v>
      </c>
      <c r="J95" s="2">
        <v>0.66666666666666596</v>
      </c>
      <c r="K95" s="2">
        <v>-2.4018167096429899E-2</v>
      </c>
      <c r="L95" s="2"/>
      <c r="M95" s="2" t="e">
        <f>(Table1[[#This Row],[poisson_likelihood]] - (1-Table1[[#This Row],[poisson_likelihood]])/(1/Table1[[#This Row],[365 implied]]-1))/4</f>
        <v>#DIV/0!</v>
      </c>
      <c r="N95" s="6" t="e">
        <f>Table1[[#This Row],[kelly/4 365]]*0.8*$U$2</f>
        <v>#DIV/0!</v>
      </c>
      <c r="P95" s="2" t="e">
        <f>(Table1[[#This Row],[poisson_likelihood]] - (1-Table1[[#This Row],[poisson_likelihood]])/(1/Table1[[#This Row],[99/pinn implied]]-1))/4</f>
        <v>#DIV/0!</v>
      </c>
      <c r="Q95" s="3" t="e">
        <f>Table1[[#This Row],[kelly/4 99]]*0.8*$U$2</f>
        <v>#DIV/0!</v>
      </c>
      <c r="S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6" spans="1:19" x14ac:dyDescent="0.2">
      <c r="A96">
        <v>6695</v>
      </c>
      <c r="B96" t="s">
        <v>63</v>
      </c>
      <c r="C96" s="1">
        <v>45614</v>
      </c>
      <c r="D96" t="s">
        <v>12</v>
      </c>
      <c r="E96">
        <v>1.5</v>
      </c>
      <c r="F96" s="2">
        <v>0.54644808743169304</v>
      </c>
      <c r="G96" s="2">
        <v>0.55410518087506899</v>
      </c>
      <c r="H96" s="2">
        <v>0.50266038563142501</v>
      </c>
      <c r="I96" s="2">
        <v>0.52112676056338003</v>
      </c>
      <c r="J96" s="2">
        <v>0.51190476190476097</v>
      </c>
      <c r="K96" s="2">
        <v>-2.4135992257376799E-2</v>
      </c>
      <c r="L96" s="2"/>
      <c r="M96" s="2" t="e">
        <f>(Table1[[#This Row],[poisson_likelihood]] - (1-Table1[[#This Row],[poisson_likelihood]])/(1/Table1[[#This Row],[365 implied]]-1))/4</f>
        <v>#DIV/0!</v>
      </c>
      <c r="N96" s="6" t="e">
        <f>Table1[[#This Row],[kelly/4 365]]*0.8*$U$2</f>
        <v>#DIV/0!</v>
      </c>
      <c r="P96" s="2" t="e">
        <f>(Table1[[#This Row],[poisson_likelihood]] - (1-Table1[[#This Row],[poisson_likelihood]])/(1/Table1[[#This Row],[99/pinn implied]]-1))/4</f>
        <v>#DIV/0!</v>
      </c>
      <c r="Q96" s="3" t="e">
        <f>Table1[[#This Row],[kelly/4 99]]*0.8*$U$2</f>
        <v>#DIV/0!</v>
      </c>
      <c r="S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7" spans="1:19" x14ac:dyDescent="0.2">
      <c r="A97">
        <v>6682</v>
      </c>
      <c r="B97" t="s">
        <v>56</v>
      </c>
      <c r="C97" s="1">
        <v>45614</v>
      </c>
      <c r="D97" t="s">
        <v>13</v>
      </c>
      <c r="E97">
        <v>1.5</v>
      </c>
      <c r="F97" s="2">
        <v>0.40322580645161199</v>
      </c>
      <c r="G97" s="2">
        <v>0.31411245199680399</v>
      </c>
      <c r="H97" s="2">
        <v>0.34305867206378499</v>
      </c>
      <c r="I97" s="2">
        <v>0.48514851485148502</v>
      </c>
      <c r="J97" s="2">
        <v>0.5</v>
      </c>
      <c r="K97" s="2">
        <v>-2.5205150892197901E-2</v>
      </c>
      <c r="L97" s="2"/>
      <c r="M97" s="2" t="e">
        <f>(Table1[[#This Row],[poisson_likelihood]] - (1-Table1[[#This Row],[poisson_likelihood]])/(1/Table1[[#This Row],[365 implied]]-1))/4</f>
        <v>#DIV/0!</v>
      </c>
      <c r="N97" s="6" t="e">
        <f>Table1[[#This Row],[kelly/4 365]]*0.8*$U$2</f>
        <v>#DIV/0!</v>
      </c>
      <c r="P97" s="2" t="e">
        <f>(Table1[[#This Row],[poisson_likelihood]] - (1-Table1[[#This Row],[poisson_likelihood]])/(1/Table1[[#This Row],[99/pinn implied]]-1))/4</f>
        <v>#DIV/0!</v>
      </c>
      <c r="Q97" s="3" t="e">
        <f>Table1[[#This Row],[kelly/4 99]]*0.8*$U$2</f>
        <v>#DIV/0!</v>
      </c>
      <c r="S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8" spans="1:19" x14ac:dyDescent="0.2">
      <c r="A98">
        <v>6732</v>
      </c>
      <c r="B98" t="s">
        <v>81</v>
      </c>
      <c r="C98" s="1">
        <v>45614</v>
      </c>
      <c r="D98" t="s">
        <v>13</v>
      </c>
      <c r="E98">
        <v>2.5</v>
      </c>
      <c r="F98" s="2">
        <v>0.64516129032257996</v>
      </c>
      <c r="G98" s="2">
        <v>0.56256556433857097</v>
      </c>
      <c r="H98" s="2">
        <v>0.60930201623692704</v>
      </c>
      <c r="I98" s="2">
        <v>0.71098265895953705</v>
      </c>
      <c r="J98" s="2">
        <v>0.71237458193979897</v>
      </c>
      <c r="K98" s="2">
        <v>-2.5264488560346601E-2</v>
      </c>
      <c r="L98" s="2"/>
      <c r="M98" s="2" t="e">
        <f>(Table1[[#This Row],[poisson_likelihood]] - (1-Table1[[#This Row],[poisson_likelihood]])/(1/Table1[[#This Row],[365 implied]]-1))/4</f>
        <v>#DIV/0!</v>
      </c>
      <c r="N98" s="6" t="e">
        <f>Table1[[#This Row],[kelly/4 365]]*0.8*$U$2</f>
        <v>#DIV/0!</v>
      </c>
      <c r="P98" s="2" t="e">
        <f>(Table1[[#This Row],[poisson_likelihood]] - (1-Table1[[#This Row],[poisson_likelihood]])/(1/Table1[[#This Row],[99/pinn implied]]-1))/4</f>
        <v>#DIV/0!</v>
      </c>
      <c r="Q98" s="3" t="e">
        <f>Table1[[#This Row],[kelly/4 99]]*0.8*$U$2</f>
        <v>#DIV/0!</v>
      </c>
      <c r="S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9" spans="1:19" x14ac:dyDescent="0.2">
      <c r="A99">
        <v>6623</v>
      </c>
      <c r="B99" t="s">
        <v>27</v>
      </c>
      <c r="C99" s="1">
        <v>45614</v>
      </c>
      <c r="D99" t="s">
        <v>12</v>
      </c>
      <c r="E99">
        <v>1.5</v>
      </c>
      <c r="F99" s="2">
        <v>0.55248618784530301</v>
      </c>
      <c r="G99" s="2">
        <v>0.55275787101328899</v>
      </c>
      <c r="H99" s="2">
        <v>0.50686216188113098</v>
      </c>
      <c r="I99" s="2">
        <v>0.60784313725490102</v>
      </c>
      <c r="J99" s="2">
        <v>0.57847533632286996</v>
      </c>
      <c r="K99" s="2">
        <v>-2.5487495986158199E-2</v>
      </c>
      <c r="L99" s="2"/>
      <c r="M99" s="2" t="e">
        <f>(Table1[[#This Row],[poisson_likelihood]] - (1-Table1[[#This Row],[poisson_likelihood]])/(1/Table1[[#This Row],[365 implied]]-1))/4</f>
        <v>#DIV/0!</v>
      </c>
      <c r="N99" s="6" t="e">
        <f>Table1[[#This Row],[kelly/4 365]]*0.8*$U$2</f>
        <v>#DIV/0!</v>
      </c>
      <c r="P99" s="2" t="e">
        <f>(Table1[[#This Row],[poisson_likelihood]] - (1-Table1[[#This Row],[poisson_likelihood]])/(1/Table1[[#This Row],[99/pinn implied]]-1))/4</f>
        <v>#DIV/0!</v>
      </c>
      <c r="Q99" s="3" t="e">
        <f>Table1[[#This Row],[kelly/4 99]]*0.8*$U$2</f>
        <v>#DIV/0!</v>
      </c>
      <c r="S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0" spans="1:19" x14ac:dyDescent="0.2">
      <c r="A100">
        <v>6689</v>
      </c>
      <c r="B100" t="s">
        <v>60</v>
      </c>
      <c r="C100" s="1">
        <v>45614</v>
      </c>
      <c r="D100" t="s">
        <v>12</v>
      </c>
      <c r="E100">
        <v>2.5</v>
      </c>
      <c r="F100" s="2">
        <v>0.43859649122806998</v>
      </c>
      <c r="G100" s="2">
        <v>0.43003269068169597</v>
      </c>
      <c r="H100" s="2">
        <v>0.38037617517912597</v>
      </c>
      <c r="I100" s="2">
        <v>0.43209876543209802</v>
      </c>
      <c r="J100" s="2">
        <v>0.42142857142857099</v>
      </c>
      <c r="K100" s="2">
        <v>-2.59262344905451E-2</v>
      </c>
      <c r="L100" s="2"/>
      <c r="M100" s="2" t="e">
        <f>(Table1[[#This Row],[poisson_likelihood]] - (1-Table1[[#This Row],[poisson_likelihood]])/(1/Table1[[#This Row],[365 implied]]-1))/4</f>
        <v>#DIV/0!</v>
      </c>
      <c r="N100" s="6" t="e">
        <f>Table1[[#This Row],[kelly/4 365]]*0.8*$U$2</f>
        <v>#DIV/0!</v>
      </c>
      <c r="P100" s="2" t="e">
        <f>(Table1[[#This Row],[poisson_likelihood]] - (1-Table1[[#This Row],[poisson_likelihood]])/(1/Table1[[#This Row],[99/pinn implied]]-1))/4</f>
        <v>#DIV/0!</v>
      </c>
      <c r="Q100" s="3" t="e">
        <f>Table1[[#This Row],[kelly/4 99]]*0.8*$U$2</f>
        <v>#DIV/0!</v>
      </c>
      <c r="S1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1" spans="1:19" x14ac:dyDescent="0.2">
      <c r="A101">
        <v>6685</v>
      </c>
      <c r="B101" t="s">
        <v>58</v>
      </c>
      <c r="C101" s="1">
        <v>45614</v>
      </c>
      <c r="D101" t="s">
        <v>12</v>
      </c>
      <c r="E101">
        <v>2.5</v>
      </c>
      <c r="F101" s="2">
        <v>0.60606060606060597</v>
      </c>
      <c r="G101" s="2">
        <v>0.60107256161524902</v>
      </c>
      <c r="H101" s="2">
        <v>0.564075435590907</v>
      </c>
      <c r="I101" s="2">
        <v>0.4</v>
      </c>
      <c r="J101" s="2">
        <v>0.43092105263157798</v>
      </c>
      <c r="K101" s="2">
        <v>-2.6644435105770501E-2</v>
      </c>
      <c r="L101" s="2"/>
      <c r="M101" s="2" t="e">
        <f>(Table1[[#This Row],[poisson_likelihood]] - (1-Table1[[#This Row],[poisson_likelihood]])/(1/Table1[[#This Row],[365 implied]]-1))/4</f>
        <v>#DIV/0!</v>
      </c>
      <c r="N101" s="6" t="e">
        <f>Table1[[#This Row],[kelly/4 365]]*0.8*$U$2</f>
        <v>#DIV/0!</v>
      </c>
      <c r="P101" s="2" t="e">
        <f>(Table1[[#This Row],[poisson_likelihood]] - (1-Table1[[#This Row],[poisson_likelihood]])/(1/Table1[[#This Row],[99/pinn implied]]-1))/4</f>
        <v>#DIV/0!</v>
      </c>
      <c r="Q101" s="3" t="e">
        <f>Table1[[#This Row],[kelly/4 99]]*0.8*$U$2</f>
        <v>#DIV/0!</v>
      </c>
      <c r="S1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2" spans="1:19" x14ac:dyDescent="0.2">
      <c r="A102">
        <v>6649</v>
      </c>
      <c r="B102" t="s">
        <v>40</v>
      </c>
      <c r="C102" s="1">
        <v>45614</v>
      </c>
      <c r="D102" t="s">
        <v>12</v>
      </c>
      <c r="E102">
        <v>2.5</v>
      </c>
      <c r="F102" s="2">
        <v>0.59523809523809501</v>
      </c>
      <c r="G102" s="2">
        <v>0.58822392118729105</v>
      </c>
      <c r="H102" s="2">
        <v>0.55116034717365703</v>
      </c>
      <c r="I102" s="2">
        <v>0.55865921787709405</v>
      </c>
      <c r="J102" s="2">
        <v>0.539215686274509</v>
      </c>
      <c r="K102" s="2">
        <v>-2.7224491451564501E-2</v>
      </c>
      <c r="L102" s="2"/>
      <c r="M102" s="2" t="e">
        <f>(Table1[[#This Row],[poisson_likelihood]] - (1-Table1[[#This Row],[poisson_likelihood]])/(1/Table1[[#This Row],[365 implied]]-1))/4</f>
        <v>#DIV/0!</v>
      </c>
      <c r="N102" s="6" t="e">
        <f>Table1[[#This Row],[kelly/4 365]]*0.8*$U$2</f>
        <v>#DIV/0!</v>
      </c>
      <c r="P102" s="2" t="e">
        <f>(Table1[[#This Row],[poisson_likelihood]] - (1-Table1[[#This Row],[poisson_likelihood]])/(1/Table1[[#This Row],[99/pinn implied]]-1))/4</f>
        <v>#DIV/0!</v>
      </c>
      <c r="Q102" s="3" t="e">
        <f>Table1[[#This Row],[kelly/4 99]]*0.8*$U$2</f>
        <v>#DIV/0!</v>
      </c>
      <c r="S1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3" spans="1:19" x14ac:dyDescent="0.2">
      <c r="A103">
        <v>6647</v>
      </c>
      <c r="B103" t="s">
        <v>39</v>
      </c>
      <c r="C103" s="1">
        <v>45614</v>
      </c>
      <c r="D103" t="s">
        <v>12</v>
      </c>
      <c r="E103">
        <v>1.5</v>
      </c>
      <c r="F103" s="2">
        <v>0.56497175141242895</v>
      </c>
      <c r="G103" s="2">
        <v>0.55965821185225195</v>
      </c>
      <c r="H103" s="2">
        <v>0.51694281905448003</v>
      </c>
      <c r="I103" s="2">
        <v>0.58241758241758201</v>
      </c>
      <c r="J103" s="2">
        <v>0.59677419354838701</v>
      </c>
      <c r="K103" s="2">
        <v>-2.7601042296613702E-2</v>
      </c>
      <c r="L103" s="2"/>
      <c r="M103" s="2" t="e">
        <f>(Table1[[#This Row],[poisson_likelihood]] - (1-Table1[[#This Row],[poisson_likelihood]])/(1/Table1[[#This Row],[365 implied]]-1))/4</f>
        <v>#DIV/0!</v>
      </c>
      <c r="N103" s="6" t="e">
        <f>Table1[[#This Row],[kelly/4 365]]*0.8*$U$2</f>
        <v>#DIV/0!</v>
      </c>
      <c r="P103" s="2" t="e">
        <f>(Table1[[#This Row],[poisson_likelihood]] - (1-Table1[[#This Row],[poisson_likelihood]])/(1/Table1[[#This Row],[99/pinn implied]]-1))/4</f>
        <v>#DIV/0!</v>
      </c>
      <c r="Q103" s="3" t="e">
        <f>Table1[[#This Row],[kelly/4 99]]*0.8*$U$2</f>
        <v>#DIV/0!</v>
      </c>
      <c r="S1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4" spans="1:19" x14ac:dyDescent="0.2">
      <c r="A104">
        <v>6663</v>
      </c>
      <c r="B104" t="s">
        <v>47</v>
      </c>
      <c r="C104" s="1">
        <v>45614</v>
      </c>
      <c r="D104" t="s">
        <v>12</v>
      </c>
      <c r="E104">
        <v>1.5</v>
      </c>
      <c r="F104" s="2">
        <v>0.60606060606060597</v>
      </c>
      <c r="G104" s="2">
        <v>0.60162670464347601</v>
      </c>
      <c r="H104" s="2">
        <v>0.56228829397116897</v>
      </c>
      <c r="I104" s="2">
        <v>0.60989010989010894</v>
      </c>
      <c r="J104" s="2">
        <v>0.61612903225806404</v>
      </c>
      <c r="K104" s="2">
        <v>-2.77785826721424E-2</v>
      </c>
      <c r="L104" s="2"/>
      <c r="M104" s="2" t="e">
        <f>(Table1[[#This Row],[poisson_likelihood]] - (1-Table1[[#This Row],[poisson_likelihood]])/(1/Table1[[#This Row],[365 implied]]-1))/4</f>
        <v>#DIV/0!</v>
      </c>
      <c r="N104" s="6" t="e">
        <f>Table1[[#This Row],[kelly/4 365]]*0.8*$U$2</f>
        <v>#DIV/0!</v>
      </c>
      <c r="P104" s="2" t="e">
        <f>(Table1[[#This Row],[poisson_likelihood]] - (1-Table1[[#This Row],[poisson_likelihood]])/(1/Table1[[#This Row],[99/pinn implied]]-1))/4</f>
        <v>#DIV/0!</v>
      </c>
      <c r="Q104" s="3" t="e">
        <f>Table1[[#This Row],[kelly/4 99]]*0.8*$U$2</f>
        <v>#DIV/0!</v>
      </c>
      <c r="S1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5" spans="1:19" x14ac:dyDescent="0.2">
      <c r="A105">
        <v>6727</v>
      </c>
      <c r="B105" t="s">
        <v>79</v>
      </c>
      <c r="C105" s="1">
        <v>45614</v>
      </c>
      <c r="D105" t="s">
        <v>12</v>
      </c>
      <c r="E105">
        <v>1.5</v>
      </c>
      <c r="F105" s="2">
        <v>0.63694267515923497</v>
      </c>
      <c r="G105" s="2">
        <v>0.65024674103288704</v>
      </c>
      <c r="H105" s="2">
        <v>0.59483571660268098</v>
      </c>
      <c r="I105" s="2">
        <v>0.50828729281767904</v>
      </c>
      <c r="J105" s="2">
        <v>0.49837133550488599</v>
      </c>
      <c r="K105" s="2">
        <v>-2.8994703918329302E-2</v>
      </c>
      <c r="L105" s="2"/>
      <c r="M105" s="2" t="e">
        <f>(Table1[[#This Row],[poisson_likelihood]] - (1-Table1[[#This Row],[poisson_likelihood]])/(1/Table1[[#This Row],[365 implied]]-1))/4</f>
        <v>#DIV/0!</v>
      </c>
      <c r="N105" s="6" t="e">
        <f>Table1[[#This Row],[kelly/4 365]]*0.8*$U$2</f>
        <v>#DIV/0!</v>
      </c>
      <c r="P105" s="2" t="e">
        <f>(Table1[[#This Row],[poisson_likelihood]] - (1-Table1[[#This Row],[poisson_likelihood]])/(1/Table1[[#This Row],[99/pinn implied]]-1))/4</f>
        <v>#DIV/0!</v>
      </c>
      <c r="Q105" s="3" t="e">
        <f>Table1[[#This Row],[kelly/4 99]]*0.8*$U$2</f>
        <v>#DIV/0!</v>
      </c>
      <c r="S1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6" spans="1:19" x14ac:dyDescent="0.2">
      <c r="A106">
        <v>6640</v>
      </c>
      <c r="B106" t="s">
        <v>35</v>
      </c>
      <c r="C106" s="1">
        <v>45614</v>
      </c>
      <c r="D106" t="s">
        <v>13</v>
      </c>
      <c r="E106">
        <v>1.5</v>
      </c>
      <c r="F106" s="2">
        <v>0.5</v>
      </c>
      <c r="G106" s="2">
        <v>0.39297800093519503</v>
      </c>
      <c r="H106" s="2">
        <v>0.44199745092426901</v>
      </c>
      <c r="I106" s="2">
        <v>0.40909090909090901</v>
      </c>
      <c r="J106" s="2">
        <v>0.41891891891891803</v>
      </c>
      <c r="K106" s="2">
        <v>-2.9001274537865399E-2</v>
      </c>
      <c r="L106" s="2"/>
      <c r="M106" s="2" t="e">
        <f>(Table1[[#This Row],[poisson_likelihood]] - (1-Table1[[#This Row],[poisson_likelihood]])/(1/Table1[[#This Row],[365 implied]]-1))/4</f>
        <v>#DIV/0!</v>
      </c>
      <c r="N106" s="6" t="e">
        <f>Table1[[#This Row],[kelly/4 365]]*0.8*$U$2</f>
        <v>#DIV/0!</v>
      </c>
      <c r="P106" s="2" t="e">
        <f>(Table1[[#This Row],[poisson_likelihood]] - (1-Table1[[#This Row],[poisson_likelihood]])/(1/Table1[[#This Row],[99/pinn implied]]-1))/4</f>
        <v>#DIV/0!</v>
      </c>
      <c r="Q106" s="3" t="e">
        <f>Table1[[#This Row],[kelly/4 99]]*0.8*$U$2</f>
        <v>#DIV/0!</v>
      </c>
      <c r="S10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7" spans="1:19" x14ac:dyDescent="0.2">
      <c r="A107">
        <v>6619</v>
      </c>
      <c r="B107" t="s">
        <v>25</v>
      </c>
      <c r="C107" s="1">
        <v>45614</v>
      </c>
      <c r="D107" t="s">
        <v>12</v>
      </c>
      <c r="E107">
        <v>2.5</v>
      </c>
      <c r="F107" s="2">
        <v>0.39682539682539603</v>
      </c>
      <c r="G107" s="2">
        <v>0.37061452532625599</v>
      </c>
      <c r="H107" s="2">
        <v>0.324869554240375</v>
      </c>
      <c r="I107" s="2">
        <v>0.284810126582278</v>
      </c>
      <c r="J107" s="2">
        <v>0.318996415770609</v>
      </c>
      <c r="K107" s="2">
        <v>-2.9823803176686599E-2</v>
      </c>
      <c r="L107" s="2"/>
      <c r="M107" s="2" t="e">
        <f>(Table1[[#This Row],[poisson_likelihood]] - (1-Table1[[#This Row],[poisson_likelihood]])/(1/Table1[[#This Row],[365 implied]]-1))/4</f>
        <v>#DIV/0!</v>
      </c>
      <c r="N107" s="6" t="e">
        <f>Table1[[#This Row],[kelly/4 365]]*0.8*$U$2</f>
        <v>#DIV/0!</v>
      </c>
      <c r="P107" s="2" t="e">
        <f>(Table1[[#This Row],[poisson_likelihood]] - (1-Table1[[#This Row],[poisson_likelihood]])/(1/Table1[[#This Row],[99/pinn implied]]-1))/4</f>
        <v>#DIV/0!</v>
      </c>
      <c r="Q107" s="3" t="e">
        <f>Table1[[#This Row],[kelly/4 99]]*0.8*$U$2</f>
        <v>#DIV/0!</v>
      </c>
      <c r="S10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8" spans="1:19" x14ac:dyDescent="0.2">
      <c r="A108">
        <v>6670</v>
      </c>
      <c r="B108" t="s">
        <v>50</v>
      </c>
      <c r="C108" s="1">
        <v>45614</v>
      </c>
      <c r="D108" t="s">
        <v>13</v>
      </c>
      <c r="E108">
        <v>3.5</v>
      </c>
      <c r="F108" s="2">
        <v>0.59171597633136097</v>
      </c>
      <c r="G108" s="2">
        <v>0.50532842292898195</v>
      </c>
      <c r="H108" s="2">
        <v>0.54194966264059397</v>
      </c>
      <c r="I108" s="2">
        <v>0.56497175141242895</v>
      </c>
      <c r="J108" s="2">
        <v>0.59405940594059403</v>
      </c>
      <c r="K108" s="2">
        <v>-3.0472851499056298E-2</v>
      </c>
      <c r="L108" s="2"/>
      <c r="M108" s="2" t="e">
        <f>(Table1[[#This Row],[poisson_likelihood]] - (1-Table1[[#This Row],[poisson_likelihood]])/(1/Table1[[#This Row],[365 implied]]-1))/4</f>
        <v>#DIV/0!</v>
      </c>
      <c r="N108" s="6" t="e">
        <f>Table1[[#This Row],[kelly/4 365]]*0.8*$U$2</f>
        <v>#DIV/0!</v>
      </c>
      <c r="P108" s="2" t="e">
        <f>(Table1[[#This Row],[poisson_likelihood]] - (1-Table1[[#This Row],[poisson_likelihood]])/(1/Table1[[#This Row],[99/pinn implied]]-1))/4</f>
        <v>#DIV/0!</v>
      </c>
      <c r="Q108" s="3" t="e">
        <f>Table1[[#This Row],[kelly/4 99]]*0.8*$U$2</f>
        <v>#DIV/0!</v>
      </c>
      <c r="S10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9" spans="1:19" x14ac:dyDescent="0.2">
      <c r="A109">
        <v>6633</v>
      </c>
      <c r="B109" t="s">
        <v>32</v>
      </c>
      <c r="C109" s="1">
        <v>45614</v>
      </c>
      <c r="D109" t="s">
        <v>12</v>
      </c>
      <c r="E109">
        <v>2.5</v>
      </c>
      <c r="F109" s="2">
        <v>0.59880239520958001</v>
      </c>
      <c r="G109" s="2">
        <v>0.58803715984652405</v>
      </c>
      <c r="H109" s="2">
        <v>0.54961357603014704</v>
      </c>
      <c r="I109" s="2">
        <v>0.53548387096774197</v>
      </c>
      <c r="J109" s="2">
        <v>0.55035971223021496</v>
      </c>
      <c r="K109" s="2">
        <v>-3.0651241802109399E-2</v>
      </c>
      <c r="L109" s="2"/>
      <c r="M109" s="2" t="e">
        <f>(Table1[[#This Row],[poisson_likelihood]] - (1-Table1[[#This Row],[poisson_likelihood]])/(1/Table1[[#This Row],[365 implied]]-1))/4</f>
        <v>#DIV/0!</v>
      </c>
      <c r="N109" s="6" t="e">
        <f>Table1[[#This Row],[kelly/4 365]]*0.8*$U$2</f>
        <v>#DIV/0!</v>
      </c>
      <c r="P109" s="2" t="e">
        <f>(Table1[[#This Row],[poisson_likelihood]] - (1-Table1[[#This Row],[poisson_likelihood]])/(1/Table1[[#This Row],[99/pinn implied]]-1))/4</f>
        <v>#DIV/0!</v>
      </c>
      <c r="Q109" s="3" t="e">
        <f>Table1[[#This Row],[kelly/4 99]]*0.8*$U$2</f>
        <v>#DIV/0!</v>
      </c>
      <c r="S10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0" spans="1:19" x14ac:dyDescent="0.2">
      <c r="A110">
        <v>6735</v>
      </c>
      <c r="B110" t="s">
        <v>83</v>
      </c>
      <c r="C110" s="1">
        <v>45614</v>
      </c>
      <c r="D110" t="s">
        <v>12</v>
      </c>
      <c r="E110">
        <v>2.5</v>
      </c>
      <c r="F110" s="2">
        <v>0.51813471502590602</v>
      </c>
      <c r="G110" s="2">
        <v>0.50070970265701997</v>
      </c>
      <c r="H110" s="2">
        <v>0.45690233713289702</v>
      </c>
      <c r="I110" s="2">
        <v>0.375</v>
      </c>
      <c r="J110" s="2">
        <v>0.39597315436241598</v>
      </c>
      <c r="K110" s="2">
        <v>-3.1768411111158197E-2</v>
      </c>
      <c r="L110" s="2"/>
      <c r="M110" s="2" t="e">
        <f>(Table1[[#This Row],[poisson_likelihood]] - (1-Table1[[#This Row],[poisson_likelihood]])/(1/Table1[[#This Row],[365 implied]]-1))/4</f>
        <v>#DIV/0!</v>
      </c>
      <c r="N110" s="6" t="e">
        <f>Table1[[#This Row],[kelly/4 365]]*0.8*$U$2</f>
        <v>#DIV/0!</v>
      </c>
      <c r="P110" s="2" t="e">
        <f>(Table1[[#This Row],[poisson_likelihood]] - (1-Table1[[#This Row],[poisson_likelihood]])/(1/Table1[[#This Row],[99/pinn implied]]-1))/4</f>
        <v>#DIV/0!</v>
      </c>
      <c r="Q110" s="3" t="e">
        <f>Table1[[#This Row],[kelly/4 99]]*0.8*$U$2</f>
        <v>#DIV/0!</v>
      </c>
      <c r="S1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1" spans="1:19" x14ac:dyDescent="0.2">
      <c r="A111">
        <v>6605</v>
      </c>
      <c r="B111" t="s">
        <v>18</v>
      </c>
      <c r="C111" s="1">
        <v>45614</v>
      </c>
      <c r="D111" t="s">
        <v>12</v>
      </c>
      <c r="E111">
        <v>2.5</v>
      </c>
      <c r="F111" s="2">
        <v>0.43859649122806998</v>
      </c>
      <c r="G111" s="2">
        <v>0.42303900839728098</v>
      </c>
      <c r="H111" s="2">
        <v>0.36656244204491301</v>
      </c>
      <c r="I111" s="2">
        <v>0.28999999999999998</v>
      </c>
      <c r="J111" s="2">
        <v>0.33502538071065902</v>
      </c>
      <c r="K111" s="2">
        <v>-3.2077662526874599E-2</v>
      </c>
      <c r="L111" s="2"/>
      <c r="M111" s="2" t="e">
        <f>(Table1[[#This Row],[poisson_likelihood]] - (1-Table1[[#This Row],[poisson_likelihood]])/(1/Table1[[#This Row],[365 implied]]-1))/4</f>
        <v>#DIV/0!</v>
      </c>
      <c r="N111" s="6" t="e">
        <f>Table1[[#This Row],[kelly/4 365]]*0.8*$U$2</f>
        <v>#DIV/0!</v>
      </c>
      <c r="P111" s="2" t="e">
        <f>(Table1[[#This Row],[poisson_likelihood]] - (1-Table1[[#This Row],[poisson_likelihood]])/(1/Table1[[#This Row],[99/pinn implied]]-1))/4</f>
        <v>#DIV/0!</v>
      </c>
      <c r="Q111" s="3" t="e">
        <f>Table1[[#This Row],[kelly/4 99]]*0.8*$U$2</f>
        <v>#DIV/0!</v>
      </c>
      <c r="S1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2" spans="1:19" x14ac:dyDescent="0.2">
      <c r="A112">
        <v>6656</v>
      </c>
      <c r="B112" t="s">
        <v>43</v>
      </c>
      <c r="C112" s="1">
        <v>45614</v>
      </c>
      <c r="D112" t="s">
        <v>13</v>
      </c>
      <c r="E112">
        <v>2.5</v>
      </c>
      <c r="F112" s="2">
        <v>0.63694267515923497</v>
      </c>
      <c r="G112" s="2">
        <v>0.54509704039118401</v>
      </c>
      <c r="H112" s="2">
        <v>0.58977390893491799</v>
      </c>
      <c r="I112" s="2">
        <v>0.61666666666666603</v>
      </c>
      <c r="J112" s="2">
        <v>0.63071895424836599</v>
      </c>
      <c r="K112" s="2">
        <v>-3.2480246917621698E-2</v>
      </c>
      <c r="L112" s="2"/>
      <c r="M112" s="2" t="e">
        <f>(Table1[[#This Row],[poisson_likelihood]] - (1-Table1[[#This Row],[poisson_likelihood]])/(1/Table1[[#This Row],[365 implied]]-1))/4</f>
        <v>#DIV/0!</v>
      </c>
      <c r="N112" s="6" t="e">
        <f>Table1[[#This Row],[kelly/4 365]]*0.8*$U$2</f>
        <v>#DIV/0!</v>
      </c>
      <c r="P112" s="2" t="e">
        <f>(Table1[[#This Row],[poisson_likelihood]] - (1-Table1[[#This Row],[poisson_likelihood]])/(1/Table1[[#This Row],[99/pinn implied]]-1))/4</f>
        <v>#DIV/0!</v>
      </c>
      <c r="Q112" s="3" t="e">
        <f>Table1[[#This Row],[kelly/4 99]]*0.8*$U$2</f>
        <v>#DIV/0!</v>
      </c>
      <c r="S1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3" spans="1:19" x14ac:dyDescent="0.2">
      <c r="A113">
        <v>6724</v>
      </c>
      <c r="B113" t="s">
        <v>77</v>
      </c>
      <c r="C113" s="1">
        <v>45614</v>
      </c>
      <c r="D113" t="s">
        <v>13</v>
      </c>
      <c r="E113">
        <v>2.5</v>
      </c>
      <c r="F113" s="2">
        <v>0.625</v>
      </c>
      <c r="G113" s="2">
        <v>0.52765007297924504</v>
      </c>
      <c r="H113" s="2">
        <v>0.57412958162821903</v>
      </c>
      <c r="I113" s="2">
        <v>0.53237410071942404</v>
      </c>
      <c r="J113" s="2">
        <v>0.55094339622641497</v>
      </c>
      <c r="K113" s="2">
        <v>-3.3913612247853497E-2</v>
      </c>
      <c r="L113" s="2"/>
      <c r="M113" s="2" t="e">
        <f>(Table1[[#This Row],[poisson_likelihood]] - (1-Table1[[#This Row],[poisson_likelihood]])/(1/Table1[[#This Row],[365 implied]]-1))/4</f>
        <v>#DIV/0!</v>
      </c>
      <c r="N113" s="6" t="e">
        <f>Table1[[#This Row],[kelly/4 365]]*0.8*$U$2</f>
        <v>#DIV/0!</v>
      </c>
      <c r="P113" s="2" t="e">
        <f>(Table1[[#This Row],[poisson_likelihood]] - (1-Table1[[#This Row],[poisson_likelihood]])/(1/Table1[[#This Row],[99/pinn implied]]-1))/4</f>
        <v>#DIV/0!</v>
      </c>
      <c r="Q113" s="3" t="e">
        <f>Table1[[#This Row],[kelly/4 99]]*0.8*$U$2</f>
        <v>#DIV/0!</v>
      </c>
      <c r="S1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4" spans="1:19" x14ac:dyDescent="0.2">
      <c r="A114">
        <v>6708</v>
      </c>
      <c r="B114" t="s">
        <v>69</v>
      </c>
      <c r="C114" s="1">
        <v>45614</v>
      </c>
      <c r="D114" t="s">
        <v>13</v>
      </c>
      <c r="E114">
        <v>1.5</v>
      </c>
      <c r="F114" s="2">
        <v>0.476190476190476</v>
      </c>
      <c r="G114" s="2">
        <v>0.36207135923467898</v>
      </c>
      <c r="H114" s="2">
        <v>0.403211469434754</v>
      </c>
      <c r="I114" s="2">
        <v>0.36046511627906902</v>
      </c>
      <c r="J114" s="2">
        <v>0.40604026845637498</v>
      </c>
      <c r="K114" s="2">
        <v>-3.4830889587957797E-2</v>
      </c>
      <c r="L114" s="2"/>
      <c r="M114" s="2" t="e">
        <f>(Table1[[#This Row],[poisson_likelihood]] - (1-Table1[[#This Row],[poisson_likelihood]])/(1/Table1[[#This Row],[365 implied]]-1))/4</f>
        <v>#DIV/0!</v>
      </c>
      <c r="N114" s="6" t="e">
        <f>Table1[[#This Row],[kelly/4 365]]*0.8*$U$2</f>
        <v>#DIV/0!</v>
      </c>
      <c r="P114" s="2" t="e">
        <f>(Table1[[#This Row],[poisson_likelihood]] - (1-Table1[[#This Row],[poisson_likelihood]])/(1/Table1[[#This Row],[99/pinn implied]]-1))/4</f>
        <v>#DIV/0!</v>
      </c>
      <c r="Q114" s="3" t="e">
        <f>Table1[[#This Row],[kelly/4 99]]*0.8*$U$2</f>
        <v>#DIV/0!</v>
      </c>
      <c r="S1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5" spans="1:19" x14ac:dyDescent="0.2">
      <c r="A115">
        <v>6729</v>
      </c>
      <c r="B115" t="s">
        <v>80</v>
      </c>
      <c r="C115" s="1">
        <v>45614</v>
      </c>
      <c r="D115" t="s">
        <v>12</v>
      </c>
      <c r="E115">
        <v>2.5</v>
      </c>
      <c r="F115" s="2">
        <v>0.50761421319796896</v>
      </c>
      <c r="G115" s="2">
        <v>0.48350056957179899</v>
      </c>
      <c r="H115" s="2">
        <v>0.438081068081769</v>
      </c>
      <c r="I115" s="2">
        <v>0.31736526946107702</v>
      </c>
      <c r="J115" s="2">
        <v>0.38732394366197098</v>
      </c>
      <c r="K115" s="2">
        <v>-3.5304199968792499E-2</v>
      </c>
      <c r="L115" s="2"/>
      <c r="M115" s="2" t="e">
        <f>(Table1[[#This Row],[poisson_likelihood]] - (1-Table1[[#This Row],[poisson_likelihood]])/(1/Table1[[#This Row],[365 implied]]-1))/4</f>
        <v>#DIV/0!</v>
      </c>
      <c r="N115" s="6" t="e">
        <f>Table1[[#This Row],[kelly/4 365]]*0.8*$U$2</f>
        <v>#DIV/0!</v>
      </c>
      <c r="P115" s="2" t="e">
        <f>(Table1[[#This Row],[poisson_likelihood]] - (1-Table1[[#This Row],[poisson_likelihood]])/(1/Table1[[#This Row],[99/pinn implied]]-1))/4</f>
        <v>#DIV/0!</v>
      </c>
      <c r="Q115" s="3" t="e">
        <f>Table1[[#This Row],[kelly/4 99]]*0.8*$U$2</f>
        <v>#DIV/0!</v>
      </c>
      <c r="S1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6" spans="1:19" x14ac:dyDescent="0.2">
      <c r="A116">
        <v>6636</v>
      </c>
      <c r="B116" t="s">
        <v>33</v>
      </c>
      <c r="C116" s="1">
        <v>45614</v>
      </c>
      <c r="D116" t="s">
        <v>13</v>
      </c>
      <c r="E116">
        <v>2.5</v>
      </c>
      <c r="F116" s="2">
        <v>0.43103448275862</v>
      </c>
      <c r="G116" s="2">
        <v>0.33767280594775201</v>
      </c>
      <c r="H116" s="2">
        <v>0.34992925363366301</v>
      </c>
      <c r="I116" s="2">
        <v>0.36666666666666597</v>
      </c>
      <c r="J116" s="2">
        <v>0.36274509803921501</v>
      </c>
      <c r="K116" s="2">
        <v>-3.5637146130663003E-2</v>
      </c>
      <c r="L116" s="2"/>
      <c r="M116" s="2" t="e">
        <f>(Table1[[#This Row],[poisson_likelihood]] - (1-Table1[[#This Row],[poisson_likelihood]])/(1/Table1[[#This Row],[365 implied]]-1))/4</f>
        <v>#DIV/0!</v>
      </c>
      <c r="N116" s="6" t="e">
        <f>Table1[[#This Row],[kelly/4 365]]*0.8*$U$2</f>
        <v>#DIV/0!</v>
      </c>
      <c r="P116" s="2" t="e">
        <f>(Table1[[#This Row],[poisson_likelihood]] - (1-Table1[[#This Row],[poisson_likelihood]])/(1/Table1[[#This Row],[99/pinn implied]]-1))/4</f>
        <v>#DIV/0!</v>
      </c>
      <c r="Q116" s="3" t="e">
        <f>Table1[[#This Row],[kelly/4 99]]*0.8*$U$2</f>
        <v>#DIV/0!</v>
      </c>
      <c r="S1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7" spans="1:19" x14ac:dyDescent="0.2">
      <c r="A117">
        <v>6604</v>
      </c>
      <c r="B117" t="s">
        <v>17</v>
      </c>
      <c r="C117" s="1">
        <v>45614</v>
      </c>
      <c r="D117" t="s">
        <v>13</v>
      </c>
      <c r="E117">
        <v>4.5</v>
      </c>
      <c r="F117" s="2">
        <v>0.57471264367816</v>
      </c>
      <c r="G117" s="2">
        <v>0.48239668158466098</v>
      </c>
      <c r="H117" s="2">
        <v>0.51394394000279797</v>
      </c>
      <c r="I117" s="2">
        <v>0.48633879781420702</v>
      </c>
      <c r="J117" s="2">
        <v>0.53035143769967996</v>
      </c>
      <c r="K117" s="2">
        <v>-3.5722143376733302E-2</v>
      </c>
      <c r="L117" s="2"/>
      <c r="M117" s="2" t="e">
        <f>(Table1[[#This Row],[poisson_likelihood]] - (1-Table1[[#This Row],[poisson_likelihood]])/(1/Table1[[#This Row],[365 implied]]-1))/4</f>
        <v>#DIV/0!</v>
      </c>
      <c r="N117" s="6" t="e">
        <f>Table1[[#This Row],[kelly/4 365]]*0.8*$U$2</f>
        <v>#DIV/0!</v>
      </c>
      <c r="P117" s="2" t="e">
        <f>(Table1[[#This Row],[poisson_likelihood]] - (1-Table1[[#This Row],[poisson_likelihood]])/(1/Table1[[#This Row],[99/pinn implied]]-1))/4</f>
        <v>#DIV/0!</v>
      </c>
      <c r="Q117" s="3" t="e">
        <f>Table1[[#This Row],[kelly/4 99]]*0.8*$U$2</f>
        <v>#DIV/0!</v>
      </c>
      <c r="S1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8" spans="1:19" x14ac:dyDescent="0.2">
      <c r="A118">
        <v>6688</v>
      </c>
      <c r="B118" t="s">
        <v>59</v>
      </c>
      <c r="C118" s="1">
        <v>45614</v>
      </c>
      <c r="D118" t="s">
        <v>13</v>
      </c>
      <c r="E118">
        <v>2.5</v>
      </c>
      <c r="F118" s="2">
        <v>0.58479532163742598</v>
      </c>
      <c r="G118" s="2">
        <v>0.47550890540103802</v>
      </c>
      <c r="H118" s="2">
        <v>0.52196810868964105</v>
      </c>
      <c r="I118" s="2">
        <v>0.59880239520958001</v>
      </c>
      <c r="J118" s="2">
        <v>0.60207612456747395</v>
      </c>
      <c r="K118" s="2">
        <v>-3.7829061317152197E-2</v>
      </c>
      <c r="L118" s="2"/>
      <c r="M118" s="2" t="e">
        <f>(Table1[[#This Row],[poisson_likelihood]] - (1-Table1[[#This Row],[poisson_likelihood]])/(1/Table1[[#This Row],[365 implied]]-1))/4</f>
        <v>#DIV/0!</v>
      </c>
      <c r="N118" s="6" t="e">
        <f>Table1[[#This Row],[kelly/4 365]]*0.8*$U$2</f>
        <v>#DIV/0!</v>
      </c>
      <c r="P118" s="2" t="e">
        <f>(Table1[[#This Row],[poisson_likelihood]] - (1-Table1[[#This Row],[poisson_likelihood]])/(1/Table1[[#This Row],[99/pinn implied]]-1))/4</f>
        <v>#DIV/0!</v>
      </c>
      <c r="Q118" s="3" t="e">
        <f>Table1[[#This Row],[kelly/4 99]]*0.8*$U$2</f>
        <v>#DIV/0!</v>
      </c>
      <c r="S1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9" spans="1:19" x14ac:dyDescent="0.2">
      <c r="A119">
        <v>6621</v>
      </c>
      <c r="B119" t="s">
        <v>26</v>
      </c>
      <c r="C119" s="1">
        <v>45614</v>
      </c>
      <c r="D119" t="s">
        <v>12</v>
      </c>
      <c r="E119">
        <v>1.5</v>
      </c>
      <c r="F119" s="2">
        <v>0.56497175141242895</v>
      </c>
      <c r="G119" s="2">
        <v>0.55189225529541097</v>
      </c>
      <c r="H119" s="2">
        <v>0.49888323991828998</v>
      </c>
      <c r="I119" s="2">
        <v>0.49726775956284103</v>
      </c>
      <c r="J119" s="2">
        <v>0.498402555910543</v>
      </c>
      <c r="K119" s="2">
        <v>-3.7979436800203298E-2</v>
      </c>
      <c r="L119" s="2"/>
      <c r="M119" s="2" t="e">
        <f>(Table1[[#This Row],[poisson_likelihood]] - (1-Table1[[#This Row],[poisson_likelihood]])/(1/Table1[[#This Row],[365 implied]]-1))/4</f>
        <v>#DIV/0!</v>
      </c>
      <c r="N119" s="6" t="e">
        <f>Table1[[#This Row],[kelly/4 365]]*0.8*$U$2</f>
        <v>#DIV/0!</v>
      </c>
      <c r="P119" s="2" t="e">
        <f>(Table1[[#This Row],[poisson_likelihood]] - (1-Table1[[#This Row],[poisson_likelihood]])/(1/Table1[[#This Row],[99/pinn implied]]-1))/4</f>
        <v>#DIV/0!</v>
      </c>
      <c r="Q119" s="3" t="e">
        <f>Table1[[#This Row],[kelly/4 99]]*0.8*$U$2</f>
        <v>#DIV/0!</v>
      </c>
      <c r="S1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0" spans="1:19" x14ac:dyDescent="0.2">
      <c r="A120">
        <v>6693</v>
      </c>
      <c r="B120" t="s">
        <v>62</v>
      </c>
      <c r="C120" s="1">
        <v>45614</v>
      </c>
      <c r="D120" t="s">
        <v>12</v>
      </c>
      <c r="E120">
        <v>2.5</v>
      </c>
      <c r="F120" s="2">
        <v>0.62111801242235998</v>
      </c>
      <c r="G120" s="2">
        <v>0.587779526900856</v>
      </c>
      <c r="H120" s="2">
        <v>0.56352119799210698</v>
      </c>
      <c r="I120" s="2">
        <v>0.59550561797752799</v>
      </c>
      <c r="J120" s="2">
        <v>0.62</v>
      </c>
      <c r="K120" s="2">
        <v>-3.8004455423240699E-2</v>
      </c>
      <c r="L120" s="2"/>
      <c r="M120" s="2" t="e">
        <f>(Table1[[#This Row],[poisson_likelihood]] - (1-Table1[[#This Row],[poisson_likelihood]])/(1/Table1[[#This Row],[365 implied]]-1))/4</f>
        <v>#DIV/0!</v>
      </c>
      <c r="N120" s="6" t="e">
        <f>Table1[[#This Row],[kelly/4 365]]*0.8*$U$2</f>
        <v>#DIV/0!</v>
      </c>
      <c r="P120" s="2" t="e">
        <f>(Table1[[#This Row],[poisson_likelihood]] - (1-Table1[[#This Row],[poisson_likelihood]])/(1/Table1[[#This Row],[99/pinn implied]]-1))/4</f>
        <v>#DIV/0!</v>
      </c>
      <c r="Q120" s="3" t="e">
        <f>Table1[[#This Row],[kelly/4 99]]*0.8*$U$2</f>
        <v>#DIV/0!</v>
      </c>
      <c r="S1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1" spans="1:19" x14ac:dyDescent="0.2">
      <c r="A121">
        <v>6625</v>
      </c>
      <c r="B121" t="s">
        <v>28</v>
      </c>
      <c r="C121" s="1">
        <v>45614</v>
      </c>
      <c r="D121" t="s">
        <v>12</v>
      </c>
      <c r="E121">
        <v>2.5</v>
      </c>
      <c r="F121" s="2">
        <v>0.434782608695652</v>
      </c>
      <c r="G121" s="2">
        <v>0.41057781824635198</v>
      </c>
      <c r="H121" s="2">
        <v>0.34797445601943999</v>
      </c>
      <c r="I121" s="2">
        <v>0.40659340659340598</v>
      </c>
      <c r="J121" s="2">
        <v>0.41148325358851601</v>
      </c>
      <c r="K121" s="2">
        <v>-3.8395913683708802E-2</v>
      </c>
      <c r="L121" s="2"/>
      <c r="M121" s="2" t="e">
        <f>(Table1[[#This Row],[poisson_likelihood]] - (1-Table1[[#This Row],[poisson_likelihood]])/(1/Table1[[#This Row],[365 implied]]-1))/4</f>
        <v>#DIV/0!</v>
      </c>
      <c r="N121" s="6" t="e">
        <f>Table1[[#This Row],[kelly/4 365]]*0.8*$U$2</f>
        <v>#DIV/0!</v>
      </c>
      <c r="P121" s="2" t="e">
        <f>(Table1[[#This Row],[poisson_likelihood]] - (1-Table1[[#This Row],[poisson_likelihood]])/(1/Table1[[#This Row],[99/pinn implied]]-1))/4</f>
        <v>#DIV/0!</v>
      </c>
      <c r="Q121" s="3" t="e">
        <f>Table1[[#This Row],[kelly/4 99]]*0.8*$U$2</f>
        <v>#DIV/0!</v>
      </c>
      <c r="S1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2" spans="1:19" x14ac:dyDescent="0.2">
      <c r="A122">
        <v>6666</v>
      </c>
      <c r="B122" t="s">
        <v>48</v>
      </c>
      <c r="C122" s="1">
        <v>45614</v>
      </c>
      <c r="D122" t="s">
        <v>13</v>
      </c>
      <c r="E122">
        <v>2.5</v>
      </c>
      <c r="F122" s="2">
        <v>0.5</v>
      </c>
      <c r="G122" s="2">
        <v>0.40182495569594601</v>
      </c>
      <c r="H122" s="2">
        <v>0.42271901053750999</v>
      </c>
      <c r="I122" s="2">
        <v>0.335616438356164</v>
      </c>
      <c r="J122" s="2">
        <v>0.36496350364963498</v>
      </c>
      <c r="K122" s="2">
        <v>-3.8640494731244701E-2</v>
      </c>
      <c r="L122" s="2"/>
      <c r="M122" s="2" t="e">
        <f>(Table1[[#This Row],[poisson_likelihood]] - (1-Table1[[#This Row],[poisson_likelihood]])/(1/Table1[[#This Row],[365 implied]]-1))/4</f>
        <v>#DIV/0!</v>
      </c>
      <c r="N122" s="6" t="e">
        <f>Table1[[#This Row],[kelly/4 365]]*0.8*$U$2</f>
        <v>#DIV/0!</v>
      </c>
      <c r="P122" s="2" t="e">
        <f>(Table1[[#This Row],[poisson_likelihood]] - (1-Table1[[#This Row],[poisson_likelihood]])/(1/Table1[[#This Row],[99/pinn implied]]-1))/4</f>
        <v>#DIV/0!</v>
      </c>
      <c r="Q122" s="3" t="e">
        <f>Table1[[#This Row],[kelly/4 99]]*0.8*$U$2</f>
        <v>#DIV/0!</v>
      </c>
      <c r="S1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3" spans="1:19" x14ac:dyDescent="0.2">
      <c r="A123">
        <v>6659</v>
      </c>
      <c r="B123" t="s">
        <v>45</v>
      </c>
      <c r="C123" s="1">
        <v>45614</v>
      </c>
      <c r="D123" t="s">
        <v>12</v>
      </c>
      <c r="E123">
        <v>2.5</v>
      </c>
      <c r="F123" s="2">
        <v>0.48076923076923</v>
      </c>
      <c r="G123" s="2">
        <v>0.44363395424296398</v>
      </c>
      <c r="H123" s="2">
        <v>0.39958299224750099</v>
      </c>
      <c r="I123" s="2">
        <v>0.33714285714285702</v>
      </c>
      <c r="J123" s="2">
        <v>0.36</v>
      </c>
      <c r="K123" s="2">
        <v>-3.9089670399351198E-2</v>
      </c>
      <c r="L123" s="2"/>
      <c r="M123" s="2" t="e">
        <f>(Table1[[#This Row],[poisson_likelihood]] - (1-Table1[[#This Row],[poisson_likelihood]])/(1/Table1[[#This Row],[365 implied]]-1))/4</f>
        <v>#DIV/0!</v>
      </c>
      <c r="N123" s="6" t="e">
        <f>Table1[[#This Row],[kelly/4 365]]*0.8*$U$2</f>
        <v>#DIV/0!</v>
      </c>
      <c r="P123" s="2" t="e">
        <f>(Table1[[#This Row],[poisson_likelihood]] - (1-Table1[[#This Row],[poisson_likelihood]])/(1/Table1[[#This Row],[99/pinn implied]]-1))/4</f>
        <v>#DIV/0!</v>
      </c>
      <c r="Q123" s="3" t="e">
        <f>Table1[[#This Row],[kelly/4 99]]*0.8*$U$2</f>
        <v>#DIV/0!</v>
      </c>
      <c r="S1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4" spans="1:19" x14ac:dyDescent="0.2">
      <c r="A124">
        <v>6717</v>
      </c>
      <c r="B124" t="s">
        <v>74</v>
      </c>
      <c r="C124" s="1">
        <v>45614</v>
      </c>
      <c r="D124" t="s">
        <v>12</v>
      </c>
      <c r="E124">
        <v>2.5</v>
      </c>
      <c r="F124" s="2">
        <v>0.5</v>
      </c>
      <c r="G124" s="2">
        <v>0.46354592494253499</v>
      </c>
      <c r="H124" s="2">
        <v>0.41780926713702599</v>
      </c>
      <c r="I124" s="2">
        <v>0.41052631578947302</v>
      </c>
      <c r="J124" s="2">
        <v>0.47282608695652101</v>
      </c>
      <c r="K124" s="2">
        <v>-4.1095366431486702E-2</v>
      </c>
      <c r="L124" s="2"/>
      <c r="M124" s="2" t="e">
        <f>(Table1[[#This Row],[poisson_likelihood]] - (1-Table1[[#This Row],[poisson_likelihood]])/(1/Table1[[#This Row],[365 implied]]-1))/4</f>
        <v>#DIV/0!</v>
      </c>
      <c r="N124" s="6" t="e">
        <f>Table1[[#This Row],[kelly/4 365]]*0.8*$U$2</f>
        <v>#DIV/0!</v>
      </c>
      <c r="P124" s="2" t="e">
        <f>(Table1[[#This Row],[poisson_likelihood]] - (1-Table1[[#This Row],[poisson_likelihood]])/(1/Table1[[#This Row],[99/pinn implied]]-1))/4</f>
        <v>#DIV/0!</v>
      </c>
      <c r="Q124" s="3" t="e">
        <f>Table1[[#This Row],[kelly/4 99]]*0.8*$U$2</f>
        <v>#DIV/0!</v>
      </c>
      <c r="S1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5" spans="1:19" x14ac:dyDescent="0.2">
      <c r="A125">
        <v>6709</v>
      </c>
      <c r="B125" t="s">
        <v>70</v>
      </c>
      <c r="C125" s="1">
        <v>45614</v>
      </c>
      <c r="D125" t="s">
        <v>12</v>
      </c>
      <c r="E125">
        <v>1.5</v>
      </c>
      <c r="F125" s="2">
        <v>0.61728395061728303</v>
      </c>
      <c r="G125" s="2">
        <v>0.60364334738689995</v>
      </c>
      <c r="H125" s="2">
        <v>0.55180335226839194</v>
      </c>
      <c r="I125" s="2">
        <v>0.55555555555555503</v>
      </c>
      <c r="J125" s="2">
        <v>0.57777777777777695</v>
      </c>
      <c r="K125" s="2">
        <v>-4.2773616663388997E-2</v>
      </c>
      <c r="L125" s="2"/>
      <c r="M125" s="2" t="e">
        <f>(Table1[[#This Row],[poisson_likelihood]] - (1-Table1[[#This Row],[poisson_likelihood]])/(1/Table1[[#This Row],[365 implied]]-1))/4</f>
        <v>#DIV/0!</v>
      </c>
      <c r="N125" s="6" t="e">
        <f>Table1[[#This Row],[kelly/4 365]]*0.8*$U$2</f>
        <v>#DIV/0!</v>
      </c>
      <c r="P125" s="2" t="e">
        <f>(Table1[[#This Row],[poisson_likelihood]] - (1-Table1[[#This Row],[poisson_likelihood]])/(1/Table1[[#This Row],[99/pinn implied]]-1))/4</f>
        <v>#DIV/0!</v>
      </c>
      <c r="Q125" s="3" t="e">
        <f>Table1[[#This Row],[kelly/4 99]]*0.8*$U$2</f>
        <v>#DIV/0!</v>
      </c>
      <c r="S1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6" spans="1:19" x14ac:dyDescent="0.2">
      <c r="A126">
        <v>6738</v>
      </c>
      <c r="B126" t="s">
        <v>84</v>
      </c>
      <c r="C126" s="1">
        <v>45614</v>
      </c>
      <c r="D126" t="s">
        <v>13</v>
      </c>
      <c r="E126">
        <v>2.5</v>
      </c>
      <c r="F126" s="2">
        <v>0.44247787610619399</v>
      </c>
      <c r="G126" s="2">
        <v>0.30667190529476002</v>
      </c>
      <c r="H126" s="2">
        <v>0.34370514877796299</v>
      </c>
      <c r="I126" s="2">
        <v>0.44751381215469599</v>
      </c>
      <c r="J126" s="2">
        <v>0.47231270358306099</v>
      </c>
      <c r="K126" s="2">
        <v>-4.4290945190833902E-2</v>
      </c>
      <c r="L126" s="2"/>
      <c r="M126" s="2" t="e">
        <f>(Table1[[#This Row],[poisson_likelihood]] - (1-Table1[[#This Row],[poisson_likelihood]])/(1/Table1[[#This Row],[365 implied]]-1))/4</f>
        <v>#DIV/0!</v>
      </c>
      <c r="N126" s="6" t="e">
        <f>Table1[[#This Row],[kelly/4 365]]*0.8*$U$2</f>
        <v>#DIV/0!</v>
      </c>
      <c r="P126" s="2" t="e">
        <f>(Table1[[#This Row],[poisson_likelihood]] - (1-Table1[[#This Row],[poisson_likelihood]])/(1/Table1[[#This Row],[99/pinn implied]]-1))/4</f>
        <v>#DIV/0!</v>
      </c>
      <c r="Q126" s="3" t="e">
        <f>Table1[[#This Row],[kelly/4 99]]*0.8*$U$2</f>
        <v>#DIV/0!</v>
      </c>
      <c r="S1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7" spans="1:19" x14ac:dyDescent="0.2">
      <c r="A127">
        <v>6739</v>
      </c>
      <c r="B127" t="s">
        <v>85</v>
      </c>
      <c r="C127" s="1">
        <v>45614</v>
      </c>
      <c r="D127" t="s">
        <v>12</v>
      </c>
      <c r="E127">
        <v>1.5</v>
      </c>
      <c r="F127" s="2">
        <v>0.60606060606060597</v>
      </c>
      <c r="G127" s="2">
        <v>0.583279701239106</v>
      </c>
      <c r="H127" s="2">
        <v>0.53202326817783796</v>
      </c>
      <c r="I127" s="2">
        <v>0.490566037735849</v>
      </c>
      <c r="J127" s="2">
        <v>0.46551724137931</v>
      </c>
      <c r="K127" s="2">
        <v>-4.69852336563715E-2</v>
      </c>
      <c r="L127" s="2"/>
      <c r="M127" s="2" t="e">
        <f>(Table1[[#This Row],[poisson_likelihood]] - (1-Table1[[#This Row],[poisson_likelihood]])/(1/Table1[[#This Row],[365 implied]]-1))/4</f>
        <v>#DIV/0!</v>
      </c>
      <c r="N127" s="6" t="e">
        <f>Table1[[#This Row],[kelly/4 365]]*0.8*$U$2</f>
        <v>#DIV/0!</v>
      </c>
      <c r="P127" s="2" t="e">
        <f>(Table1[[#This Row],[poisson_likelihood]] - (1-Table1[[#This Row],[poisson_likelihood]])/(1/Table1[[#This Row],[99/pinn implied]]-1))/4</f>
        <v>#DIV/0!</v>
      </c>
      <c r="Q127" s="3" t="e">
        <f>Table1[[#This Row],[kelly/4 99]]*0.8*$U$2</f>
        <v>#DIV/0!</v>
      </c>
      <c r="S1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8" spans="1:19" x14ac:dyDescent="0.2">
      <c r="A128">
        <v>6609</v>
      </c>
      <c r="B128" t="s">
        <v>20</v>
      </c>
      <c r="C128" s="1">
        <v>45614</v>
      </c>
      <c r="D128" t="s">
        <v>12</v>
      </c>
      <c r="E128">
        <v>2.5</v>
      </c>
      <c r="F128" s="2">
        <v>0.52910052910052896</v>
      </c>
      <c r="G128" s="2">
        <v>0.48378187876628498</v>
      </c>
      <c r="H128" s="2">
        <v>0.439657436827117</v>
      </c>
      <c r="I128" s="2">
        <v>0.422077922077922</v>
      </c>
      <c r="J128" s="2">
        <v>0.42391304347825998</v>
      </c>
      <c r="K128" s="2">
        <v>-4.7485237190097902E-2</v>
      </c>
      <c r="L128" s="2"/>
      <c r="M128" s="2" t="e">
        <f>(Table1[[#This Row],[poisson_likelihood]] - (1-Table1[[#This Row],[poisson_likelihood]])/(1/Table1[[#This Row],[365 implied]]-1))/4</f>
        <v>#DIV/0!</v>
      </c>
      <c r="N128" s="6" t="e">
        <f>Table1[[#This Row],[kelly/4 365]]*0.8*$U$2</f>
        <v>#DIV/0!</v>
      </c>
      <c r="P128" s="2" t="e">
        <f>(Table1[[#This Row],[poisson_likelihood]] - (1-Table1[[#This Row],[poisson_likelihood]])/(1/Table1[[#This Row],[99/pinn implied]]-1))/4</f>
        <v>#DIV/0!</v>
      </c>
      <c r="Q128" s="3" t="e">
        <f>Table1[[#This Row],[kelly/4 99]]*0.8*$U$2</f>
        <v>#DIV/0!</v>
      </c>
      <c r="S1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9" spans="1:19" x14ac:dyDescent="0.2">
      <c r="A129">
        <v>6742</v>
      </c>
      <c r="B129" t="s">
        <v>86</v>
      </c>
      <c r="C129" s="1">
        <v>45614</v>
      </c>
      <c r="D129" t="s">
        <v>13</v>
      </c>
      <c r="E129">
        <v>1.5</v>
      </c>
      <c r="F129" s="2">
        <v>0.42016806722688999</v>
      </c>
      <c r="G129" s="2">
        <v>0.28348892658619701</v>
      </c>
      <c r="H129" s="2">
        <v>0.30963660205869598</v>
      </c>
      <c r="I129" s="2">
        <v>0.39751552795030998</v>
      </c>
      <c r="J129" s="2">
        <v>0.41935483870967699</v>
      </c>
      <c r="K129" s="2">
        <v>-4.7656682445706998E-2</v>
      </c>
      <c r="L129" s="2"/>
      <c r="M129" s="2" t="e">
        <f>(Table1[[#This Row],[poisson_likelihood]] - (1-Table1[[#This Row],[poisson_likelihood]])/(1/Table1[[#This Row],[365 implied]]-1))/4</f>
        <v>#DIV/0!</v>
      </c>
      <c r="N129" s="6" t="e">
        <f>Table1[[#This Row],[kelly/4 365]]*0.8*$U$2</f>
        <v>#DIV/0!</v>
      </c>
      <c r="P129" s="2" t="e">
        <f>(Table1[[#This Row],[poisson_likelihood]] - (1-Table1[[#This Row],[poisson_likelihood]])/(1/Table1[[#This Row],[99/pinn implied]]-1))/4</f>
        <v>#DIV/0!</v>
      </c>
      <c r="Q129" s="3" t="e">
        <f>Table1[[#This Row],[kelly/4 99]]*0.8*$U$2</f>
        <v>#DIV/0!</v>
      </c>
      <c r="S1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0" spans="1:19" x14ac:dyDescent="0.2">
      <c r="A130">
        <v>6678</v>
      </c>
      <c r="B130" t="s">
        <v>54</v>
      </c>
      <c r="C130" s="1">
        <v>45614</v>
      </c>
      <c r="D130" t="s">
        <v>13</v>
      </c>
      <c r="E130">
        <v>1.5</v>
      </c>
      <c r="F130" s="2">
        <v>0.41152263374485498</v>
      </c>
      <c r="G130" s="2">
        <v>0.29086326000336798</v>
      </c>
      <c r="H130" s="2">
        <v>0.29761975925643702</v>
      </c>
      <c r="I130" s="2">
        <v>0.41666666666666602</v>
      </c>
      <c r="J130" s="2">
        <v>0.4375</v>
      </c>
      <c r="K130" s="2">
        <v>-4.8388808567632099E-2</v>
      </c>
      <c r="L130" s="2"/>
      <c r="M130" s="2" t="e">
        <f>(Table1[[#This Row],[poisson_likelihood]] - (1-Table1[[#This Row],[poisson_likelihood]])/(1/Table1[[#This Row],[365 implied]]-1))/4</f>
        <v>#DIV/0!</v>
      </c>
      <c r="N130" s="6" t="e">
        <f>Table1[[#This Row],[kelly/4 365]]*0.8*$U$2</f>
        <v>#DIV/0!</v>
      </c>
      <c r="P130" s="2" t="e">
        <f>(Table1[[#This Row],[poisson_likelihood]] - (1-Table1[[#This Row],[poisson_likelihood]])/(1/Table1[[#This Row],[99/pinn implied]]-1))/4</f>
        <v>#DIV/0!</v>
      </c>
      <c r="Q130" s="3" t="e">
        <f>Table1[[#This Row],[kelly/4 99]]*0.8*$U$2</f>
        <v>#DIV/0!</v>
      </c>
      <c r="S1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1" spans="1:19" x14ac:dyDescent="0.2">
      <c r="A131">
        <v>6615</v>
      </c>
      <c r="B131" t="s">
        <v>23</v>
      </c>
      <c r="C131" s="1">
        <v>45614</v>
      </c>
      <c r="D131" t="s">
        <v>12</v>
      </c>
      <c r="E131">
        <v>1.5</v>
      </c>
      <c r="F131" s="2">
        <v>0.64102564102564097</v>
      </c>
      <c r="G131" s="2">
        <v>0.60038721282674201</v>
      </c>
      <c r="H131" s="2">
        <v>0.57105387301079003</v>
      </c>
      <c r="I131" s="2">
        <v>0.56626506024096301</v>
      </c>
      <c r="J131" s="2">
        <v>0.56479217603911902</v>
      </c>
      <c r="K131" s="2">
        <v>-4.8730338438913903E-2</v>
      </c>
      <c r="L131" s="2"/>
      <c r="M131" s="2" t="e">
        <f>(Table1[[#This Row],[poisson_likelihood]] - (1-Table1[[#This Row],[poisson_likelihood]])/(1/Table1[[#This Row],[365 implied]]-1))/4</f>
        <v>#DIV/0!</v>
      </c>
      <c r="N131" s="6" t="e">
        <f>Table1[[#This Row],[kelly/4 365]]*0.8*$U$2</f>
        <v>#DIV/0!</v>
      </c>
      <c r="P131" s="2" t="e">
        <f>(Table1[[#This Row],[poisson_likelihood]] - (1-Table1[[#This Row],[poisson_likelihood]])/(1/Table1[[#This Row],[99/pinn implied]]-1))/4</f>
        <v>#DIV/0!</v>
      </c>
      <c r="Q131" s="3" t="e">
        <f>Table1[[#This Row],[kelly/4 99]]*0.8*$U$2</f>
        <v>#DIV/0!</v>
      </c>
      <c r="S1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2" spans="1:19" x14ac:dyDescent="0.2">
      <c r="A132">
        <v>6719</v>
      </c>
      <c r="B132" t="s">
        <v>75</v>
      </c>
      <c r="C132" s="1">
        <v>45614</v>
      </c>
      <c r="D132" t="s">
        <v>12</v>
      </c>
      <c r="E132">
        <v>1.5</v>
      </c>
      <c r="F132" s="2">
        <v>0.65359477124182996</v>
      </c>
      <c r="G132" s="2">
        <v>0.62953045055365398</v>
      </c>
      <c r="H132" s="2">
        <v>0.58553394622148103</v>
      </c>
      <c r="I132" s="2">
        <v>0.60377358490566002</v>
      </c>
      <c r="J132" s="2">
        <v>0.599290780141844</v>
      </c>
      <c r="K132" s="2">
        <v>-4.9119369000534402E-2</v>
      </c>
      <c r="L132" s="2"/>
      <c r="M132" s="2" t="e">
        <f>(Table1[[#This Row],[poisson_likelihood]] - (1-Table1[[#This Row],[poisson_likelihood]])/(1/Table1[[#This Row],[365 implied]]-1))/4</f>
        <v>#DIV/0!</v>
      </c>
      <c r="N132" s="6" t="e">
        <f>Table1[[#This Row],[kelly/4 365]]*0.8*$U$2</f>
        <v>#DIV/0!</v>
      </c>
      <c r="P132" s="2" t="e">
        <f>(Table1[[#This Row],[poisson_likelihood]] - (1-Table1[[#This Row],[poisson_likelihood]])/(1/Table1[[#This Row],[99/pinn implied]]-1))/4</f>
        <v>#DIV/0!</v>
      </c>
      <c r="Q132" s="3" t="e">
        <f>Table1[[#This Row],[kelly/4 99]]*0.8*$U$2</f>
        <v>#DIV/0!</v>
      </c>
      <c r="S1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3" spans="1:19" x14ac:dyDescent="0.2">
      <c r="A133">
        <v>6638</v>
      </c>
      <c r="B133" t="s">
        <v>34</v>
      </c>
      <c r="C133" s="1">
        <v>45614</v>
      </c>
      <c r="D133" t="s">
        <v>13</v>
      </c>
      <c r="E133">
        <v>2.5</v>
      </c>
      <c r="F133" s="2">
        <v>0.55248618784530301</v>
      </c>
      <c r="G133" s="2">
        <v>0.42720305426088001</v>
      </c>
      <c r="H133" s="2">
        <v>0.46232892898410199</v>
      </c>
      <c r="I133" s="2">
        <v>0.42592592592592499</v>
      </c>
      <c r="J133" s="2">
        <v>0.44047619047619002</v>
      </c>
      <c r="K133" s="2">
        <v>-5.03656291786342E-2</v>
      </c>
      <c r="L133" s="2"/>
      <c r="M133" s="2" t="e">
        <f>(Table1[[#This Row],[poisson_likelihood]] - (1-Table1[[#This Row],[poisson_likelihood]])/(1/Table1[[#This Row],[365 implied]]-1))/4</f>
        <v>#DIV/0!</v>
      </c>
      <c r="N133" s="6" t="e">
        <f>Table1[[#This Row],[kelly/4 365]]*0.8*$U$2</f>
        <v>#DIV/0!</v>
      </c>
      <c r="P133" s="2" t="e">
        <f>(Table1[[#This Row],[poisson_likelihood]] - (1-Table1[[#This Row],[poisson_likelihood]])/(1/Table1[[#This Row],[99/pinn implied]]-1))/4</f>
        <v>#DIV/0!</v>
      </c>
      <c r="Q133" s="3" t="e">
        <f>Table1[[#This Row],[kelly/4 99]]*0.8*$U$2</f>
        <v>#DIV/0!</v>
      </c>
      <c r="S1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4" spans="1:19" x14ac:dyDescent="0.2">
      <c r="A134">
        <v>6711</v>
      </c>
      <c r="B134" t="s">
        <v>71</v>
      </c>
      <c r="C134" s="1">
        <v>45614</v>
      </c>
      <c r="D134" t="s">
        <v>12</v>
      </c>
      <c r="E134">
        <v>2.5</v>
      </c>
      <c r="F134" s="2">
        <v>0.44247787610619399</v>
      </c>
      <c r="G134" s="2">
        <v>0.39358090085897601</v>
      </c>
      <c r="H134" s="2">
        <v>0.32831126515772702</v>
      </c>
      <c r="I134" s="2">
        <v>0.25242718446601897</v>
      </c>
      <c r="J134" s="2">
        <v>0.28193832599118901</v>
      </c>
      <c r="K134" s="2">
        <v>-5.1193758084034903E-2</v>
      </c>
      <c r="L134" s="2"/>
      <c r="M134" s="2" t="e">
        <f>(Table1[[#This Row],[poisson_likelihood]] - (1-Table1[[#This Row],[poisson_likelihood]])/(1/Table1[[#This Row],[365 implied]]-1))/4</f>
        <v>#DIV/0!</v>
      </c>
      <c r="N134" s="6" t="e">
        <f>Table1[[#This Row],[kelly/4 365]]*0.8*$U$2</f>
        <v>#DIV/0!</v>
      </c>
      <c r="P134" s="2" t="e">
        <f>(Table1[[#This Row],[poisson_likelihood]] - (1-Table1[[#This Row],[poisson_likelihood]])/(1/Table1[[#This Row],[99/pinn implied]]-1))/4</f>
        <v>#DIV/0!</v>
      </c>
      <c r="Q134" s="3" t="e">
        <f>Table1[[#This Row],[kelly/4 99]]*0.8*$U$2</f>
        <v>#DIV/0!</v>
      </c>
      <c r="S1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5" spans="1:19" x14ac:dyDescent="0.2">
      <c r="A135">
        <v>6627</v>
      </c>
      <c r="B135" t="s">
        <v>29</v>
      </c>
      <c r="C135" s="1">
        <v>45614</v>
      </c>
      <c r="D135" t="s">
        <v>12</v>
      </c>
      <c r="E135">
        <v>3.5</v>
      </c>
      <c r="F135" s="2">
        <v>0.40816326530612201</v>
      </c>
      <c r="G135" s="2">
        <v>0.32042587835953501</v>
      </c>
      <c r="H135" s="2">
        <v>0.28468703700725601</v>
      </c>
      <c r="I135" s="2">
        <v>0.39610389610389601</v>
      </c>
      <c r="J135" s="2">
        <v>0.39130434782608697</v>
      </c>
      <c r="K135" s="2">
        <v>-5.2158061953831103E-2</v>
      </c>
      <c r="L135" s="2"/>
      <c r="M135" s="2" t="e">
        <f>(Table1[[#This Row],[poisson_likelihood]] - (1-Table1[[#This Row],[poisson_likelihood]])/(1/Table1[[#This Row],[365 implied]]-1))/4</f>
        <v>#DIV/0!</v>
      </c>
      <c r="N135" s="6" t="e">
        <f>Table1[[#This Row],[kelly/4 365]]*0.8*$U$2</f>
        <v>#DIV/0!</v>
      </c>
      <c r="P135" s="2" t="e">
        <f>(Table1[[#This Row],[poisson_likelihood]] - (1-Table1[[#This Row],[poisson_likelihood]])/(1/Table1[[#This Row],[99/pinn implied]]-1))/4</f>
        <v>#DIV/0!</v>
      </c>
      <c r="Q135" s="3" t="e">
        <f>Table1[[#This Row],[kelly/4 99]]*0.8*$U$2</f>
        <v>#DIV/0!</v>
      </c>
      <c r="S1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6" spans="1:19" x14ac:dyDescent="0.2">
      <c r="A136">
        <v>6722</v>
      </c>
      <c r="B136" t="s">
        <v>76</v>
      </c>
      <c r="C136" s="1">
        <v>45614</v>
      </c>
      <c r="D136" t="s">
        <v>13</v>
      </c>
      <c r="E136">
        <v>3.5</v>
      </c>
      <c r="F136" s="2">
        <v>0.58823529411764697</v>
      </c>
      <c r="G136" s="2">
        <v>0.46734459511273202</v>
      </c>
      <c r="H136" s="2">
        <v>0.50056248341392096</v>
      </c>
      <c r="I136" s="2">
        <v>0.51479289940828399</v>
      </c>
      <c r="J136" s="2">
        <v>0.51027397260273899</v>
      </c>
      <c r="K136" s="2">
        <v>-5.3229920784404902E-2</v>
      </c>
      <c r="L136" s="2"/>
      <c r="M136" s="2" t="e">
        <f>(Table1[[#This Row],[poisson_likelihood]] - (1-Table1[[#This Row],[poisson_likelihood]])/(1/Table1[[#This Row],[365 implied]]-1))/4</f>
        <v>#DIV/0!</v>
      </c>
      <c r="N136" s="6" t="e">
        <f>Table1[[#This Row],[kelly/4 365]]*0.8*$U$2</f>
        <v>#DIV/0!</v>
      </c>
      <c r="P136" s="2" t="e">
        <f>(Table1[[#This Row],[poisson_likelihood]] - (1-Table1[[#This Row],[poisson_likelihood]])/(1/Table1[[#This Row],[99/pinn implied]]-1))/4</f>
        <v>#DIV/0!</v>
      </c>
      <c r="Q136" s="3" t="e">
        <f>Table1[[#This Row],[kelly/4 99]]*0.8*$U$2</f>
        <v>#DIV/0!</v>
      </c>
      <c r="S1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7" spans="1:19" x14ac:dyDescent="0.2">
      <c r="A137">
        <v>6617</v>
      </c>
      <c r="B137" t="s">
        <v>24</v>
      </c>
      <c r="C137" s="1">
        <v>45614</v>
      </c>
      <c r="D137" t="s">
        <v>12</v>
      </c>
      <c r="E137">
        <v>1.5</v>
      </c>
      <c r="F137" s="2">
        <v>0.54945054945054905</v>
      </c>
      <c r="G137" s="2">
        <v>0.50507478069155898</v>
      </c>
      <c r="H137" s="2">
        <v>0.447491283282201</v>
      </c>
      <c r="I137" s="2">
        <v>0.43396226415094302</v>
      </c>
      <c r="J137" s="2">
        <v>0.46153846153846101</v>
      </c>
      <c r="K137" s="2">
        <v>-5.6574958666583498E-2</v>
      </c>
      <c r="L137" s="2"/>
      <c r="M137" s="2" t="e">
        <f>(Table1[[#This Row],[poisson_likelihood]] - (1-Table1[[#This Row],[poisson_likelihood]])/(1/Table1[[#This Row],[365 implied]]-1))/4</f>
        <v>#DIV/0!</v>
      </c>
      <c r="N137" s="6" t="e">
        <f>Table1[[#This Row],[kelly/4 365]]*0.8*$U$2</f>
        <v>#DIV/0!</v>
      </c>
      <c r="P137" s="2" t="e">
        <f>(Table1[[#This Row],[poisson_likelihood]] - (1-Table1[[#This Row],[poisson_likelihood]])/(1/Table1[[#This Row],[99/pinn implied]]-1))/4</f>
        <v>#DIV/0!</v>
      </c>
      <c r="Q137" s="3" t="e">
        <f>Table1[[#This Row],[kelly/4 99]]*0.8*$U$2</f>
        <v>#DIV/0!</v>
      </c>
      <c r="S1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8" spans="1:19" x14ac:dyDescent="0.2">
      <c r="A138">
        <v>6701</v>
      </c>
      <c r="B138" t="s">
        <v>66</v>
      </c>
      <c r="C138" s="1">
        <v>45614</v>
      </c>
      <c r="D138" t="s">
        <v>12</v>
      </c>
      <c r="E138">
        <v>1.5</v>
      </c>
      <c r="F138" s="2">
        <v>0.625</v>
      </c>
      <c r="G138" s="2">
        <v>0.60609719464304901</v>
      </c>
      <c r="H138" s="2">
        <v>0.53773754593943501</v>
      </c>
      <c r="I138" s="2">
        <v>0.42857142857142799</v>
      </c>
      <c r="J138" s="2">
        <v>0.44635193133047202</v>
      </c>
      <c r="K138" s="2">
        <v>-5.8174969373709501E-2</v>
      </c>
      <c r="L138" s="2"/>
      <c r="M138" s="2" t="e">
        <f>(Table1[[#This Row],[poisson_likelihood]] - (1-Table1[[#This Row],[poisson_likelihood]])/(1/Table1[[#This Row],[365 implied]]-1))/4</f>
        <v>#DIV/0!</v>
      </c>
      <c r="N138" s="6" t="e">
        <f>Table1[[#This Row],[kelly/4 365]]*0.8*$U$2</f>
        <v>#DIV/0!</v>
      </c>
      <c r="P138" s="2" t="e">
        <f>(Table1[[#This Row],[poisson_likelihood]] - (1-Table1[[#This Row],[poisson_likelihood]])/(1/Table1[[#This Row],[99/pinn implied]]-1))/4</f>
        <v>#DIV/0!</v>
      </c>
      <c r="Q138" s="3" t="e">
        <f>Table1[[#This Row],[kelly/4 99]]*0.8*$U$2</f>
        <v>#DIV/0!</v>
      </c>
      <c r="S1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9" spans="1:19" x14ac:dyDescent="0.2">
      <c r="A139">
        <v>6599</v>
      </c>
      <c r="B139" t="s">
        <v>15</v>
      </c>
      <c r="C139" s="1">
        <v>45614</v>
      </c>
      <c r="D139" t="s">
        <v>12</v>
      </c>
      <c r="E139">
        <v>1.5</v>
      </c>
      <c r="F139" s="2">
        <v>0.61728395061728303</v>
      </c>
      <c r="G139" s="2">
        <v>0.56618901614226202</v>
      </c>
      <c r="H139" s="2">
        <v>0.52123303635059104</v>
      </c>
      <c r="I139" s="2">
        <v>0.50624999999999998</v>
      </c>
      <c r="J139" s="2">
        <v>0.51063829787234005</v>
      </c>
      <c r="K139" s="2">
        <v>-6.2742935932275007E-2</v>
      </c>
      <c r="L139" s="2"/>
      <c r="M139" s="2" t="e">
        <f>(Table1[[#This Row],[poisson_likelihood]] - (1-Table1[[#This Row],[poisson_likelihood]])/(1/Table1[[#This Row],[365 implied]]-1))/4</f>
        <v>#DIV/0!</v>
      </c>
      <c r="N139" s="6" t="e">
        <f>Table1[[#This Row],[kelly/4 365]]*0.8*$U$2</f>
        <v>#DIV/0!</v>
      </c>
      <c r="P139" s="2" t="e">
        <f>(Table1[[#This Row],[poisson_likelihood]] - (1-Table1[[#This Row],[poisson_likelihood]])/(1/Table1[[#This Row],[99/pinn implied]]-1))/4</f>
        <v>#DIV/0!</v>
      </c>
      <c r="Q139" s="3" t="e">
        <f>Table1[[#This Row],[kelly/4 99]]*0.8*$U$2</f>
        <v>#DIV/0!</v>
      </c>
      <c r="S1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0" spans="1:19" x14ac:dyDescent="0.2">
      <c r="A140">
        <v>6715</v>
      </c>
      <c r="B140" t="s">
        <v>73</v>
      </c>
      <c r="C140" s="1">
        <v>45614</v>
      </c>
      <c r="D140" t="s">
        <v>12</v>
      </c>
      <c r="E140">
        <v>1.5</v>
      </c>
      <c r="F140" s="2">
        <v>0.61728395061728303</v>
      </c>
      <c r="G140" s="2">
        <v>0.57616455774667397</v>
      </c>
      <c r="H140" s="2">
        <v>0.51968279142951002</v>
      </c>
      <c r="I140" s="2">
        <v>0.54615384615384599</v>
      </c>
      <c r="J140" s="2">
        <v>0.51442307692307598</v>
      </c>
      <c r="K140" s="2">
        <v>-6.3755595921045294E-2</v>
      </c>
      <c r="L140" s="2"/>
      <c r="M140" s="2" t="e">
        <f>(Table1[[#This Row],[poisson_likelihood]] - (1-Table1[[#This Row],[poisson_likelihood]])/(1/Table1[[#This Row],[365 implied]]-1))/4</f>
        <v>#DIV/0!</v>
      </c>
      <c r="N140" s="6" t="e">
        <f>Table1[[#This Row],[kelly/4 365]]*0.8*$U$2</f>
        <v>#DIV/0!</v>
      </c>
      <c r="P140" s="2" t="e">
        <f>(Table1[[#This Row],[poisson_likelihood]] - (1-Table1[[#This Row],[poisson_likelihood]])/(1/Table1[[#This Row],[99/pinn implied]]-1))/4</f>
        <v>#DIV/0!</v>
      </c>
      <c r="Q140" s="3" t="e">
        <f>Table1[[#This Row],[kelly/4 99]]*0.8*$U$2</f>
        <v>#DIV/0!</v>
      </c>
      <c r="S1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1" spans="1:19" x14ac:dyDescent="0.2">
      <c r="A141">
        <v>6698</v>
      </c>
      <c r="B141" t="s">
        <v>64</v>
      </c>
      <c r="C141" s="1">
        <v>45614</v>
      </c>
      <c r="D141" t="s">
        <v>13</v>
      </c>
      <c r="E141">
        <v>2.5</v>
      </c>
      <c r="F141" s="2">
        <v>0.57471264367816</v>
      </c>
      <c r="G141" s="2">
        <v>0.41787503047185298</v>
      </c>
      <c r="H141" s="2">
        <v>0.46576964801349102</v>
      </c>
      <c r="I141" s="2">
        <v>0.57396449704142005</v>
      </c>
      <c r="J141" s="2">
        <v>0.58762886597938102</v>
      </c>
      <c r="K141" s="2">
        <v>-6.4040815019096198E-2</v>
      </c>
      <c r="L141" s="2"/>
      <c r="M141" s="2" t="e">
        <f>(Table1[[#This Row],[poisson_likelihood]] - (1-Table1[[#This Row],[poisson_likelihood]])/(1/Table1[[#This Row],[365 implied]]-1))/4</f>
        <v>#DIV/0!</v>
      </c>
      <c r="N141" s="6" t="e">
        <f>Table1[[#This Row],[kelly/4 365]]*0.8*$U$2</f>
        <v>#DIV/0!</v>
      </c>
      <c r="P141" s="2" t="e">
        <f>(Table1[[#This Row],[poisson_likelihood]] - (1-Table1[[#This Row],[poisson_likelihood]])/(1/Table1[[#This Row],[99/pinn implied]]-1))/4</f>
        <v>#DIV/0!</v>
      </c>
      <c r="Q141" s="3" t="e">
        <f>Table1[[#This Row],[kelly/4 99]]*0.8*$U$2</f>
        <v>#DIV/0!</v>
      </c>
      <c r="S1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2" spans="1:19" x14ac:dyDescent="0.2">
      <c r="A142">
        <v>6629</v>
      </c>
      <c r="B142" t="s">
        <v>30</v>
      </c>
      <c r="C142" s="1">
        <v>45614</v>
      </c>
      <c r="D142" t="s">
        <v>12</v>
      </c>
      <c r="E142">
        <v>2.5</v>
      </c>
      <c r="F142" s="2">
        <v>0.64935064935064901</v>
      </c>
      <c r="G142" s="2">
        <v>0.57428470435623602</v>
      </c>
      <c r="H142" s="2">
        <v>0.55458364214672895</v>
      </c>
      <c r="I142" s="2">
        <v>0.61849710982658901</v>
      </c>
      <c r="J142" s="2">
        <v>0.61952861952861904</v>
      </c>
      <c r="K142" s="2">
        <v>-6.7565366247239494E-2</v>
      </c>
      <c r="L142" s="2"/>
      <c r="M142" s="2" t="e">
        <f>(Table1[[#This Row],[poisson_likelihood]] - (1-Table1[[#This Row],[poisson_likelihood]])/(1/Table1[[#This Row],[365 implied]]-1))/4</f>
        <v>#DIV/0!</v>
      </c>
      <c r="N142" s="6" t="e">
        <f>Table1[[#This Row],[kelly/4 365]]*0.8*$U$2</f>
        <v>#DIV/0!</v>
      </c>
      <c r="P142" s="2" t="e">
        <f>(Table1[[#This Row],[poisson_likelihood]] - (1-Table1[[#This Row],[poisson_likelihood]])/(1/Table1[[#This Row],[99/pinn implied]]-1))/4</f>
        <v>#DIV/0!</v>
      </c>
      <c r="Q142" s="3" t="e">
        <f>Table1[[#This Row],[kelly/4 99]]*0.8*$U$2</f>
        <v>#DIV/0!</v>
      </c>
      <c r="S1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3" spans="1:19" x14ac:dyDescent="0.2">
      <c r="A143">
        <v>6746</v>
      </c>
      <c r="B143" t="s">
        <v>88</v>
      </c>
      <c r="C143" s="1">
        <v>45614</v>
      </c>
      <c r="D143" t="s">
        <v>13</v>
      </c>
      <c r="E143">
        <v>3.5</v>
      </c>
      <c r="F143" s="2">
        <v>0.61728395061728303</v>
      </c>
      <c r="G143" s="2">
        <v>0.475051323880815</v>
      </c>
      <c r="H143" s="2">
        <v>0.513265554171494</v>
      </c>
      <c r="I143" s="2">
        <v>0.63030303030303003</v>
      </c>
      <c r="J143" s="2">
        <v>0.62093862815884404</v>
      </c>
      <c r="K143" s="2">
        <v>-6.7947500904104702E-2</v>
      </c>
      <c r="L143" s="2"/>
      <c r="M143" s="2" t="e">
        <f>(Table1[[#This Row],[poisson_likelihood]] - (1-Table1[[#This Row],[poisson_likelihood]])/(1/Table1[[#This Row],[365 implied]]-1))/4</f>
        <v>#DIV/0!</v>
      </c>
      <c r="N143" s="6" t="e">
        <f>Table1[[#This Row],[kelly/4 365]]*0.8*$U$2</f>
        <v>#DIV/0!</v>
      </c>
      <c r="P143" s="2" t="e">
        <f>(Table1[[#This Row],[poisson_likelihood]] - (1-Table1[[#This Row],[poisson_likelihood]])/(1/Table1[[#This Row],[99/pinn implied]]-1))/4</f>
        <v>#DIV/0!</v>
      </c>
      <c r="Q143" s="3" t="e">
        <f>Table1[[#This Row],[kelly/4 99]]*0.8*$U$2</f>
        <v>#DIV/0!</v>
      </c>
      <c r="S1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4" spans="1:19" x14ac:dyDescent="0.2">
      <c r="A144">
        <v>6706</v>
      </c>
      <c r="B144" t="s">
        <v>68</v>
      </c>
      <c r="C144" s="1">
        <v>45614</v>
      </c>
      <c r="D144" t="s">
        <v>13</v>
      </c>
      <c r="E144">
        <v>2.5</v>
      </c>
      <c r="F144" s="2">
        <v>0.64516129032257996</v>
      </c>
      <c r="G144" s="2">
        <v>0.50405858205596499</v>
      </c>
      <c r="H144" s="2">
        <v>0.54814994866103794</v>
      </c>
      <c r="I144" s="2">
        <v>0.52112676056338003</v>
      </c>
      <c r="J144" s="2">
        <v>0.57751937984496104</v>
      </c>
      <c r="K144" s="2">
        <v>-6.8348899806995794E-2</v>
      </c>
      <c r="L144" s="2"/>
      <c r="M144" s="2" t="e">
        <f>(Table1[[#This Row],[poisson_likelihood]] - (1-Table1[[#This Row],[poisson_likelihood]])/(1/Table1[[#This Row],[365 implied]]-1))/4</f>
        <v>#DIV/0!</v>
      </c>
      <c r="N144" s="6" t="e">
        <f>Table1[[#This Row],[kelly/4 365]]*0.8*$U$2</f>
        <v>#DIV/0!</v>
      </c>
      <c r="P144" s="2" t="e">
        <f>(Table1[[#This Row],[poisson_likelihood]] - (1-Table1[[#This Row],[poisson_likelihood]])/(1/Table1[[#This Row],[99/pinn implied]]-1))/4</f>
        <v>#DIV/0!</v>
      </c>
      <c r="Q144" s="3" t="e">
        <f>Table1[[#This Row],[kelly/4 99]]*0.8*$U$2</f>
        <v>#DIV/0!</v>
      </c>
      <c r="S1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5" spans="1:19" x14ac:dyDescent="0.2">
      <c r="A145">
        <v>6657</v>
      </c>
      <c r="B145" t="s">
        <v>44</v>
      </c>
      <c r="C145" s="1">
        <v>45614</v>
      </c>
      <c r="D145" t="s">
        <v>12</v>
      </c>
      <c r="E145">
        <v>1.5</v>
      </c>
      <c r="F145" s="2">
        <v>0.54054054054054002</v>
      </c>
      <c r="G145" s="2">
        <v>0.47906619323398297</v>
      </c>
      <c r="H145" s="2">
        <v>0.41454210550746101</v>
      </c>
      <c r="I145" s="2">
        <v>0.41911764705882298</v>
      </c>
      <c r="J145" s="2">
        <v>0.42635658914728602</v>
      </c>
      <c r="K145" s="2">
        <v>-6.8557972003293097E-2</v>
      </c>
      <c r="L145" s="2"/>
      <c r="M145" s="2" t="e">
        <f>(Table1[[#This Row],[poisson_likelihood]] - (1-Table1[[#This Row],[poisson_likelihood]])/(1/Table1[[#This Row],[365 implied]]-1))/4</f>
        <v>#DIV/0!</v>
      </c>
      <c r="N145" s="6" t="e">
        <f>Table1[[#This Row],[kelly/4 365]]*0.8*$U$2</f>
        <v>#DIV/0!</v>
      </c>
      <c r="P145" s="2" t="e">
        <f>(Table1[[#This Row],[poisson_likelihood]] - (1-Table1[[#This Row],[poisson_likelihood]])/(1/Table1[[#This Row],[99/pinn implied]]-1))/4</f>
        <v>#DIV/0!</v>
      </c>
      <c r="Q145" s="3" t="e">
        <f>Table1[[#This Row],[kelly/4 99]]*0.8*$U$2</f>
        <v>#DIV/0!</v>
      </c>
      <c r="S1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6" spans="1:19" x14ac:dyDescent="0.2">
      <c r="A146">
        <v>6674</v>
      </c>
      <c r="B146" t="s">
        <v>52</v>
      </c>
      <c r="C146" s="1">
        <v>45614</v>
      </c>
      <c r="D146" t="s">
        <v>13</v>
      </c>
      <c r="E146">
        <v>2.5</v>
      </c>
      <c r="F146" s="2">
        <v>0.45045045045045001</v>
      </c>
      <c r="G146" s="2">
        <v>0.28314240357584602</v>
      </c>
      <c r="H146" s="2">
        <v>0.297421192490266</v>
      </c>
      <c r="I146" s="2">
        <v>0.422222222222222</v>
      </c>
      <c r="J146" s="2">
        <v>0.47039473684210498</v>
      </c>
      <c r="K146" s="2">
        <v>-6.9615768990083704E-2</v>
      </c>
      <c r="L146" s="2"/>
      <c r="M146" s="2" t="e">
        <f>(Table1[[#This Row],[poisson_likelihood]] - (1-Table1[[#This Row],[poisson_likelihood]])/(1/Table1[[#This Row],[365 implied]]-1))/4</f>
        <v>#DIV/0!</v>
      </c>
      <c r="N146" s="6" t="e">
        <f>Table1[[#This Row],[kelly/4 365]]*0.8*$U$2</f>
        <v>#DIV/0!</v>
      </c>
      <c r="P146" s="2" t="e">
        <f>(Table1[[#This Row],[poisson_likelihood]] - (1-Table1[[#This Row],[poisson_likelihood]])/(1/Table1[[#This Row],[99/pinn implied]]-1))/4</f>
        <v>#DIV/0!</v>
      </c>
      <c r="Q146" s="3" t="e">
        <f>Table1[[#This Row],[kelly/4 99]]*0.8*$U$2</f>
        <v>#DIV/0!</v>
      </c>
      <c r="S1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7" spans="1:19" x14ac:dyDescent="0.2">
      <c r="A147">
        <v>6601</v>
      </c>
      <c r="B147" t="s">
        <v>16</v>
      </c>
      <c r="C147" s="1">
        <v>45614</v>
      </c>
      <c r="D147" t="s">
        <v>12</v>
      </c>
      <c r="E147">
        <v>1.5</v>
      </c>
      <c r="F147" s="2">
        <v>0.64935064935064901</v>
      </c>
      <c r="G147" s="2">
        <v>0.601733475995894</v>
      </c>
      <c r="H147" s="2">
        <v>0.54939065919688501</v>
      </c>
      <c r="I147" s="2">
        <v>0.53631284916201105</v>
      </c>
      <c r="J147" s="2">
        <v>0.56721311475409797</v>
      </c>
      <c r="K147" s="2">
        <v>-7.1267770757775795E-2</v>
      </c>
      <c r="L147" s="2"/>
      <c r="M147" s="2" t="e">
        <f>(Table1[[#This Row],[poisson_likelihood]] - (1-Table1[[#This Row],[poisson_likelihood]])/(1/Table1[[#This Row],[365 implied]]-1))/4</f>
        <v>#DIV/0!</v>
      </c>
      <c r="N147" s="6" t="e">
        <f>Table1[[#This Row],[kelly/4 365]]*0.8*$U$2</f>
        <v>#DIV/0!</v>
      </c>
      <c r="P147" s="2" t="e">
        <f>(Table1[[#This Row],[poisson_likelihood]] - (1-Table1[[#This Row],[poisson_likelihood]])/(1/Table1[[#This Row],[99/pinn implied]]-1))/4</f>
        <v>#DIV/0!</v>
      </c>
      <c r="Q147" s="3" t="e">
        <f>Table1[[#This Row],[kelly/4 99]]*0.8*$U$2</f>
        <v>#DIV/0!</v>
      </c>
      <c r="S1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8" spans="1:19" x14ac:dyDescent="0.2">
      <c r="A148">
        <v>6744</v>
      </c>
      <c r="B148" t="s">
        <v>87</v>
      </c>
      <c r="C148" s="1">
        <v>45614</v>
      </c>
      <c r="D148" t="s">
        <v>13</v>
      </c>
      <c r="E148">
        <v>2.5</v>
      </c>
      <c r="F148" s="2">
        <v>0.5</v>
      </c>
      <c r="G148" s="2">
        <v>0.31984542298359298</v>
      </c>
      <c r="H148" s="2">
        <v>0.342743033960347</v>
      </c>
      <c r="I148" s="2">
        <v>0.42777777777777698</v>
      </c>
      <c r="J148" s="2">
        <v>0.45928338762214899</v>
      </c>
      <c r="K148" s="2">
        <v>-7.8628483019826306E-2</v>
      </c>
      <c r="L148" s="2"/>
      <c r="M148" s="2" t="e">
        <f>(Table1[[#This Row],[poisson_likelihood]] - (1-Table1[[#This Row],[poisson_likelihood]])/(1/Table1[[#This Row],[365 implied]]-1))/4</f>
        <v>#DIV/0!</v>
      </c>
      <c r="N148" s="6" t="e">
        <f>Table1[[#This Row],[kelly/4 365]]*0.8*$U$2</f>
        <v>#DIV/0!</v>
      </c>
      <c r="P148" s="2" t="e">
        <f>(Table1[[#This Row],[poisson_likelihood]] - (1-Table1[[#This Row],[poisson_likelihood]])/(1/Table1[[#This Row],[99/pinn implied]]-1))/4</f>
        <v>#DIV/0!</v>
      </c>
      <c r="Q148" s="3" t="e">
        <f>Table1[[#This Row],[kelly/4 99]]*0.8*$U$2</f>
        <v>#DIV/0!</v>
      </c>
      <c r="S1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9" spans="1:19" x14ac:dyDescent="0.2">
      <c r="A149">
        <v>6667</v>
      </c>
      <c r="B149" t="s">
        <v>49</v>
      </c>
      <c r="C149" s="1">
        <v>45614</v>
      </c>
      <c r="D149" t="s">
        <v>12</v>
      </c>
      <c r="E149">
        <v>3.5</v>
      </c>
      <c r="F149" s="2">
        <v>0.43859649122806998</v>
      </c>
      <c r="G149" s="2">
        <v>0.30191611556596298</v>
      </c>
      <c r="H149" s="2">
        <v>0.261543519366568</v>
      </c>
      <c r="I149" s="2">
        <v>0.187845303867403</v>
      </c>
      <c r="J149" s="2">
        <v>0.22077922077921999</v>
      </c>
      <c r="K149" s="2">
        <v>-7.88439015320751E-2</v>
      </c>
      <c r="L149" s="2"/>
      <c r="M149" s="2" t="e">
        <f>(Table1[[#This Row],[poisson_likelihood]] - (1-Table1[[#This Row],[poisson_likelihood]])/(1/Table1[[#This Row],[365 implied]]-1))/4</f>
        <v>#DIV/0!</v>
      </c>
      <c r="N149" s="6" t="e">
        <f>Table1[[#This Row],[kelly/4 365]]*0.8*$U$2</f>
        <v>#DIV/0!</v>
      </c>
      <c r="P149" s="2" t="e">
        <f>(Table1[[#This Row],[poisson_likelihood]] - (1-Table1[[#This Row],[poisson_likelihood]])/(1/Table1[[#This Row],[99/pinn implied]]-1))/4</f>
        <v>#DIV/0!</v>
      </c>
      <c r="Q149" s="3" t="e">
        <f>Table1[[#This Row],[kelly/4 99]]*0.8*$U$2</f>
        <v>#DIV/0!</v>
      </c>
      <c r="S1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0" spans="1:19" x14ac:dyDescent="0.2">
      <c r="A150">
        <v>6644</v>
      </c>
      <c r="B150" t="s">
        <v>37</v>
      </c>
      <c r="C150" s="1">
        <v>45614</v>
      </c>
      <c r="D150" t="s">
        <v>13</v>
      </c>
      <c r="E150">
        <v>3.5</v>
      </c>
      <c r="F150" s="2">
        <v>0.485436893203883</v>
      </c>
      <c r="G150" s="2">
        <v>0.322504711609297</v>
      </c>
      <c r="H150" s="2">
        <v>0.31988710269457798</v>
      </c>
      <c r="I150" s="2">
        <v>0.321637426900584</v>
      </c>
      <c r="J150" s="2">
        <v>0.334448160535117</v>
      </c>
      <c r="K150" s="2">
        <v>-8.0432209539898103E-2</v>
      </c>
      <c r="L150" s="2"/>
      <c r="M150" s="2" t="e">
        <f>(Table1[[#This Row],[poisson_likelihood]] - (1-Table1[[#This Row],[poisson_likelihood]])/(1/Table1[[#This Row],[365 implied]]-1))/4</f>
        <v>#DIV/0!</v>
      </c>
      <c r="N150" s="6" t="e">
        <f>Table1[[#This Row],[kelly/4 365]]*0.8*$U$2</f>
        <v>#DIV/0!</v>
      </c>
      <c r="P150" s="2" t="e">
        <f>(Table1[[#This Row],[poisson_likelihood]] - (1-Table1[[#This Row],[poisson_likelihood]])/(1/Table1[[#This Row],[99/pinn implied]]-1))/4</f>
        <v>#DIV/0!</v>
      </c>
      <c r="Q150" s="3" t="e">
        <f>Table1[[#This Row],[kelly/4 99]]*0.8*$U$2</f>
        <v>#DIV/0!</v>
      </c>
      <c r="S1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1" spans="1:19" x14ac:dyDescent="0.2">
      <c r="A151">
        <v>6734</v>
      </c>
      <c r="B151" t="s">
        <v>82</v>
      </c>
      <c r="C151" s="1">
        <v>45614</v>
      </c>
      <c r="D151" t="s">
        <v>13</v>
      </c>
      <c r="E151">
        <v>2.5</v>
      </c>
      <c r="F151" s="2">
        <v>0.54644808743169304</v>
      </c>
      <c r="G151" s="2">
        <v>0.34390785063107199</v>
      </c>
      <c r="H151" s="2">
        <v>0.38032016207470898</v>
      </c>
      <c r="I151" s="2">
        <v>0.45714285714285702</v>
      </c>
      <c r="J151" s="2">
        <v>0.49572649572649502</v>
      </c>
      <c r="K151" s="2">
        <v>-9.1570513073277293E-2</v>
      </c>
      <c r="L151" s="2"/>
      <c r="M151" s="2" t="e">
        <f>(Table1[[#This Row],[poisson_likelihood]] - (1-Table1[[#This Row],[poisson_likelihood]])/(1/Table1[[#This Row],[365 implied]]-1))/4</f>
        <v>#DIV/0!</v>
      </c>
      <c r="N151" s="6" t="e">
        <f>Table1[[#This Row],[kelly/4 365]]*0.8*$U$2</f>
        <v>#DIV/0!</v>
      </c>
      <c r="P151" s="2" t="e">
        <f>(Table1[[#This Row],[poisson_likelihood]] - (1-Table1[[#This Row],[poisson_likelihood]])/(1/Table1[[#This Row],[99/pinn implied]]-1))/4</f>
        <v>#DIV/0!</v>
      </c>
      <c r="Q151" s="3" t="e">
        <f>Table1[[#This Row],[kelly/4 99]]*0.8*$U$2</f>
        <v>#DIV/0!</v>
      </c>
      <c r="S1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2" spans="1:19" x14ac:dyDescent="0.2">
      <c r="A152">
        <v>6641</v>
      </c>
      <c r="B152" t="s">
        <v>36</v>
      </c>
      <c r="C152" s="1">
        <v>45614</v>
      </c>
      <c r="D152" t="s">
        <v>12</v>
      </c>
      <c r="E152">
        <v>1.5</v>
      </c>
      <c r="F152" s="2">
        <v>0.61728395061728303</v>
      </c>
      <c r="G152" s="2">
        <v>0.51538773677708705</v>
      </c>
      <c r="H152" s="2">
        <v>0.45976241736825502</v>
      </c>
      <c r="I152" s="2">
        <v>0.50555555555555498</v>
      </c>
      <c r="J152" s="2">
        <v>0.550488599348534</v>
      </c>
      <c r="K152" s="2">
        <v>-0.10289713059009099</v>
      </c>
      <c r="L152" s="2"/>
      <c r="M152" s="2" t="e">
        <f>(Table1[[#This Row],[poisson_likelihood]] - (1-Table1[[#This Row],[poisson_likelihood]])/(1/Table1[[#This Row],[365 implied]]-1))/4</f>
        <v>#DIV/0!</v>
      </c>
      <c r="N152" s="6" t="e">
        <f>Table1[[#This Row],[kelly/4 365]]*0.8*$U$2</f>
        <v>#DIV/0!</v>
      </c>
      <c r="P152" s="2" t="e">
        <f>(Table1[[#This Row],[poisson_likelihood]] - (1-Table1[[#This Row],[poisson_likelihood]])/(1/Table1[[#This Row],[99/pinn implied]]-1))/4</f>
        <v>#DIV/0!</v>
      </c>
      <c r="Q152" s="3" t="e">
        <f>Table1[[#This Row],[kelly/4 99]]*0.8*$U$2</f>
        <v>#DIV/0!</v>
      </c>
      <c r="S1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3" spans="1:19" x14ac:dyDescent="0.2">
      <c r="A153">
        <v>6662</v>
      </c>
      <c r="B153" t="s">
        <v>46</v>
      </c>
      <c r="C153" s="1">
        <v>45614</v>
      </c>
      <c r="D153" t="s">
        <v>13</v>
      </c>
      <c r="E153">
        <v>2.5</v>
      </c>
      <c r="F153" s="2">
        <v>0.625</v>
      </c>
      <c r="G153" s="2">
        <v>0.39569073694653101</v>
      </c>
      <c r="H153" s="2">
        <v>0.42623837464902198</v>
      </c>
      <c r="I153" s="2">
        <v>0.426900584795321</v>
      </c>
      <c r="J153" s="2">
        <v>0.42611683848797199</v>
      </c>
      <c r="K153" s="2">
        <v>-0.13250775023398501</v>
      </c>
      <c r="L153" s="2"/>
      <c r="M153" s="2" t="e">
        <f>(Table1[[#This Row],[poisson_likelihood]] - (1-Table1[[#This Row],[poisson_likelihood]])/(1/Table1[[#This Row],[365 implied]]-1))/4</f>
        <v>#DIV/0!</v>
      </c>
      <c r="N153" s="6" t="e">
        <f>Table1[[#This Row],[kelly/4 365]]*0.8*$U$2</f>
        <v>#DIV/0!</v>
      </c>
      <c r="P153" s="2" t="e">
        <f>(Table1[[#This Row],[poisson_likelihood]] - (1-Table1[[#This Row],[poisson_likelihood]])/(1/Table1[[#This Row],[99/pinn implied]]-1))/4</f>
        <v>#DIV/0!</v>
      </c>
      <c r="Q153" s="3" t="e">
        <f>Table1[[#This Row],[kelly/4 99]]*0.8*$U$2</f>
        <v>#DIV/0!</v>
      </c>
      <c r="S1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2024-11-18T11:41:52Z</dcterms:created>
  <dcterms:modified xsi:type="dcterms:W3CDTF">2024-11-19T12:41:52Z</dcterms:modified>
</cp:coreProperties>
</file>