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daily_odds/"/>
    </mc:Choice>
  </mc:AlternateContent>
  <xr:revisionPtr revIDLastSave="0" documentId="13_ncr:1_{EF26B53D-3199-6E4B-A205-6AA879F8A772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modelled_likelihoods_weight4_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Q2" i="1"/>
  <c r="P2" i="1"/>
  <c r="N2" i="1"/>
  <c r="M2" i="1"/>
  <c r="O50" i="1" l="1"/>
  <c r="L42" i="1"/>
  <c r="L40" i="1"/>
  <c r="O13" i="1"/>
  <c r="L37" i="1"/>
  <c r="L49" i="1"/>
  <c r="L35" i="1"/>
  <c r="L34" i="1"/>
  <c r="L38" i="1"/>
  <c r="O18" i="1"/>
  <c r="O25" i="1"/>
  <c r="O54" i="1"/>
  <c r="O52" i="1"/>
  <c r="O51" i="1"/>
  <c r="O48" i="1"/>
  <c r="O46" i="1"/>
  <c r="O44" i="1"/>
  <c r="O38" i="1"/>
  <c r="O57" i="1"/>
  <c r="O53" i="1"/>
  <c r="O37" i="1"/>
  <c r="O49" i="1"/>
  <c r="O45" i="1"/>
  <c r="O35" i="1"/>
  <c r="P35" i="1" s="1"/>
  <c r="Q35" i="1" s="1"/>
  <c r="O34" i="1"/>
  <c r="O42" i="1"/>
  <c r="O40" i="1"/>
  <c r="O31" i="1"/>
  <c r="L31" i="1"/>
  <c r="O43" i="1"/>
  <c r="L43" i="1"/>
  <c r="O39" i="1"/>
  <c r="L39" i="1"/>
  <c r="O33" i="1"/>
  <c r="L33" i="1"/>
  <c r="O32" i="1"/>
  <c r="L32" i="1"/>
  <c r="O30" i="1"/>
  <c r="L30" i="1"/>
  <c r="O28" i="1"/>
  <c r="L28" i="1"/>
  <c r="O20" i="1"/>
  <c r="L20" i="1"/>
  <c r="L18" i="1"/>
  <c r="L13" i="1"/>
  <c r="O9" i="1"/>
  <c r="L9" i="1"/>
  <c r="L50" i="1"/>
  <c r="O29" i="1"/>
  <c r="L29" i="1"/>
  <c r="O24" i="1"/>
  <c r="L24" i="1"/>
  <c r="O17" i="1"/>
  <c r="L17" i="1"/>
  <c r="O14" i="1"/>
  <c r="L14" i="1"/>
  <c r="O11" i="1"/>
  <c r="L11" i="1"/>
  <c r="O7" i="1"/>
  <c r="L7" i="1"/>
  <c r="O47" i="1"/>
  <c r="L47" i="1"/>
  <c r="O36" i="1"/>
  <c r="L36" i="1"/>
  <c r="O27" i="1"/>
  <c r="L27" i="1"/>
  <c r="L25" i="1"/>
  <c r="O23" i="1"/>
  <c r="L23" i="1"/>
  <c r="O21" i="1"/>
  <c r="L21" i="1"/>
  <c r="O6" i="1"/>
  <c r="L6" i="1"/>
  <c r="O41" i="1"/>
  <c r="L41" i="1"/>
  <c r="O26" i="1"/>
  <c r="L26" i="1"/>
  <c r="O12" i="1"/>
  <c r="L12" i="1"/>
  <c r="O10" i="1"/>
  <c r="L10" i="1"/>
  <c r="O8" i="1"/>
  <c r="L8" i="1"/>
  <c r="O4" i="1"/>
  <c r="L4" i="1"/>
  <c r="O19" i="1"/>
  <c r="L19" i="1"/>
  <c r="O16" i="1"/>
  <c r="L16" i="1"/>
  <c r="O3" i="1"/>
  <c r="L3" i="1"/>
  <c r="O15" i="1"/>
  <c r="L15" i="1"/>
  <c r="O5" i="1"/>
  <c r="L5" i="1"/>
  <c r="O2" i="1"/>
  <c r="P9" i="1"/>
  <c r="Q9" i="1" s="1"/>
  <c r="P17" i="1"/>
  <c r="Q17" i="1" s="1"/>
  <c r="P25" i="1"/>
  <c r="Q25" i="1" s="1"/>
  <c r="P33" i="1"/>
  <c r="Q33" i="1" s="1"/>
  <c r="P41" i="1"/>
  <c r="Q41" i="1" s="1"/>
  <c r="P49" i="1"/>
  <c r="Q49" i="1" s="1"/>
  <c r="P57" i="1"/>
  <c r="Q57" i="1" s="1"/>
  <c r="P81" i="1"/>
  <c r="Q81" i="1" s="1"/>
  <c r="P89" i="1"/>
  <c r="Q89" i="1" s="1"/>
  <c r="P97" i="1"/>
  <c r="Q97" i="1" s="1"/>
  <c r="P105" i="1"/>
  <c r="Q105" i="1" s="1"/>
  <c r="P113" i="1"/>
  <c r="Q113" i="1" s="1"/>
  <c r="P121" i="1"/>
  <c r="Q121" i="1" s="1"/>
  <c r="P129" i="1"/>
  <c r="Q129" i="1" s="1"/>
  <c r="P137" i="1"/>
  <c r="Q137" i="1" s="1"/>
  <c r="P145" i="1"/>
  <c r="Q145" i="1" s="1"/>
  <c r="P153" i="1"/>
  <c r="Q153" i="1" s="1"/>
  <c r="P161" i="1"/>
  <c r="Q161" i="1" s="1"/>
  <c r="P169" i="1"/>
  <c r="Q169" i="1" s="1"/>
  <c r="P177" i="1"/>
  <c r="Q177" i="1" s="1"/>
  <c r="P185" i="1"/>
  <c r="Q185" i="1" s="1"/>
  <c r="P193" i="1"/>
  <c r="Q193" i="1" s="1"/>
  <c r="L2" i="1"/>
  <c r="M9" i="1"/>
  <c r="N9" i="1" s="1"/>
  <c r="M16" i="1"/>
  <c r="N16" i="1" s="1"/>
  <c r="M17" i="1"/>
  <c r="N17" i="1" s="1"/>
  <c r="M24" i="1"/>
  <c r="N24" i="1" s="1"/>
  <c r="M25" i="1"/>
  <c r="N25" i="1" s="1"/>
  <c r="M32" i="1"/>
  <c r="N32" i="1" s="1"/>
  <c r="M33" i="1"/>
  <c r="N33" i="1" s="1"/>
  <c r="M40" i="1"/>
  <c r="N40" i="1" s="1"/>
  <c r="M41" i="1"/>
  <c r="N41" i="1" s="1"/>
  <c r="M48" i="1"/>
  <c r="N48" i="1" s="1"/>
  <c r="M49" i="1"/>
  <c r="N49" i="1" s="1"/>
  <c r="M56" i="1"/>
  <c r="N56" i="1" s="1"/>
  <c r="M57" i="1"/>
  <c r="N57" i="1" s="1"/>
  <c r="M64" i="1"/>
  <c r="N64" i="1" s="1"/>
  <c r="M65" i="1"/>
  <c r="N65" i="1" s="1"/>
  <c r="M72" i="1"/>
  <c r="N72" i="1" s="1"/>
  <c r="M73" i="1"/>
  <c r="N73" i="1" s="1"/>
  <c r="M80" i="1"/>
  <c r="N80" i="1" s="1"/>
  <c r="M81" i="1"/>
  <c r="N81" i="1" s="1"/>
  <c r="M88" i="1"/>
  <c r="N88" i="1" s="1"/>
  <c r="M89" i="1"/>
  <c r="N89" i="1" s="1"/>
  <c r="M96" i="1"/>
  <c r="N96" i="1" s="1"/>
  <c r="M97" i="1"/>
  <c r="N97" i="1" s="1"/>
  <c r="M104" i="1"/>
  <c r="N104" i="1" s="1"/>
  <c r="M105" i="1"/>
  <c r="N105" i="1" s="1"/>
  <c r="M112" i="1"/>
  <c r="N112" i="1" s="1"/>
  <c r="M113" i="1"/>
  <c r="N113" i="1" s="1"/>
  <c r="M120" i="1"/>
  <c r="N120" i="1" s="1"/>
  <c r="M128" i="1"/>
  <c r="N128" i="1" s="1"/>
  <c r="M129" i="1"/>
  <c r="N129" i="1" s="1"/>
  <c r="M136" i="1"/>
  <c r="N136" i="1" s="1"/>
  <c r="M137" i="1"/>
  <c r="N137" i="1" s="1"/>
  <c r="M144" i="1"/>
  <c r="N144" i="1" s="1"/>
  <c r="M145" i="1"/>
  <c r="N145" i="1" s="1"/>
  <c r="M152" i="1"/>
  <c r="N152" i="1" s="1"/>
  <c r="M153" i="1"/>
  <c r="N153" i="1" s="1"/>
  <c r="M160" i="1"/>
  <c r="N160" i="1" s="1"/>
  <c r="M161" i="1"/>
  <c r="N161" i="1" s="1"/>
  <c r="M169" i="1"/>
  <c r="N169" i="1" s="1"/>
  <c r="M176" i="1"/>
  <c r="N176" i="1" s="1"/>
  <c r="M177" i="1"/>
  <c r="N177" i="1" s="1"/>
  <c r="M185" i="1"/>
  <c r="N185" i="1" s="1"/>
  <c r="M192" i="1"/>
  <c r="N192" i="1" s="1"/>
  <c r="M193" i="1"/>
  <c r="N193" i="1" s="1"/>
  <c r="V1" i="1"/>
  <c r="S88" i="1"/>
  <c r="S75" i="1"/>
  <c r="S190" i="1"/>
  <c r="S123" i="1"/>
  <c r="S79" i="1"/>
  <c r="S161" i="1"/>
  <c r="S54" i="1"/>
  <c r="S146" i="1"/>
  <c r="S49" i="1"/>
  <c r="S156" i="1"/>
  <c r="S20" i="1"/>
  <c r="S162" i="1"/>
  <c r="S71" i="1"/>
  <c r="S155" i="1"/>
  <c r="S99" i="1"/>
  <c r="S101" i="1"/>
  <c r="S130" i="1"/>
  <c r="S86" i="1"/>
  <c r="S187" i="1"/>
  <c r="S199" i="1"/>
  <c r="S5" i="1"/>
  <c r="S132" i="1"/>
  <c r="S45" i="1"/>
  <c r="S197" i="1"/>
  <c r="S15" i="1"/>
  <c r="S174" i="1"/>
  <c r="S28" i="1"/>
  <c r="S108" i="1"/>
  <c r="S93" i="1"/>
  <c r="S87" i="1"/>
  <c r="S113" i="1"/>
  <c r="S67" i="1"/>
  <c r="S134" i="1"/>
  <c r="S188" i="1"/>
  <c r="S19" i="1"/>
  <c r="S145" i="1"/>
  <c r="S61" i="1"/>
  <c r="S55" i="1"/>
  <c r="S151" i="1"/>
  <c r="S94" i="1"/>
  <c r="S120" i="1"/>
  <c r="S18" i="1"/>
  <c r="S185" i="1"/>
  <c r="S3" i="1"/>
  <c r="S189" i="1"/>
  <c r="S48" i="1"/>
  <c r="S166" i="1"/>
  <c r="S184" i="1"/>
  <c r="S192" i="1"/>
  <c r="S16" i="1"/>
  <c r="S70" i="1"/>
  <c r="S127" i="1"/>
  <c r="S106" i="1"/>
  <c r="S105" i="1"/>
  <c r="S46" i="1"/>
  <c r="S150" i="1"/>
  <c r="S74" i="1"/>
  <c r="S115" i="1"/>
  <c r="S60" i="1"/>
  <c r="S126" i="1"/>
  <c r="S56" i="1"/>
  <c r="S165" i="1"/>
  <c r="S95" i="1"/>
  <c r="S111" i="1"/>
  <c r="S12" i="1"/>
  <c r="S196" i="1"/>
  <c r="S26" i="1"/>
  <c r="S153" i="1"/>
  <c r="S124" i="1"/>
  <c r="S83" i="1"/>
  <c r="S10" i="1"/>
  <c r="S176" i="1"/>
  <c r="S136" i="1"/>
  <c r="S63" i="1"/>
  <c r="S97" i="1"/>
  <c r="S118" i="1"/>
  <c r="S4" i="1"/>
  <c r="S193" i="1"/>
  <c r="S8" i="1"/>
  <c r="S194" i="1"/>
  <c r="S107" i="1"/>
  <c r="S98" i="1"/>
  <c r="S25" i="1"/>
  <c r="S154" i="1"/>
  <c r="S41" i="1"/>
  <c r="S141" i="1"/>
  <c r="S121" i="1"/>
  <c r="S78" i="1"/>
  <c r="S164" i="1"/>
  <c r="S51" i="1"/>
  <c r="S52" i="1"/>
  <c r="S122" i="1"/>
  <c r="S186" i="1"/>
  <c r="S22" i="1"/>
  <c r="S168" i="1"/>
  <c r="S47" i="1"/>
  <c r="S23" i="1"/>
  <c r="S158" i="1"/>
  <c r="S182" i="1"/>
  <c r="S21" i="1"/>
  <c r="S81" i="1"/>
  <c r="S119" i="1"/>
  <c r="S163" i="1"/>
  <c r="S65" i="1"/>
  <c r="S157" i="1"/>
  <c r="S36" i="1"/>
  <c r="S179" i="1"/>
  <c r="S27" i="1"/>
  <c r="S117" i="1"/>
  <c r="S90" i="1"/>
  <c r="S198" i="1"/>
  <c r="S6" i="1"/>
  <c r="S92" i="1"/>
  <c r="S114" i="1"/>
  <c r="S144" i="1"/>
  <c r="S58" i="1"/>
  <c r="S195" i="1"/>
  <c r="S13" i="1"/>
  <c r="S69" i="1"/>
  <c r="S104" i="1"/>
  <c r="S42" i="1"/>
  <c r="S138" i="1"/>
  <c r="S140" i="1"/>
  <c r="S64" i="1"/>
  <c r="S89" i="1"/>
  <c r="S102" i="1"/>
  <c r="S142" i="1"/>
  <c r="S76" i="1"/>
  <c r="S31" i="1"/>
  <c r="S148" i="1"/>
  <c r="S40" i="1"/>
  <c r="S170" i="1"/>
  <c r="S80" i="1"/>
  <c r="S131" i="1"/>
  <c r="S139" i="1"/>
  <c r="S73" i="1"/>
  <c r="S128" i="1"/>
  <c r="S84" i="1"/>
  <c r="S160" i="1"/>
  <c r="S59" i="1"/>
  <c r="S191" i="1"/>
  <c r="S9" i="1"/>
  <c r="S180" i="1"/>
  <c r="S30" i="1"/>
  <c r="S152" i="1"/>
  <c r="S72" i="1"/>
  <c r="S137" i="1"/>
  <c r="S66" i="1"/>
  <c r="S85" i="1"/>
  <c r="S125" i="1"/>
  <c r="S110" i="1"/>
  <c r="S103" i="1"/>
  <c r="S96" i="1"/>
  <c r="S116" i="1"/>
  <c r="S169" i="1"/>
  <c r="S33" i="1"/>
  <c r="S68" i="1"/>
  <c r="S109" i="1"/>
  <c r="S173" i="1"/>
  <c r="S43" i="1"/>
  <c r="S39" i="1"/>
  <c r="S177" i="1"/>
  <c r="S32" i="1"/>
  <c r="S159" i="1"/>
  <c r="S112" i="1"/>
  <c r="S91" i="1"/>
  <c r="S44" i="1"/>
  <c r="S143" i="1"/>
  <c r="S149" i="1"/>
  <c r="S50" i="1"/>
  <c r="S175" i="1"/>
  <c r="S29" i="1"/>
  <c r="S53" i="1"/>
  <c r="S135" i="1"/>
  <c r="S77" i="1"/>
  <c r="S133" i="1"/>
  <c r="S82" i="1"/>
  <c r="S100" i="1"/>
  <c r="S183" i="1"/>
  <c r="S37" i="1"/>
  <c r="S171" i="1"/>
  <c r="S17" i="1"/>
  <c r="S178" i="1"/>
  <c r="S14" i="1"/>
  <c r="S7" i="1"/>
  <c r="S172" i="1"/>
  <c r="S167" i="1"/>
  <c r="S11" i="1"/>
  <c r="S129" i="1"/>
  <c r="S57" i="1"/>
  <c r="S62" i="1"/>
  <c r="S147" i="1"/>
  <c r="S24" i="1"/>
  <c r="S181" i="1"/>
  <c r="P88" i="1"/>
  <c r="Q88" i="1" s="1"/>
  <c r="P75" i="1"/>
  <c r="Q75" i="1" s="1"/>
  <c r="P190" i="1"/>
  <c r="Q190" i="1" s="1"/>
  <c r="P34" i="1"/>
  <c r="Q34" i="1" s="1"/>
  <c r="P123" i="1"/>
  <c r="Q123" i="1" s="1"/>
  <c r="P79" i="1"/>
  <c r="Q79" i="1" s="1"/>
  <c r="P54" i="1"/>
  <c r="Q54" i="1" s="1"/>
  <c r="P146" i="1"/>
  <c r="Q146" i="1" s="1"/>
  <c r="P156" i="1"/>
  <c r="Q156" i="1" s="1"/>
  <c r="P20" i="1"/>
  <c r="Q20" i="1" s="1"/>
  <c r="P162" i="1"/>
  <c r="Q162" i="1" s="1"/>
  <c r="P71" i="1"/>
  <c r="Q71" i="1" s="1"/>
  <c r="P155" i="1"/>
  <c r="Q155" i="1" s="1"/>
  <c r="P99" i="1"/>
  <c r="Q99" i="1" s="1"/>
  <c r="P101" i="1"/>
  <c r="Q101" i="1" s="1"/>
  <c r="P130" i="1"/>
  <c r="Q130" i="1" s="1"/>
  <c r="P86" i="1"/>
  <c r="Q86" i="1" s="1"/>
  <c r="P187" i="1"/>
  <c r="Q187" i="1" s="1"/>
  <c r="P199" i="1"/>
  <c r="Q199" i="1" s="1"/>
  <c r="P5" i="1"/>
  <c r="Q5" i="1" s="1"/>
  <c r="P132" i="1"/>
  <c r="Q132" i="1" s="1"/>
  <c r="P45" i="1"/>
  <c r="Q45" i="1" s="1"/>
  <c r="P197" i="1"/>
  <c r="Q197" i="1" s="1"/>
  <c r="P15" i="1"/>
  <c r="Q15" i="1" s="1"/>
  <c r="P174" i="1"/>
  <c r="Q174" i="1" s="1"/>
  <c r="P28" i="1"/>
  <c r="Q28" i="1" s="1"/>
  <c r="P108" i="1"/>
  <c r="Q108" i="1" s="1"/>
  <c r="P93" i="1"/>
  <c r="Q93" i="1" s="1"/>
  <c r="P87" i="1"/>
  <c r="Q87" i="1" s="1"/>
  <c r="P67" i="1"/>
  <c r="Q67" i="1" s="1"/>
  <c r="P134" i="1"/>
  <c r="Q134" i="1" s="1"/>
  <c r="P188" i="1"/>
  <c r="Q188" i="1" s="1"/>
  <c r="P19" i="1"/>
  <c r="Q19" i="1" s="1"/>
  <c r="P61" i="1"/>
  <c r="Q61" i="1" s="1"/>
  <c r="P55" i="1"/>
  <c r="Q55" i="1" s="1"/>
  <c r="P151" i="1"/>
  <c r="Q151" i="1" s="1"/>
  <c r="P94" i="1"/>
  <c r="Q94" i="1" s="1"/>
  <c r="P120" i="1"/>
  <c r="Q120" i="1" s="1"/>
  <c r="P18" i="1"/>
  <c r="Q18" i="1" s="1"/>
  <c r="P3" i="1"/>
  <c r="Q3" i="1" s="1"/>
  <c r="P189" i="1"/>
  <c r="Q189" i="1" s="1"/>
  <c r="P48" i="1"/>
  <c r="Q48" i="1" s="1"/>
  <c r="P166" i="1"/>
  <c r="Q166" i="1" s="1"/>
  <c r="P184" i="1"/>
  <c r="Q184" i="1" s="1"/>
  <c r="P38" i="1"/>
  <c r="Q38" i="1" s="1"/>
  <c r="P192" i="1"/>
  <c r="Q192" i="1" s="1"/>
  <c r="P16" i="1"/>
  <c r="Q16" i="1" s="1"/>
  <c r="P70" i="1"/>
  <c r="Q70" i="1" s="1"/>
  <c r="P127" i="1"/>
  <c r="Q127" i="1" s="1"/>
  <c r="P106" i="1"/>
  <c r="Q106" i="1" s="1"/>
  <c r="P46" i="1"/>
  <c r="Q46" i="1" s="1"/>
  <c r="P150" i="1"/>
  <c r="Q150" i="1" s="1"/>
  <c r="P74" i="1"/>
  <c r="Q74" i="1" s="1"/>
  <c r="P115" i="1"/>
  <c r="Q115" i="1" s="1"/>
  <c r="P60" i="1"/>
  <c r="Q60" i="1" s="1"/>
  <c r="P126" i="1"/>
  <c r="Q126" i="1" s="1"/>
  <c r="P56" i="1"/>
  <c r="Q56" i="1" s="1"/>
  <c r="P165" i="1"/>
  <c r="Q165" i="1" s="1"/>
  <c r="P95" i="1"/>
  <c r="Q95" i="1" s="1"/>
  <c r="P111" i="1"/>
  <c r="Q111" i="1" s="1"/>
  <c r="P12" i="1"/>
  <c r="Q12" i="1" s="1"/>
  <c r="P196" i="1"/>
  <c r="Q196" i="1" s="1"/>
  <c r="P26" i="1"/>
  <c r="Q26" i="1" s="1"/>
  <c r="P124" i="1"/>
  <c r="Q124" i="1" s="1"/>
  <c r="P83" i="1"/>
  <c r="Q83" i="1" s="1"/>
  <c r="P10" i="1"/>
  <c r="Q10" i="1" s="1"/>
  <c r="P176" i="1"/>
  <c r="Q176" i="1" s="1"/>
  <c r="P136" i="1"/>
  <c r="Q136" i="1" s="1"/>
  <c r="P63" i="1"/>
  <c r="Q63" i="1" s="1"/>
  <c r="P118" i="1"/>
  <c r="Q118" i="1" s="1"/>
  <c r="P4" i="1"/>
  <c r="Q4" i="1" s="1"/>
  <c r="P8" i="1"/>
  <c r="Q8" i="1" s="1"/>
  <c r="P194" i="1"/>
  <c r="Q194" i="1" s="1"/>
  <c r="P107" i="1"/>
  <c r="Q107" i="1" s="1"/>
  <c r="P98" i="1"/>
  <c r="Q98" i="1" s="1"/>
  <c r="P154" i="1"/>
  <c r="Q154" i="1" s="1"/>
  <c r="P141" i="1"/>
  <c r="Q141" i="1" s="1"/>
  <c r="P78" i="1"/>
  <c r="Q78" i="1" s="1"/>
  <c r="P164" i="1"/>
  <c r="Q164" i="1" s="1"/>
  <c r="P51" i="1"/>
  <c r="Q51" i="1" s="1"/>
  <c r="P52" i="1"/>
  <c r="Q52" i="1" s="1"/>
  <c r="P122" i="1"/>
  <c r="Q122" i="1" s="1"/>
  <c r="P186" i="1"/>
  <c r="Q186" i="1" s="1"/>
  <c r="P22" i="1"/>
  <c r="Q22" i="1" s="1"/>
  <c r="P168" i="1"/>
  <c r="Q168" i="1" s="1"/>
  <c r="P47" i="1"/>
  <c r="Q47" i="1" s="1"/>
  <c r="P23" i="1"/>
  <c r="Q23" i="1" s="1"/>
  <c r="P158" i="1"/>
  <c r="Q158" i="1" s="1"/>
  <c r="P182" i="1"/>
  <c r="Q182" i="1" s="1"/>
  <c r="P21" i="1"/>
  <c r="Q21" i="1" s="1"/>
  <c r="P119" i="1"/>
  <c r="Q119" i="1" s="1"/>
  <c r="P163" i="1"/>
  <c r="Q163" i="1" s="1"/>
  <c r="P65" i="1"/>
  <c r="Q65" i="1" s="1"/>
  <c r="P157" i="1"/>
  <c r="Q157" i="1" s="1"/>
  <c r="P36" i="1"/>
  <c r="Q36" i="1" s="1"/>
  <c r="P179" i="1"/>
  <c r="Q179" i="1" s="1"/>
  <c r="P27" i="1"/>
  <c r="Q27" i="1" s="1"/>
  <c r="P117" i="1"/>
  <c r="Q117" i="1" s="1"/>
  <c r="P90" i="1"/>
  <c r="Q90" i="1" s="1"/>
  <c r="P198" i="1"/>
  <c r="Q198" i="1" s="1"/>
  <c r="P6" i="1"/>
  <c r="Q6" i="1" s="1"/>
  <c r="P92" i="1"/>
  <c r="Q92" i="1" s="1"/>
  <c r="P114" i="1"/>
  <c r="Q114" i="1" s="1"/>
  <c r="P144" i="1"/>
  <c r="Q144" i="1" s="1"/>
  <c r="P58" i="1"/>
  <c r="Q58" i="1" s="1"/>
  <c r="P195" i="1"/>
  <c r="Q195" i="1" s="1"/>
  <c r="P13" i="1"/>
  <c r="Q13" i="1" s="1"/>
  <c r="P69" i="1"/>
  <c r="Q69" i="1" s="1"/>
  <c r="P104" i="1"/>
  <c r="Q104" i="1" s="1"/>
  <c r="P42" i="1"/>
  <c r="Q42" i="1" s="1"/>
  <c r="P138" i="1"/>
  <c r="Q138" i="1" s="1"/>
  <c r="P140" i="1"/>
  <c r="Q140" i="1" s="1"/>
  <c r="P64" i="1"/>
  <c r="Q64" i="1" s="1"/>
  <c r="P102" i="1"/>
  <c r="Q102" i="1" s="1"/>
  <c r="P142" i="1"/>
  <c r="Q142" i="1" s="1"/>
  <c r="P76" i="1"/>
  <c r="Q76" i="1" s="1"/>
  <c r="P31" i="1"/>
  <c r="Q31" i="1" s="1"/>
  <c r="P148" i="1"/>
  <c r="Q148" i="1" s="1"/>
  <c r="P40" i="1"/>
  <c r="Q40" i="1" s="1"/>
  <c r="P170" i="1"/>
  <c r="Q170" i="1" s="1"/>
  <c r="P80" i="1"/>
  <c r="Q80" i="1" s="1"/>
  <c r="P131" i="1"/>
  <c r="Q131" i="1" s="1"/>
  <c r="P139" i="1"/>
  <c r="Q139" i="1" s="1"/>
  <c r="P73" i="1"/>
  <c r="Q73" i="1" s="1"/>
  <c r="P128" i="1"/>
  <c r="Q128" i="1" s="1"/>
  <c r="P84" i="1"/>
  <c r="Q84" i="1" s="1"/>
  <c r="P160" i="1"/>
  <c r="Q160" i="1" s="1"/>
  <c r="P59" i="1"/>
  <c r="Q59" i="1" s="1"/>
  <c r="P191" i="1"/>
  <c r="Q191" i="1" s="1"/>
  <c r="P180" i="1"/>
  <c r="Q180" i="1" s="1"/>
  <c r="P30" i="1"/>
  <c r="Q30" i="1" s="1"/>
  <c r="P152" i="1"/>
  <c r="Q152" i="1" s="1"/>
  <c r="P72" i="1"/>
  <c r="Q72" i="1" s="1"/>
  <c r="P66" i="1"/>
  <c r="Q66" i="1" s="1"/>
  <c r="P85" i="1"/>
  <c r="Q85" i="1" s="1"/>
  <c r="P125" i="1"/>
  <c r="Q125" i="1" s="1"/>
  <c r="P110" i="1"/>
  <c r="Q110" i="1" s="1"/>
  <c r="P103" i="1"/>
  <c r="Q103" i="1" s="1"/>
  <c r="P96" i="1"/>
  <c r="Q96" i="1" s="1"/>
  <c r="P116" i="1"/>
  <c r="Q116" i="1" s="1"/>
  <c r="P68" i="1"/>
  <c r="Q68" i="1" s="1"/>
  <c r="P109" i="1"/>
  <c r="Q109" i="1" s="1"/>
  <c r="P173" i="1"/>
  <c r="Q173" i="1" s="1"/>
  <c r="P43" i="1"/>
  <c r="Q43" i="1" s="1"/>
  <c r="P39" i="1"/>
  <c r="Q39" i="1" s="1"/>
  <c r="P32" i="1"/>
  <c r="Q32" i="1" s="1"/>
  <c r="P159" i="1"/>
  <c r="Q159" i="1" s="1"/>
  <c r="P112" i="1"/>
  <c r="Q112" i="1" s="1"/>
  <c r="P91" i="1"/>
  <c r="Q91" i="1" s="1"/>
  <c r="P44" i="1"/>
  <c r="Q44" i="1" s="1"/>
  <c r="P143" i="1"/>
  <c r="Q143" i="1" s="1"/>
  <c r="P149" i="1"/>
  <c r="Q149" i="1" s="1"/>
  <c r="P50" i="1"/>
  <c r="Q50" i="1" s="1"/>
  <c r="P175" i="1"/>
  <c r="Q175" i="1" s="1"/>
  <c r="P29" i="1"/>
  <c r="Q29" i="1" s="1"/>
  <c r="P53" i="1"/>
  <c r="Q53" i="1" s="1"/>
  <c r="P135" i="1"/>
  <c r="Q135" i="1" s="1"/>
  <c r="P77" i="1"/>
  <c r="Q77" i="1" s="1"/>
  <c r="P133" i="1"/>
  <c r="Q133" i="1" s="1"/>
  <c r="P82" i="1"/>
  <c r="Q82" i="1" s="1"/>
  <c r="P100" i="1"/>
  <c r="Q100" i="1" s="1"/>
  <c r="P183" i="1"/>
  <c r="Q183" i="1" s="1"/>
  <c r="P37" i="1"/>
  <c r="Q37" i="1" s="1"/>
  <c r="P171" i="1"/>
  <c r="Q171" i="1" s="1"/>
  <c r="P178" i="1"/>
  <c r="Q178" i="1" s="1"/>
  <c r="P14" i="1"/>
  <c r="Q14" i="1" s="1"/>
  <c r="P7" i="1"/>
  <c r="Q7" i="1" s="1"/>
  <c r="P172" i="1"/>
  <c r="Q172" i="1" s="1"/>
  <c r="P167" i="1"/>
  <c r="Q167" i="1" s="1"/>
  <c r="P11" i="1"/>
  <c r="Q11" i="1" s="1"/>
  <c r="P62" i="1"/>
  <c r="Q62" i="1" s="1"/>
  <c r="P147" i="1"/>
  <c r="Q147" i="1" s="1"/>
  <c r="P24" i="1"/>
  <c r="Q24" i="1" s="1"/>
  <c r="P181" i="1"/>
  <c r="Q181" i="1" s="1"/>
  <c r="M75" i="1"/>
  <c r="N75" i="1" s="1"/>
  <c r="M190" i="1"/>
  <c r="N190" i="1" s="1"/>
  <c r="M34" i="1"/>
  <c r="N34" i="1" s="1"/>
  <c r="S34" i="1" s="1"/>
  <c r="M123" i="1"/>
  <c r="N123" i="1" s="1"/>
  <c r="M79" i="1"/>
  <c r="N79" i="1" s="1"/>
  <c r="M54" i="1"/>
  <c r="N54" i="1" s="1"/>
  <c r="M146" i="1"/>
  <c r="N146" i="1" s="1"/>
  <c r="M156" i="1"/>
  <c r="N156" i="1" s="1"/>
  <c r="M20" i="1"/>
  <c r="N20" i="1" s="1"/>
  <c r="M162" i="1"/>
  <c r="N162" i="1" s="1"/>
  <c r="M71" i="1"/>
  <c r="N71" i="1" s="1"/>
  <c r="M155" i="1"/>
  <c r="N155" i="1" s="1"/>
  <c r="M35" i="1"/>
  <c r="N35" i="1" s="1"/>
  <c r="S35" i="1" s="1"/>
  <c r="M99" i="1"/>
  <c r="N99" i="1" s="1"/>
  <c r="M101" i="1"/>
  <c r="N101" i="1" s="1"/>
  <c r="M130" i="1"/>
  <c r="N130" i="1" s="1"/>
  <c r="M86" i="1"/>
  <c r="N86" i="1" s="1"/>
  <c r="M187" i="1"/>
  <c r="N187" i="1" s="1"/>
  <c r="M199" i="1"/>
  <c r="N199" i="1" s="1"/>
  <c r="M5" i="1"/>
  <c r="N5" i="1" s="1"/>
  <c r="M132" i="1"/>
  <c r="N132" i="1" s="1"/>
  <c r="M45" i="1"/>
  <c r="N45" i="1" s="1"/>
  <c r="M197" i="1"/>
  <c r="N197" i="1" s="1"/>
  <c r="M15" i="1"/>
  <c r="N15" i="1" s="1"/>
  <c r="M174" i="1"/>
  <c r="N174" i="1" s="1"/>
  <c r="M28" i="1"/>
  <c r="N28" i="1" s="1"/>
  <c r="M108" i="1"/>
  <c r="N108" i="1" s="1"/>
  <c r="M93" i="1"/>
  <c r="N93" i="1" s="1"/>
  <c r="M87" i="1"/>
  <c r="N87" i="1" s="1"/>
  <c r="M67" i="1"/>
  <c r="N67" i="1" s="1"/>
  <c r="M134" i="1"/>
  <c r="N134" i="1" s="1"/>
  <c r="M188" i="1"/>
  <c r="N188" i="1" s="1"/>
  <c r="M19" i="1"/>
  <c r="N19" i="1" s="1"/>
  <c r="M61" i="1"/>
  <c r="N61" i="1" s="1"/>
  <c r="M55" i="1"/>
  <c r="N55" i="1" s="1"/>
  <c r="M151" i="1"/>
  <c r="N151" i="1" s="1"/>
  <c r="M94" i="1"/>
  <c r="N94" i="1" s="1"/>
  <c r="M18" i="1"/>
  <c r="N18" i="1" s="1"/>
  <c r="M3" i="1"/>
  <c r="N3" i="1" s="1"/>
  <c r="M189" i="1"/>
  <c r="N189" i="1" s="1"/>
  <c r="M166" i="1"/>
  <c r="N166" i="1" s="1"/>
  <c r="M184" i="1"/>
  <c r="N184" i="1" s="1"/>
  <c r="M38" i="1"/>
  <c r="N38" i="1" s="1"/>
  <c r="S38" i="1" s="1"/>
  <c r="M70" i="1"/>
  <c r="N70" i="1" s="1"/>
  <c r="M127" i="1"/>
  <c r="N127" i="1" s="1"/>
  <c r="M106" i="1"/>
  <c r="N106" i="1" s="1"/>
  <c r="M46" i="1"/>
  <c r="N46" i="1" s="1"/>
  <c r="M150" i="1"/>
  <c r="N150" i="1" s="1"/>
  <c r="M74" i="1"/>
  <c r="N74" i="1" s="1"/>
  <c r="M115" i="1"/>
  <c r="N115" i="1" s="1"/>
  <c r="M60" i="1"/>
  <c r="N60" i="1" s="1"/>
  <c r="M126" i="1"/>
  <c r="N126" i="1" s="1"/>
  <c r="M165" i="1"/>
  <c r="N165" i="1" s="1"/>
  <c r="M95" i="1"/>
  <c r="N95" i="1" s="1"/>
  <c r="M111" i="1"/>
  <c r="N111" i="1" s="1"/>
  <c r="M12" i="1"/>
  <c r="N12" i="1" s="1"/>
  <c r="M196" i="1"/>
  <c r="N196" i="1" s="1"/>
  <c r="M26" i="1"/>
  <c r="N26" i="1" s="1"/>
  <c r="M124" i="1"/>
  <c r="N124" i="1" s="1"/>
  <c r="M83" i="1"/>
  <c r="N83" i="1" s="1"/>
  <c r="M10" i="1"/>
  <c r="N10" i="1" s="1"/>
  <c r="M63" i="1"/>
  <c r="N63" i="1" s="1"/>
  <c r="M118" i="1"/>
  <c r="N118" i="1" s="1"/>
  <c r="M4" i="1"/>
  <c r="N4" i="1" s="1"/>
  <c r="M8" i="1"/>
  <c r="N8" i="1" s="1"/>
  <c r="M194" i="1"/>
  <c r="N194" i="1" s="1"/>
  <c r="M107" i="1"/>
  <c r="N107" i="1" s="1"/>
  <c r="M98" i="1"/>
  <c r="N98" i="1" s="1"/>
  <c r="M154" i="1"/>
  <c r="N154" i="1" s="1"/>
  <c r="M141" i="1"/>
  <c r="N141" i="1" s="1"/>
  <c r="M121" i="1"/>
  <c r="N121" i="1" s="1"/>
  <c r="M78" i="1"/>
  <c r="N78" i="1" s="1"/>
  <c r="M164" i="1"/>
  <c r="N164" i="1" s="1"/>
  <c r="M51" i="1"/>
  <c r="N51" i="1" s="1"/>
  <c r="M52" i="1"/>
  <c r="N52" i="1" s="1"/>
  <c r="M122" i="1"/>
  <c r="N122" i="1" s="1"/>
  <c r="M186" i="1"/>
  <c r="N186" i="1" s="1"/>
  <c r="M22" i="1"/>
  <c r="N22" i="1" s="1"/>
  <c r="M168" i="1"/>
  <c r="N168" i="1" s="1"/>
  <c r="M47" i="1"/>
  <c r="N47" i="1" s="1"/>
  <c r="M23" i="1"/>
  <c r="N23" i="1" s="1"/>
  <c r="M158" i="1"/>
  <c r="N158" i="1" s="1"/>
  <c r="M182" i="1"/>
  <c r="N182" i="1" s="1"/>
  <c r="M21" i="1"/>
  <c r="N21" i="1" s="1"/>
  <c r="M119" i="1"/>
  <c r="N119" i="1" s="1"/>
  <c r="M163" i="1"/>
  <c r="N163" i="1" s="1"/>
  <c r="M157" i="1"/>
  <c r="N157" i="1" s="1"/>
  <c r="M36" i="1"/>
  <c r="N36" i="1" s="1"/>
  <c r="M179" i="1"/>
  <c r="N179" i="1" s="1"/>
  <c r="M27" i="1"/>
  <c r="N27" i="1" s="1"/>
  <c r="M117" i="1"/>
  <c r="N117" i="1" s="1"/>
  <c r="M90" i="1"/>
  <c r="N90" i="1" s="1"/>
  <c r="M198" i="1"/>
  <c r="N198" i="1" s="1"/>
  <c r="M6" i="1"/>
  <c r="N6" i="1" s="1"/>
  <c r="M92" i="1"/>
  <c r="N92" i="1" s="1"/>
  <c r="M114" i="1"/>
  <c r="N114" i="1" s="1"/>
  <c r="M58" i="1"/>
  <c r="N58" i="1" s="1"/>
  <c r="M195" i="1"/>
  <c r="N195" i="1" s="1"/>
  <c r="M13" i="1"/>
  <c r="N13" i="1" s="1"/>
  <c r="M69" i="1"/>
  <c r="N69" i="1" s="1"/>
  <c r="M42" i="1"/>
  <c r="N42" i="1" s="1"/>
  <c r="M138" i="1"/>
  <c r="N138" i="1" s="1"/>
  <c r="M140" i="1"/>
  <c r="N140" i="1" s="1"/>
  <c r="M102" i="1"/>
  <c r="N102" i="1" s="1"/>
  <c r="M142" i="1"/>
  <c r="N142" i="1" s="1"/>
  <c r="M76" i="1"/>
  <c r="N76" i="1" s="1"/>
  <c r="M31" i="1"/>
  <c r="N31" i="1" s="1"/>
  <c r="M148" i="1"/>
  <c r="N148" i="1" s="1"/>
  <c r="M170" i="1"/>
  <c r="N170" i="1" s="1"/>
  <c r="M131" i="1"/>
  <c r="N131" i="1" s="1"/>
  <c r="M139" i="1"/>
  <c r="N139" i="1" s="1"/>
  <c r="M84" i="1"/>
  <c r="N84" i="1" s="1"/>
  <c r="M59" i="1"/>
  <c r="N59" i="1" s="1"/>
  <c r="M191" i="1"/>
  <c r="N191" i="1" s="1"/>
  <c r="M180" i="1"/>
  <c r="N180" i="1" s="1"/>
  <c r="M30" i="1"/>
  <c r="N30" i="1" s="1"/>
  <c r="M66" i="1"/>
  <c r="N66" i="1" s="1"/>
  <c r="M85" i="1"/>
  <c r="N85" i="1" s="1"/>
  <c r="M125" i="1"/>
  <c r="N125" i="1" s="1"/>
  <c r="M110" i="1"/>
  <c r="N110" i="1" s="1"/>
  <c r="M103" i="1"/>
  <c r="N103" i="1" s="1"/>
  <c r="M116" i="1"/>
  <c r="N116" i="1" s="1"/>
  <c r="M68" i="1"/>
  <c r="N68" i="1" s="1"/>
  <c r="M109" i="1"/>
  <c r="N109" i="1" s="1"/>
  <c r="M173" i="1"/>
  <c r="N173" i="1" s="1"/>
  <c r="M43" i="1"/>
  <c r="N43" i="1" s="1"/>
  <c r="M39" i="1"/>
  <c r="N39" i="1" s="1"/>
  <c r="M159" i="1"/>
  <c r="N159" i="1" s="1"/>
  <c r="M91" i="1"/>
  <c r="N91" i="1" s="1"/>
  <c r="M44" i="1"/>
  <c r="N44" i="1" s="1"/>
  <c r="M143" i="1"/>
  <c r="N143" i="1" s="1"/>
  <c r="M149" i="1"/>
  <c r="N149" i="1" s="1"/>
  <c r="M50" i="1"/>
  <c r="N50" i="1" s="1"/>
  <c r="M175" i="1"/>
  <c r="N175" i="1" s="1"/>
  <c r="M29" i="1"/>
  <c r="N29" i="1" s="1"/>
  <c r="M53" i="1"/>
  <c r="N53" i="1" s="1"/>
  <c r="M135" i="1"/>
  <c r="N135" i="1" s="1"/>
  <c r="M77" i="1"/>
  <c r="N77" i="1" s="1"/>
  <c r="M133" i="1"/>
  <c r="N133" i="1" s="1"/>
  <c r="M82" i="1"/>
  <c r="N82" i="1" s="1"/>
  <c r="M100" i="1"/>
  <c r="N100" i="1" s="1"/>
  <c r="M183" i="1"/>
  <c r="N183" i="1" s="1"/>
  <c r="M37" i="1"/>
  <c r="N37" i="1" s="1"/>
  <c r="M171" i="1"/>
  <c r="N171" i="1" s="1"/>
  <c r="M178" i="1"/>
  <c r="N178" i="1" s="1"/>
  <c r="M14" i="1"/>
  <c r="N14" i="1" s="1"/>
  <c r="M7" i="1"/>
  <c r="N7" i="1" s="1"/>
  <c r="M172" i="1"/>
  <c r="N172" i="1" s="1"/>
  <c r="M167" i="1"/>
  <c r="N167" i="1" s="1"/>
  <c r="M11" i="1"/>
  <c r="N11" i="1" s="1"/>
  <c r="M62" i="1"/>
  <c r="N62" i="1" s="1"/>
  <c r="M147" i="1"/>
  <c r="N147" i="1" s="1"/>
  <c r="M181" i="1"/>
  <c r="N181" i="1" s="1"/>
  <c r="Y1" i="1" l="1"/>
  <c r="V4" i="1"/>
</calcChain>
</file>

<file path=xl/sharedStrings.xml><?xml version="1.0" encoding="utf-8"?>
<sst xmlns="http://schemas.openxmlformats.org/spreadsheetml/2006/main" count="465" uniqueCount="127">
  <si>
    <t>id</t>
  </si>
  <si>
    <t>player_name</t>
  </si>
  <si>
    <t>date</t>
  </si>
  <si>
    <t>over_under</t>
  </si>
  <si>
    <t>points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</si>
  <si>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</si>
  <si>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</si>
  <si>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</si>
  <si>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</si>
  <si>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</si>
  <si>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</si>
  <si>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Connor McDavid</t>
  </si>
  <si>
    <t>Over</t>
  </si>
  <si>
    <t>Under</t>
  </si>
  <si>
    <t>Josh Norris</t>
  </si>
  <si>
    <t>Tim St√ºtzle</t>
  </si>
  <si>
    <t>Brady Tkachuk</t>
  </si>
  <si>
    <t>Leon Draisaitl</t>
  </si>
  <si>
    <t>Mattias Ekholm</t>
  </si>
  <si>
    <t>Ryan Nugent-Hopkins</t>
  </si>
  <si>
    <t>Drake Batherson</t>
  </si>
  <si>
    <t>Claude Giroux</t>
  </si>
  <si>
    <t>Zach Hyman</t>
  </si>
  <si>
    <t>Jeff Skinner</t>
  </si>
  <si>
    <t>Evan Bouchard</t>
  </si>
  <si>
    <t>Thomas Chabot</t>
  </si>
  <si>
    <t>Jake Sanderson</t>
  </si>
  <si>
    <t>Erik Karlsson</t>
  </si>
  <si>
    <t>Sidney Crosby</t>
  </si>
  <si>
    <t>Anthony Beauvillier</t>
  </si>
  <si>
    <t>Brandon Hagel</t>
  </si>
  <si>
    <t>Rickard Rakell</t>
  </si>
  <si>
    <t>Bryan Rust</t>
  </si>
  <si>
    <t>Brayden Point</t>
  </si>
  <si>
    <t>Evgeni Malkin</t>
  </si>
  <si>
    <t>Nikita Kucherov</t>
  </si>
  <si>
    <t>Jake Guentzel</t>
  </si>
  <si>
    <t>Victor Hedman</t>
  </si>
  <si>
    <t>Drew O'Connor</t>
  </si>
  <si>
    <t>Jesse Puljujarvi</t>
  </si>
  <si>
    <t>Michael Bunting</t>
  </si>
  <si>
    <t>Nicholas Paul</t>
  </si>
  <si>
    <t>Aleksander Barkov</t>
  </si>
  <si>
    <t>Mark Scheifele</t>
  </si>
  <si>
    <t>Anton Lundell</t>
  </si>
  <si>
    <t>Kyle Connor</t>
  </si>
  <si>
    <t>Josh Morrissey</t>
  </si>
  <si>
    <t>Sam Bennett</t>
  </si>
  <si>
    <t>Carter Verhaeghe</t>
  </si>
  <si>
    <t>Sam Reinhart</t>
  </si>
  <si>
    <t>Evan Rodrigues</t>
  </si>
  <si>
    <t>Nikolaj Ehlers</t>
  </si>
  <si>
    <t>Gabriel Vilardi</t>
  </si>
  <si>
    <t>Matthew Tkachuk</t>
  </si>
  <si>
    <t>Aaron Ekblad</t>
  </si>
  <si>
    <t>Cole Perfetti</t>
  </si>
  <si>
    <t>Gustav Forsling</t>
  </si>
  <si>
    <t>Nino Niederreiter</t>
  </si>
  <si>
    <t>Pavel Buchnevich</t>
  </si>
  <si>
    <t>Marco Rossi</t>
  </si>
  <si>
    <t>Jared Spurgeon</t>
  </si>
  <si>
    <t>Brandon Saad</t>
  </si>
  <si>
    <t>Kirill Kaprizov</t>
  </si>
  <si>
    <t>Joel Eriksson Ek</t>
  </si>
  <si>
    <t>Jake Neighbours</t>
  </si>
  <si>
    <t>Jordan Kyrou</t>
  </si>
  <si>
    <t>Brayden Schenn</t>
  </si>
  <si>
    <t>Matt Boldy</t>
  </si>
  <si>
    <t>Brock Faber</t>
  </si>
  <si>
    <t>Colton Parayko</t>
  </si>
  <si>
    <t>Dylan Holloway</t>
  </si>
  <si>
    <t>Justin Faulk</t>
  </si>
  <si>
    <t>Ryan Hartman</t>
  </si>
  <si>
    <t>Ryan Donato</t>
  </si>
  <si>
    <t>Trevor Zegras</t>
  </si>
  <si>
    <t>Nick Foligno</t>
  </si>
  <si>
    <t>Troy Terry</t>
  </si>
  <si>
    <t>Frank Vatrano</t>
  </si>
  <si>
    <t>Alex Killorn</t>
  </si>
  <si>
    <t>Teuvo Teravainen</t>
  </si>
  <si>
    <t>Connor Bedard</t>
  </si>
  <si>
    <t>Tyler Bertuzzi</t>
  </si>
  <si>
    <t>Leo Carlsson</t>
  </si>
  <si>
    <t>Craig Smith</t>
  </si>
  <si>
    <t>Ryan Strome</t>
  </si>
  <si>
    <t>Yegor Sharangovich</t>
  </si>
  <si>
    <t>Jonathan Huberdeau</t>
  </si>
  <si>
    <t>Rasmus Andersson</t>
  </si>
  <si>
    <t>Kyle Palmieri</t>
  </si>
  <si>
    <t>Mikael Backlund</t>
  </si>
  <si>
    <t>Anders Lee</t>
  </si>
  <si>
    <t>Blake Coleman</t>
  </si>
  <si>
    <t>MacKenzie Weegar</t>
  </si>
  <si>
    <t>Nazem Kadri</t>
  </si>
  <si>
    <t>Connor Zary</t>
  </si>
  <si>
    <t>Noah Dobson</t>
  </si>
  <si>
    <t>Brock Nelson</t>
  </si>
  <si>
    <t>Martin Pospisil</t>
  </si>
  <si>
    <t>Bo Horvat</t>
  </si>
  <si>
    <t>Conor Garland</t>
  </si>
  <si>
    <t>Quinn Hughes</t>
  </si>
  <si>
    <t>J.T. Miller</t>
  </si>
  <si>
    <t>Chris Kreider</t>
  </si>
  <si>
    <t>Filip Hronek</t>
  </si>
  <si>
    <t>Kiefer Sherwood</t>
  </si>
  <si>
    <t>Artemi Panarin</t>
  </si>
  <si>
    <t>Vincent Trocheck</t>
  </si>
  <si>
    <t>Jake DeBrusk</t>
  </si>
  <si>
    <t>Alexis Lafreni√®re</t>
  </si>
  <si>
    <t>Adam Fox</t>
  </si>
  <si>
    <t>Mika Zibanejad</t>
  </si>
  <si>
    <t>Elias Pettersson</t>
  </si>
  <si>
    <t>365 implied</t>
  </si>
  <si>
    <t>kelly/4 365</t>
  </si>
  <si>
    <t>bet</t>
  </si>
  <si>
    <t>99/pinn implied</t>
  </si>
  <si>
    <t>kelly/4 99</t>
  </si>
  <si>
    <t>bet99/pinn</t>
  </si>
  <si>
    <t>W/L:</t>
  </si>
  <si>
    <t>del$</t>
  </si>
  <si>
    <t>bankroll</t>
  </si>
  <si>
    <t>wagered:</t>
  </si>
  <si>
    <t>delta:</t>
  </si>
  <si>
    <t>FACTOR:</t>
  </si>
  <si>
    <t>-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</si>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</sst>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2" applyNumberFormat="1" applyFont="1"/>
    <xf numFmtId="44" fontId="0" fillId="0" borderId="0" xfId="1" applyFont="1"/>
    <xf numFmtId="0" fontId="0" fillId="0" borderId="0" xfId="0" applyAlignment="1">
      <alignment horizontal="left"/>
    </xf>
    <xf numFmtId="10" fontId="0" fillId="0" borderId="0" xfId="0" applyNumberFormat="1"/>
    <xf numFmtId="44" fontId="0" fillId="0" borderId="0" xfId="0" applyNumberFormat="1"/>
    <xf numFmtId="44" fontId="0" fillId="0" borderId="0" xfId="2" applyNumberFormat="1" applyFont="1"/>
    <xf numFmtId="44" fontId="0" fillId="33" borderId="0" xfId="2" applyNumberFormat="1" applyFont="1" applyFill="1"/>
    <xf numFmtId="44" fontId="0" fillId="0" borderId="0" xfId="2" applyNumberFormat="1" applyFont="1" applyFill="1"/>
    <xf numFmtId="10" fontId="0" fillId="0" borderId="0" xfId="2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4">
    <dxf>
      <numFmt numFmtId="14" formatCode="0.00%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14" formatCode="0.00%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99" totalsRowShown="0">
  <autoFilter ref="A1:S199" xr:uid="{00000000-0009-0000-0100-000001000000}"/>
  <sortState xmlns:xlrd2="http://schemas.microsoft.com/office/spreadsheetml/2017/richdata2" ref="A2:S199">
    <sortCondition descending="1" ref="K1:K199"/>
  </sortState>
  <tableColumns count="19">
    <tableColumn id="1" xr3:uid="{00000000-0010-0000-0000-000001000000}" name="id"/>
    <tableColumn id="2" xr3:uid="{00000000-0010-0000-0000-000002000000}" name="player_name"/>
    <tableColumn id="3" xr3:uid="{00000000-0010-0000-0000-000003000000}" name="date" dataDxfId="13"/>
    <tableColumn id="4" xr3:uid="{00000000-0010-0000-0000-000004000000}" name="over_under"/>
    <tableColumn id="5" xr3:uid="{00000000-0010-0000-0000-000005000000}" name="points"/>
    <tableColumn id="6" xr3:uid="{00000000-0010-0000-0000-000006000000}" name="implied_likelihood" dataDxfId="12" dataCellStyle="Percent"/>
    <tableColumn id="7" xr3:uid="{00000000-0010-0000-0000-000007000000}" name="normal_likelihood" dataDxfId="11" dataCellStyle="Percent"/>
    <tableColumn id="8" xr3:uid="{00000000-0010-0000-0000-000008000000}" name="poisson_likelihood" dataDxfId="10" dataCellStyle="Percent"/>
    <tableColumn id="9" xr3:uid="{00000000-0010-0000-0000-000009000000}" name="raw_data_likelihood" dataDxfId="9" dataCellStyle="Percent"/>
    <tableColumn id="10" xr3:uid="{00000000-0010-0000-0000-00000A000000}" name="weighted_likelihood" dataDxfId="8" dataCellStyle="Percent"/>
    <tableColumn id="11" xr3:uid="{00000000-0010-0000-0000-00000B000000}" name="poisson_kelly" dataDxfId="7" dataCellStyle="Percent"/>
    <tableColumn id="12" xr3:uid="{00000000-0010-0000-0000-00000C000000}" name="365 implied" dataDxfId="6" dataCellStyle="Percent">
      <calculatedColumnFormula>1/1.52</calculatedColumnFormula>
    </tableColumn>
    <tableColumn id="13" xr3:uid="{00000000-0010-0000-0000-00000D000000}" name="kelly/4 365" dataDxfId="5" dataCellStyle="Percent">
      <calculatedColumnFormula>(Table1[[#This Row],[poisson_likelihood]] - (1-Table1[[#This Row],[poisson_likelihood]])/(1/Table1[[#This Row],[365 implied]]-1))/4</calculatedColumnFormula>
    </tableColumn>
    <tableColumn id="14" xr3:uid="{00000000-0010-0000-0000-00000E000000}" name="bet" dataDxfId="4" dataCellStyle="Percent">
      <calculatedColumnFormula>Table1[[#This Row],[kelly/4 365]]*$W$2*$U$2</calculatedColumnFormula>
    </tableColumn>
    <tableColumn id="15" xr3:uid="{00000000-0010-0000-0000-00000F000000}" name="99/pinn implied" dataDxfId="3" dataCellStyle="Percent">
      <calculatedColumnFormula>1/1.57</calculatedColumnFormula>
    </tableColumn>
    <tableColumn id="16" xr3:uid="{00000000-0010-0000-0000-000010000000}" name="kelly/4 99" dataDxfId="2" dataCellStyle="Percent">
      <calculatedColumnFormula>(Table1[[#This Row],[poisson_likelihood]] - (1-Table1[[#This Row],[poisson_likelihood]])/(1/Table1[[#This Row],[99/pinn implied]]-1))/4</calculatedColumnFormula>
    </tableColumn>
    <tableColumn id="17" xr3:uid="{00000000-0010-0000-0000-000011000000}" name="bet99/pinn" dataDxfId="1" dataCellStyle="Percent">
      <calculatedColumnFormula>Table1[[#This Row],[kelly/4 99]]*$W$2*$U$2</calculatedColumnFormula>
    </tableColumn>
    <tableColumn id="18" xr3:uid="{00000000-0010-0000-0000-000012000000}" name="W/L:" dataDxfId="0" dataCellStyle="Percent"/>
    <tableColumn id="19" xr3:uid="{00000000-0010-0000-0000-000013000000}" name="del$" dataCellStyle="Currency">
      <calculatedColumnFormula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workbookViewId="0">
      <selection activeCell="A3" sqref="A3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style="2" customWidth="1"/>
    <col min="7" max="7" width="18.33203125" style="2" customWidth="1"/>
    <col min="8" max="8" width="18.6640625" style="2" customWidth="1"/>
    <col min="9" max="9" width="20.33203125" style="2" customWidth="1"/>
    <col min="10" max="10" width="20.1640625" style="2" customWidth="1"/>
    <col min="11" max="11" width="14.6640625" style="2" customWidth="1"/>
    <col min="19" max="19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112</v>
      </c>
      <c r="M1" s="2" t="s">
        <v>113</v>
      </c>
      <c r="N1" s="3" t="s">
        <v>114</v>
      </c>
      <c r="O1" s="2" t="s">
        <v>115</v>
      </c>
      <c r="P1" s="2" t="s">
        <v>116</v>
      </c>
      <c r="Q1" s="3" t="s">
        <v>117</v>
      </c>
      <c r="R1" s="4" t="s">
        <v>118</v>
      </c>
      <c r="S1" s="3" t="s">
        <v>119</v>
      </c>
      <c r="U1" t="s">
        <v>120</v>
      </c>
      <c r="V1" s="5">
        <f>SUM(K2:K44)</f>
        <v>1.244970264441587</v>
      </c>
      <c r="W1" t="s">
        <v>123</v>
      </c>
      <c r="X1" t="s">
        <v>121</v>
      </c>
      <c r="Y1" s="6">
        <f>SUM(Q2,N3,Q4,N5:N6,Q7:Q11,N12:N17,N19,N21,Q18,Q20,Q23,N24,Q25:Q26,N27,N29:N30,Q31:Q32,N33,Q34:Q42,N43,N47,Q49,N50)</f>
        <v>2090.3095343879154</v>
      </c>
    </row>
    <row r="2" spans="1:25" x14ac:dyDescent="0.2">
      <c r="A2">
        <v>6767</v>
      </c>
      <c r="B2" t="s">
        <v>23</v>
      </c>
      <c r="C2" s="1">
        <v>45615</v>
      </c>
      <c r="D2" t="s">
        <v>12</v>
      </c>
      <c r="E2">
        <v>1.5</v>
      </c>
      <c r="F2" s="2">
        <v>0.64516129032257996</v>
      </c>
      <c r="G2" s="2">
        <v>0.73310502557672297</v>
      </c>
      <c r="H2" s="2">
        <v>0.74066534902485803</v>
      </c>
      <c r="I2" s="2">
        <v>0.74418604651162701</v>
      </c>
      <c r="J2" s="2">
        <v>0.71768707482993199</v>
      </c>
      <c r="K2" s="2">
        <v>6.7286950449331903E-2</v>
      </c>
      <c r="L2" s="2">
        <f t="shared" ref="L2" si="0">1/1.52</f>
        <v>0.65789473684210531</v>
      </c>
      <c r="M2" s="2">
        <f>(Table1[[#This Row],[poisson_likelihood]] - (1-Table1[[#This Row],[poisson_likelihood]])/(1/Table1[[#This Row],[365 implied]]-1))/4</f>
        <v>6.0486216595088516E-2</v>
      </c>
      <c r="N2" s="7">
        <f>Table1[[#This Row],[kelly/4 365]]*$W$2*$U$2</f>
        <v>108.87518987115934</v>
      </c>
      <c r="O2" s="2">
        <f t="shared" ref="O2" si="1">1/1.57</f>
        <v>0.63694267515923564</v>
      </c>
      <c r="P2" s="2">
        <f>(Table1[[#This Row],[poisson_likelihood]] - (1-Table1[[#This Row],[poisson_likelihood]])/(1/Table1[[#This Row],[99/pinn implied]]-1))/4</f>
        <v>7.1423069284661023E-2</v>
      </c>
      <c r="Q2" s="8">
        <f>Table1[[#This Row],[kelly/4 99]]*$W$2*$U$2</f>
        <v>128.56152471238985</v>
      </c>
      <c r="R2" s="2" t="s">
        <v>125</v>
      </c>
      <c r="S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73.280069086062213</v>
      </c>
      <c r="U2" s="3">
        <v>2250</v>
      </c>
      <c r="W2">
        <v>0.8</v>
      </c>
    </row>
    <row r="3" spans="1:25" x14ac:dyDescent="0.2">
      <c r="A3">
        <v>6793</v>
      </c>
      <c r="B3" t="s">
        <v>36</v>
      </c>
      <c r="C3" s="1">
        <v>45615</v>
      </c>
      <c r="D3" t="s">
        <v>12</v>
      </c>
      <c r="E3">
        <v>2.5</v>
      </c>
      <c r="F3" s="2">
        <v>0.60606060606060597</v>
      </c>
      <c r="G3" s="2">
        <v>0.71340642697746703</v>
      </c>
      <c r="H3" s="2">
        <v>0.71127289207946298</v>
      </c>
      <c r="I3" s="2">
        <v>0.57763975155279501</v>
      </c>
      <c r="J3" s="2">
        <v>0.58148148148148104</v>
      </c>
      <c r="K3" s="2">
        <v>6.6769335358121004E-2</v>
      </c>
      <c r="L3" s="2">
        <f>1/1.62</f>
        <v>0.61728395061728392</v>
      </c>
      <c r="M3" s="2">
        <f>(Table1[[#This Row],[poisson_likelihood]] - (1-Table1[[#This Row],[poisson_likelihood]])/(1/Table1[[#This Row],[365 implied]]-1))/4</f>
        <v>6.139600208416536E-2</v>
      </c>
      <c r="N3" s="8">
        <f>Table1[[#This Row],[kelly/4 365]]*$W$2*$U$2</f>
        <v>110.51280375149764</v>
      </c>
      <c r="O3" s="2">
        <f>Table1[[#This Row],[365 implied]]</f>
        <v>0.61728395061728392</v>
      </c>
      <c r="P3" s="2">
        <f>(Table1[[#This Row],[poisson_likelihood]] - (1-Table1[[#This Row],[poisson_likelihood]])/(1/Table1[[#This Row],[99/pinn implied]]-1))/4</f>
        <v>6.139600208416536E-2</v>
      </c>
      <c r="Q3" s="7">
        <f>Table1[[#This Row],[kelly/4 99]]*$W$2*$U$2</f>
        <v>110.51280375149764</v>
      </c>
      <c r="R3" s="2" t="s">
        <v>126</v>
      </c>
      <c r="S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-110.51280375149764</v>
      </c>
    </row>
    <row r="4" spans="1:25" x14ac:dyDescent="0.2">
      <c r="A4">
        <v>6827</v>
      </c>
      <c r="B4" t="s">
        <v>53</v>
      </c>
      <c r="C4" s="1">
        <v>45615</v>
      </c>
      <c r="D4" t="s">
        <v>12</v>
      </c>
      <c r="E4">
        <v>2.5</v>
      </c>
      <c r="F4" s="2">
        <v>0.58479532163742598</v>
      </c>
      <c r="G4" s="2">
        <v>0.68711181623050399</v>
      </c>
      <c r="H4" s="2">
        <v>0.69234721862443005</v>
      </c>
      <c r="I4" s="2">
        <v>0.67441860465116199</v>
      </c>
      <c r="J4" s="2">
        <v>0.62847222222222199</v>
      </c>
      <c r="K4" s="2">
        <v>6.4758360509780497E-2</v>
      </c>
      <c r="L4" s="2">
        <f>1/1.68</f>
        <v>0.59523809523809523</v>
      </c>
      <c r="M4" s="2">
        <f>(Table1[[#This Row],[poisson_likelihood]] - (1-Table1[[#This Row],[poisson_likelihood]])/(1/Table1[[#This Row],[365 implied]]-1))/4</f>
        <v>5.9979164444500896E-2</v>
      </c>
      <c r="N4" s="7">
        <f>Table1[[#This Row],[kelly/4 365]]*$W$2*$U$2</f>
        <v>107.96249600010162</v>
      </c>
      <c r="O4" s="2">
        <f>1/1.72</f>
        <v>0.58139534883720934</v>
      </c>
      <c r="P4" s="2">
        <f>(Table1[[#This Row],[poisson_likelihood]] - (1-Table1[[#This Row],[poisson_likelihood]])/(1/Table1[[#This Row],[99/pinn implied]]-1))/4</f>
        <v>6.6262922234034613E-2</v>
      </c>
      <c r="Q4" s="8">
        <f>Table1[[#This Row],[kelly/4 99]]*$W$2*$U$2</f>
        <v>119.2732600212623</v>
      </c>
      <c r="R4" s="2" t="s">
        <v>125</v>
      </c>
      <c r="S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85.876747215308853</v>
      </c>
      <c r="U4" t="s">
        <v>122</v>
      </c>
      <c r="V4" s="6">
        <f>SUM(S:S)</f>
        <v>-29.692231664293452</v>
      </c>
    </row>
    <row r="5" spans="1:25" x14ac:dyDescent="0.2">
      <c r="A5">
        <v>6770</v>
      </c>
      <c r="B5" t="s">
        <v>24</v>
      </c>
      <c r="C5" s="1">
        <v>45615</v>
      </c>
      <c r="D5" t="s">
        <v>13</v>
      </c>
      <c r="E5">
        <v>2.5</v>
      </c>
      <c r="F5" s="2">
        <v>0.46296296296296202</v>
      </c>
      <c r="G5" s="2">
        <v>0.545485232274035</v>
      </c>
      <c r="H5" s="2">
        <v>0.596229318458945</v>
      </c>
      <c r="I5" s="2">
        <v>0.58791208791208704</v>
      </c>
      <c r="J5" s="2">
        <v>0.55305466237942102</v>
      </c>
      <c r="K5" s="2">
        <v>6.2037786179164098E-2</v>
      </c>
      <c r="L5" s="2">
        <f>1/2.2</f>
        <v>0.45454545454545453</v>
      </c>
      <c r="M5" s="2">
        <f>(Table1[[#This Row],[poisson_likelihood]] - (1-Table1[[#This Row],[poisson_likelihood]])/(1/Table1[[#This Row],[365 implied]]-1))/4</f>
        <v>6.4938437627016468E-2</v>
      </c>
      <c r="N5" s="8">
        <f>Table1[[#This Row],[kelly/4 365]]*$W$2*$U$2</f>
        <v>116.88918772862965</v>
      </c>
      <c r="O5" s="2">
        <f>1/2.1</f>
        <v>0.47619047619047616</v>
      </c>
      <c r="P5" s="2">
        <f>(Table1[[#This Row],[poisson_likelihood]] - (1-Table1[[#This Row],[poisson_likelihood]])/(1/Table1[[#This Row],[99/pinn implied]]-1))/4</f>
        <v>5.7291265628132845E-2</v>
      </c>
      <c r="Q5" s="7">
        <f>Table1[[#This Row],[kelly/4 99]]*$W$2*$U$2</f>
        <v>103.12427813063913</v>
      </c>
      <c r="R5" s="2" t="s">
        <v>125</v>
      </c>
      <c r="S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140.26702527435557</v>
      </c>
    </row>
    <row r="6" spans="1:25" x14ac:dyDescent="0.2">
      <c r="A6">
        <v>6862</v>
      </c>
      <c r="B6" t="s">
        <v>70</v>
      </c>
      <c r="C6" s="1">
        <v>45615</v>
      </c>
      <c r="D6" t="s">
        <v>13</v>
      </c>
      <c r="E6">
        <v>1.5</v>
      </c>
      <c r="F6" s="2">
        <v>0.44052863436123302</v>
      </c>
      <c r="G6" s="2">
        <v>0.50036426993336103</v>
      </c>
      <c r="H6" s="2">
        <v>0.55826460353245499</v>
      </c>
      <c r="I6" s="2">
        <v>0.67592592592592504</v>
      </c>
      <c r="J6" s="2">
        <v>0.60309278350515405</v>
      </c>
      <c r="K6" s="2">
        <v>5.2610364176904401E-2</v>
      </c>
      <c r="L6" s="2">
        <f>1/2.3</f>
        <v>0.43478260869565222</v>
      </c>
      <c r="M6" s="2">
        <f>(Table1[[#This Row],[poisson_likelihood]] - (1-Table1[[#This Row],[poisson_likelihood]])/(1/Table1[[#This Row],[365 implied]]-1))/4</f>
        <v>5.4617036177816616E-2</v>
      </c>
      <c r="N6" s="8">
        <f>Table1[[#This Row],[kelly/4 365]]*$W$2*$U$2</f>
        <v>98.310665120069913</v>
      </c>
      <c r="O6" s="2">
        <f>1/2.25</f>
        <v>0.44444444444444442</v>
      </c>
      <c r="P6" s="2">
        <f>(Table1[[#This Row],[poisson_likelihood]] - (1-Table1[[#This Row],[poisson_likelihood]])/(1/Table1[[#This Row],[99/pinn implied]]-1))/4</f>
        <v>5.1219071589604745E-2</v>
      </c>
      <c r="Q6" s="7">
        <f>Table1[[#This Row],[kelly/4 99]]*$W$2*$U$2</f>
        <v>92.194328861288554</v>
      </c>
      <c r="R6" s="2" t="s">
        <v>125</v>
      </c>
      <c r="S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127.80386465609088</v>
      </c>
    </row>
    <row r="7" spans="1:25" x14ac:dyDescent="0.2">
      <c r="A7">
        <v>6935</v>
      </c>
      <c r="B7" t="s">
        <v>107</v>
      </c>
      <c r="C7" s="1">
        <v>45615</v>
      </c>
      <c r="D7" t="s">
        <v>12</v>
      </c>
      <c r="E7">
        <v>1.5</v>
      </c>
      <c r="F7" s="2">
        <v>0.64516129032257996</v>
      </c>
      <c r="G7" s="2">
        <v>0.74308505515079104</v>
      </c>
      <c r="H7" s="2">
        <v>0.71963577270711099</v>
      </c>
      <c r="I7" s="2">
        <v>0.72049689440993703</v>
      </c>
      <c r="J7" s="2">
        <v>0.68421052631578905</v>
      </c>
      <c r="K7" s="2">
        <v>5.2470658043646999E-2</v>
      </c>
      <c r="L7" s="2">
        <f>1/1.52</f>
        <v>0.65789473684210531</v>
      </c>
      <c r="M7" s="2">
        <f>(Table1[[#This Row],[poisson_likelihood]] - (1-Table1[[#This Row],[poisson_likelihood]])/(1/Table1[[#This Row],[365 implied]]-1))/4</f>
        <v>4.5118449285965673E-2</v>
      </c>
      <c r="N7" s="7">
        <f>Table1[[#This Row],[kelly/4 365]]*$W$2*$U$2</f>
        <v>81.213208714738215</v>
      </c>
      <c r="O7" s="2">
        <f>1/1.55</f>
        <v>0.64516129032258063</v>
      </c>
      <c r="P7" s="2">
        <f>(Table1[[#This Row],[poisson_likelihood]] - (1-Table1[[#This Row],[poisson_likelihood]])/(1/Table1[[#This Row],[99/pinn implied]]-1))/4</f>
        <v>5.2470658043646395E-2</v>
      </c>
      <c r="Q7" s="8">
        <f>Table1[[#This Row],[kelly/4 99]]*$W$2*$U$2</f>
        <v>94.447184478563514</v>
      </c>
      <c r="R7" s="2" t="s">
        <v>125</v>
      </c>
      <c r="S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51.945951463209923</v>
      </c>
    </row>
    <row r="8" spans="1:25" x14ac:dyDescent="0.2">
      <c r="A8">
        <v>6829</v>
      </c>
      <c r="B8" t="s">
        <v>54</v>
      </c>
      <c r="C8" s="1">
        <v>45615</v>
      </c>
      <c r="D8" t="s">
        <v>12</v>
      </c>
      <c r="E8">
        <v>1.5</v>
      </c>
      <c r="F8" s="2">
        <v>0.53763440860214995</v>
      </c>
      <c r="G8" s="2">
        <v>0.64723577603176996</v>
      </c>
      <c r="H8" s="2">
        <v>0.63017781883936097</v>
      </c>
      <c r="I8" s="2">
        <v>0.64285714285714202</v>
      </c>
      <c r="J8" s="2">
        <v>0.57383966244725704</v>
      </c>
      <c r="K8" s="2">
        <v>5.0038006698026799E-2</v>
      </c>
      <c r="L8" s="2">
        <f>1/1.83</f>
        <v>0.54644808743169393</v>
      </c>
      <c r="M8" s="2">
        <f>(Table1[[#This Row],[poisson_likelihood]] - (1-Table1[[#This Row],[poisson_likelihood]])/(1/Table1[[#This Row],[365 implied]]-1))/4</f>
        <v>4.6152231468683941E-2</v>
      </c>
      <c r="N8" s="7">
        <f>Table1[[#This Row],[kelly/4 365]]*$W$2*$U$2</f>
        <v>83.074016643631097</v>
      </c>
      <c r="O8" s="2">
        <f>1/1.87</f>
        <v>0.53475935828876997</v>
      </c>
      <c r="P8" s="2">
        <f>(Table1[[#This Row],[poisson_likelihood]] - (1-Table1[[#This Row],[poisson_likelihood]])/(1/Table1[[#This Row],[99/pinn implied]]-1))/4</f>
        <v>5.1273712997012971E-2</v>
      </c>
      <c r="Q8" s="8">
        <f>Table1[[#This Row],[kelly/4 99]]*$W$2*$U$2</f>
        <v>92.292683394623353</v>
      </c>
      <c r="R8" s="2" t="s">
        <v>126</v>
      </c>
      <c r="S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-92.292683394623353</v>
      </c>
    </row>
    <row r="9" spans="1:25" x14ac:dyDescent="0.2">
      <c r="A9">
        <v>6892</v>
      </c>
      <c r="B9" t="s">
        <v>85</v>
      </c>
      <c r="C9" s="1">
        <v>45615</v>
      </c>
      <c r="D9" t="s">
        <v>13</v>
      </c>
      <c r="E9">
        <v>2.5</v>
      </c>
      <c r="F9" s="2">
        <v>0.54644808743169304</v>
      </c>
      <c r="G9" s="2">
        <v>0.58103213552389898</v>
      </c>
      <c r="H9" s="2">
        <v>0.62614669501662901</v>
      </c>
      <c r="I9" s="2">
        <v>0.66071428571428503</v>
      </c>
      <c r="J9" s="2">
        <v>0.620567375886524</v>
      </c>
      <c r="K9" s="2">
        <v>4.3930256590491601E-2</v>
      </c>
      <c r="L9" s="2">
        <f>1/1.83</f>
        <v>0.54644808743169393</v>
      </c>
      <c r="M9" s="2">
        <f>(Table1[[#This Row],[poisson_likelihood]] - (1-Table1[[#This Row],[poisson_likelihood]])/(1/Table1[[#This Row],[365 implied]]-1))/4</f>
        <v>4.3930256590491323E-2</v>
      </c>
      <c r="N9" s="7">
        <f>Table1[[#This Row],[kelly/4 365]]*$W$2*$U$2</f>
        <v>79.074461862884377</v>
      </c>
      <c r="O9" s="2">
        <f>1/1.87</f>
        <v>0.53475935828876997</v>
      </c>
      <c r="P9" s="2">
        <f>(Table1[[#This Row],[poisson_likelihood]] - (1-Table1[[#This Row],[poisson_likelihood]])/(1/Table1[[#This Row],[99/pinn implied]]-1))/4</f>
        <v>4.9107563126751838E-2</v>
      </c>
      <c r="Q9" s="8">
        <f>Table1[[#This Row],[kelly/4 99]]*$W$2*$U$2</f>
        <v>88.393613628153318</v>
      </c>
      <c r="R9" s="10" t="s">
        <v>125</v>
      </c>
      <c r="S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76.902443856493406</v>
      </c>
    </row>
    <row r="10" spans="1:25" x14ac:dyDescent="0.2">
      <c r="A10">
        <v>6821</v>
      </c>
      <c r="B10" t="s">
        <v>50</v>
      </c>
      <c r="C10" s="1">
        <v>45615</v>
      </c>
      <c r="D10" t="s">
        <v>12</v>
      </c>
      <c r="E10">
        <v>1.5</v>
      </c>
      <c r="F10" s="2">
        <v>0.60606060606060597</v>
      </c>
      <c r="G10" s="2">
        <v>0.68960750814516802</v>
      </c>
      <c r="H10" s="2">
        <v>0.67033814606339703</v>
      </c>
      <c r="I10" s="2">
        <v>0.65269461077844304</v>
      </c>
      <c r="J10" s="2">
        <v>0.63481228668941903</v>
      </c>
      <c r="K10" s="2">
        <v>4.0791515771001902E-2</v>
      </c>
      <c r="L10" s="2">
        <f>1/1.64</f>
        <v>0.6097560975609756</v>
      </c>
      <c r="M10" s="2">
        <f>(Table1[[#This Row],[poisson_likelihood]] - (1-Table1[[#This Row],[poisson_likelihood]])/(1/Table1[[#This Row],[365 implied]]-1))/4</f>
        <v>3.8810374821863752E-2</v>
      </c>
      <c r="N10" s="7">
        <f>Table1[[#This Row],[kelly/4 365]]*$W$2*$U$2</f>
        <v>69.858674679354763</v>
      </c>
      <c r="O10" s="2">
        <f>1/1.65</f>
        <v>0.60606060606060608</v>
      </c>
      <c r="P10" s="2">
        <f>(Table1[[#This Row],[poisson_likelihood]] - (1-Table1[[#This Row],[poisson_likelihood]])/(1/Table1[[#This Row],[99/pinn implied]]-1))/4</f>
        <v>4.0791515771001957E-2</v>
      </c>
      <c r="Q10" s="8">
        <f>Table1[[#This Row],[kelly/4 99]]*$W$2*$U$2</f>
        <v>73.424728387803526</v>
      </c>
      <c r="R10" s="2" t="s">
        <v>126</v>
      </c>
      <c r="S1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-73.424728387803526</v>
      </c>
    </row>
    <row r="11" spans="1:25" x14ac:dyDescent="0.2">
      <c r="A11">
        <v>6938</v>
      </c>
      <c r="B11" t="s">
        <v>108</v>
      </c>
      <c r="C11" s="1">
        <v>45615</v>
      </c>
      <c r="D11" t="s">
        <v>13</v>
      </c>
      <c r="E11">
        <v>2.5</v>
      </c>
      <c r="F11" s="2">
        <v>0.59171597633136097</v>
      </c>
      <c r="G11" s="2">
        <v>0.60526801820529497</v>
      </c>
      <c r="H11" s="2">
        <v>0.65065084568310905</v>
      </c>
      <c r="I11" s="2">
        <v>0.61452513966480404</v>
      </c>
      <c r="J11" s="2">
        <v>0.58745874587458702</v>
      </c>
      <c r="K11" s="2">
        <v>3.6086930871179299E-2</v>
      </c>
      <c r="L11" s="2">
        <f>1/1.62</f>
        <v>0.61728395061728392</v>
      </c>
      <c r="M11" s="2">
        <f>(Table1[[#This Row],[poisson_likelihood]] - (1-Table1[[#This Row],[poisson_likelihood]])/(1/Table1[[#This Row],[365 implied]]-1))/4</f>
        <v>2.1796116938159971E-2</v>
      </c>
      <c r="N11" s="7">
        <f>Table1[[#This Row],[kelly/4 365]]*$W$2*$U$2</f>
        <v>39.233010488687945</v>
      </c>
      <c r="O11" s="2">
        <f>1/1.63</f>
        <v>0.61349693251533743</v>
      </c>
      <c r="P11" s="2">
        <f>(Table1[[#This Row],[poisson_likelihood]] - (1-Table1[[#This Row],[poisson_likelihood]])/(1/Table1[[#This Row],[99/pinn implied]]-1))/4</f>
        <v>2.4032094628360201E-2</v>
      </c>
      <c r="Q11" s="8">
        <f>Table1[[#This Row],[kelly/4 99]]*$W$2*$U$2</f>
        <v>43.257770331048363</v>
      </c>
      <c r="R11" s="2" t="s">
        <v>126</v>
      </c>
      <c r="S1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-43.257770331048363</v>
      </c>
    </row>
    <row r="12" spans="1:25" x14ac:dyDescent="0.2">
      <c r="A12">
        <v>6815</v>
      </c>
      <c r="B12" t="s">
        <v>47</v>
      </c>
      <c r="C12" s="1">
        <v>45615</v>
      </c>
      <c r="D12" t="s">
        <v>12</v>
      </c>
      <c r="E12">
        <v>2.5</v>
      </c>
      <c r="F12" s="2">
        <v>0.44247787610619399</v>
      </c>
      <c r="G12" s="2">
        <v>0.56419534746818301</v>
      </c>
      <c r="H12" s="2">
        <v>0.52192204537396303</v>
      </c>
      <c r="I12" s="2">
        <v>0.55704697986577101</v>
      </c>
      <c r="J12" s="2">
        <v>0.545801526717557</v>
      </c>
      <c r="K12" s="2">
        <v>3.5623774314515098E-2</v>
      </c>
      <c r="L12" s="2">
        <f>1/2.3</f>
        <v>0.43478260869565222</v>
      </c>
      <c r="M12" s="2">
        <f>(Table1[[#This Row],[poisson_likelihood]] - (1-Table1[[#This Row],[poisson_likelihood]])/(1/Table1[[#This Row],[365 implied]]-1))/4</f>
        <v>3.8542443146175942E-2</v>
      </c>
      <c r="N12" s="8">
        <f>Table1[[#This Row],[kelly/4 365]]*$W$2*$U$2</f>
        <v>69.376397663116691</v>
      </c>
      <c r="O12" s="2">
        <f>1/2.2</f>
        <v>0.45454545454545453</v>
      </c>
      <c r="P12" s="2">
        <f>(Table1[[#This Row],[poisson_likelihood]] - (1-Table1[[#This Row],[poisson_likelihood]])/(1/Table1[[#This Row],[99/pinn implied]]-1))/4</f>
        <v>3.0880937463066402E-2</v>
      </c>
      <c r="Q12" s="7">
        <f>Table1[[#This Row],[kelly/4 99]]*$W$2*$U$2</f>
        <v>55.585687433519524</v>
      </c>
      <c r="R12" s="2" t="s">
        <v>126</v>
      </c>
      <c r="S1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-69.376397663116691</v>
      </c>
    </row>
    <row r="13" spans="1:25" x14ac:dyDescent="0.2">
      <c r="A13">
        <v>6868</v>
      </c>
      <c r="B13" t="s">
        <v>73</v>
      </c>
      <c r="C13" s="1">
        <v>45615</v>
      </c>
      <c r="D13" t="s">
        <v>13</v>
      </c>
      <c r="E13">
        <v>2.5</v>
      </c>
      <c r="F13" s="2">
        <v>0.476190476190476</v>
      </c>
      <c r="G13" s="2">
        <v>0.50681018394188304</v>
      </c>
      <c r="H13" s="2">
        <v>0.55061864957426399</v>
      </c>
      <c r="I13" s="2">
        <v>0.67878787878787805</v>
      </c>
      <c r="J13" s="2">
        <v>0.628070175438596</v>
      </c>
      <c r="K13" s="2">
        <v>3.5522537296807898E-2</v>
      </c>
      <c r="L13" s="2">
        <f>1/2.1</f>
        <v>0.47619047619047616</v>
      </c>
      <c r="M13" s="2">
        <f>(Table1[[#This Row],[poisson_likelihood]] - (1-Table1[[#This Row],[poisson_likelihood]])/(1/Table1[[#This Row],[365 implied]]-1))/4</f>
        <v>3.5522537296807821E-2</v>
      </c>
      <c r="N13" s="8">
        <f>Table1[[#This Row],[kelly/4 365]]*$W$2*$U$2</f>
        <v>63.940567134254081</v>
      </c>
      <c r="O13" s="2">
        <f>Table1[[#This Row],[365 implied]]</f>
        <v>0.47619047619047616</v>
      </c>
      <c r="P13" s="2">
        <f>(Table1[[#This Row],[poisson_likelihood]] - (1-Table1[[#This Row],[poisson_likelihood]])/(1/Table1[[#This Row],[99/pinn implied]]-1))/4</f>
        <v>3.5522537296807821E-2</v>
      </c>
      <c r="Q13" s="7">
        <f>Table1[[#This Row],[kelly/4 99]]*$W$2*$U$2</f>
        <v>63.940567134254081</v>
      </c>
      <c r="R13" s="2" t="s">
        <v>126</v>
      </c>
      <c r="S1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-63.940567134254081</v>
      </c>
    </row>
    <row r="14" spans="1:25" x14ac:dyDescent="0.2">
      <c r="A14">
        <v>6934</v>
      </c>
      <c r="B14" t="s">
        <v>106</v>
      </c>
      <c r="C14" s="1">
        <v>45615</v>
      </c>
      <c r="D14" t="s">
        <v>13</v>
      </c>
      <c r="E14">
        <v>2.5</v>
      </c>
      <c r="F14" s="2">
        <v>0.49019607843137197</v>
      </c>
      <c r="G14" s="2">
        <v>0.51621874542974899</v>
      </c>
      <c r="H14" s="2">
        <v>0.56086984730013201</v>
      </c>
      <c r="I14" s="2">
        <v>0.53333333333333299</v>
      </c>
      <c r="J14" s="2">
        <v>0.53618421052631504</v>
      </c>
      <c r="K14" s="2">
        <v>3.46573289644879E-2</v>
      </c>
      <c r="L14" s="2">
        <f>1/1.9</f>
        <v>0.52631578947368418</v>
      </c>
      <c r="M14" s="2">
        <f>(Table1[[#This Row],[poisson_likelihood]] - (1-Table1[[#This Row],[poisson_likelihood]])/(1/Table1[[#This Row],[365 implied]]-1))/4</f>
        <v>1.8236863852847465E-2</v>
      </c>
      <c r="N14" s="8">
        <f>Table1[[#This Row],[kelly/4 365]]*$W$2*$U$2</f>
        <v>32.826354935125437</v>
      </c>
      <c r="O14" s="2">
        <f>Table1[[#This Row],[365 implied]]</f>
        <v>0.52631578947368418</v>
      </c>
      <c r="P14" s="2">
        <f>(Table1[[#This Row],[poisson_likelihood]] - (1-Table1[[#This Row],[poisson_likelihood]])/(1/Table1[[#This Row],[99/pinn implied]]-1))/4</f>
        <v>1.8236863852847465E-2</v>
      </c>
      <c r="Q14" s="7">
        <f>Table1[[#This Row],[kelly/4 99]]*$W$2*$U$2</f>
        <v>32.826354935125437</v>
      </c>
      <c r="R14" s="2" t="s">
        <v>126</v>
      </c>
      <c r="S1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-32.826354935125437</v>
      </c>
    </row>
    <row r="15" spans="1:25" x14ac:dyDescent="0.2">
      <c r="A15">
        <v>6774</v>
      </c>
      <c r="B15" t="s">
        <v>26</v>
      </c>
      <c r="C15" s="1">
        <v>45615</v>
      </c>
      <c r="D15" t="s">
        <v>13</v>
      </c>
      <c r="E15">
        <v>1.5</v>
      </c>
      <c r="F15" s="2">
        <v>0.42372881355932202</v>
      </c>
      <c r="G15" s="2">
        <v>0.45368426852228899</v>
      </c>
      <c r="H15" s="2">
        <v>0.50089748005254098</v>
      </c>
      <c r="I15" s="2">
        <v>0.50289017341040398</v>
      </c>
      <c r="J15" s="2">
        <v>0.47297297297297197</v>
      </c>
      <c r="K15" s="2">
        <v>3.3477583258087598E-2</v>
      </c>
      <c r="L15" s="2">
        <f>1/2.4</f>
        <v>0.41666666666666669</v>
      </c>
      <c r="M15" s="2">
        <f>(Table1[[#This Row],[poisson_likelihood]] - (1-Table1[[#This Row],[poisson_likelihood]])/(1/Table1[[#This Row],[365 implied]]-1))/4</f>
        <v>3.609892002251755E-2</v>
      </c>
      <c r="N15" s="8">
        <f>Table1[[#This Row],[kelly/4 365]]*$W$2*$U$2</f>
        <v>64.978056040531598</v>
      </c>
      <c r="O15" s="2">
        <f>1/2.35</f>
        <v>0.42553191489361702</v>
      </c>
      <c r="P15" s="2">
        <f>(Table1[[#This Row],[poisson_likelihood]] - (1-Table1[[#This Row],[poisson_likelihood]])/(1/Table1[[#This Row],[99/pinn implied]]-1))/4</f>
        <v>3.2797977430272462E-2</v>
      </c>
      <c r="Q15" s="7">
        <f>Table1[[#This Row],[kelly/4 99]]*$W$2*$U$2</f>
        <v>59.036359374490438</v>
      </c>
      <c r="R15" s="2" t="s">
        <v>126</v>
      </c>
      <c r="S1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-64.978056040531598</v>
      </c>
    </row>
    <row r="16" spans="1:25" x14ac:dyDescent="0.2">
      <c r="A16">
        <v>6800</v>
      </c>
      <c r="B16" t="s">
        <v>39</v>
      </c>
      <c r="C16" s="1">
        <v>45615</v>
      </c>
      <c r="D16" t="s">
        <v>13</v>
      </c>
      <c r="E16">
        <v>1.5</v>
      </c>
      <c r="F16" s="2">
        <v>0.48780487804877998</v>
      </c>
      <c r="G16" s="2">
        <v>0.49617825746732303</v>
      </c>
      <c r="H16" s="2">
        <v>0.55392966145356703</v>
      </c>
      <c r="I16" s="2">
        <v>0.5</v>
      </c>
      <c r="J16" s="2">
        <v>0.5</v>
      </c>
      <c r="K16" s="2">
        <v>3.2275191899955702E-2</v>
      </c>
      <c r="L16" s="2">
        <f>1/2.05</f>
        <v>0.48780487804878053</v>
      </c>
      <c r="M16" s="2">
        <f>(Table1[[#This Row],[poisson_likelihood]] - (1-Table1[[#This Row],[poisson_likelihood]])/(1/Table1[[#This Row],[365 implied]]-1))/4</f>
        <v>3.2275191899955327E-2</v>
      </c>
      <c r="N16" s="8">
        <f>Table1[[#This Row],[kelly/4 365]]*$W$2*$U$2</f>
        <v>58.095345419919596</v>
      </c>
      <c r="O16" s="2">
        <f>Table1[[#This Row],[365 implied]]</f>
        <v>0.48780487804878053</v>
      </c>
      <c r="P16" s="2">
        <f>(Table1[[#This Row],[poisson_likelihood]] - (1-Table1[[#This Row],[poisson_likelihood]])/(1/Table1[[#This Row],[99/pinn implied]]-1))/4</f>
        <v>3.2275191899955327E-2</v>
      </c>
      <c r="Q16" s="7">
        <f>Table1[[#This Row],[kelly/4 99]]*$W$2*$U$2</f>
        <v>58.095345419919596</v>
      </c>
      <c r="R16" s="2" t="s">
        <v>126</v>
      </c>
      <c r="S1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-58.095345419919596</v>
      </c>
    </row>
    <row r="17" spans="1:19" x14ac:dyDescent="0.2">
      <c r="A17">
        <v>6932</v>
      </c>
      <c r="B17" t="s">
        <v>105</v>
      </c>
      <c r="C17" s="1">
        <v>45615</v>
      </c>
      <c r="D17" t="s">
        <v>13</v>
      </c>
      <c r="E17">
        <v>3.5</v>
      </c>
      <c r="F17" s="2">
        <v>0.56179775280898803</v>
      </c>
      <c r="G17" s="2">
        <v>0.57230249544777301</v>
      </c>
      <c r="H17" s="2">
        <v>0.61758771868069096</v>
      </c>
      <c r="I17" s="2">
        <v>0.61111111111111105</v>
      </c>
      <c r="J17" s="2">
        <v>0.56907894736842102</v>
      </c>
      <c r="K17" s="2">
        <v>3.1828890785779197E-2</v>
      </c>
      <c r="L17" s="2">
        <f>1/1.71</f>
        <v>0.58479532163742687</v>
      </c>
      <c r="M17" s="2">
        <f>(Table1[[#This Row],[poisson_likelihood]] - (1-Table1[[#This Row],[poisson_likelihood]])/(1/Table1[[#This Row],[365 implied]]-1))/4</f>
        <v>1.9744717938021711E-2</v>
      </c>
      <c r="N17" s="8">
        <f>Table1[[#This Row],[kelly/4 365]]*$W$2*$U$2</f>
        <v>35.540492288439083</v>
      </c>
      <c r="O17" s="2">
        <f>1/1.69</f>
        <v>0.59171597633136097</v>
      </c>
      <c r="P17" s="2">
        <f>(Table1[[#This Row],[poisson_likelihood]] - (1-Table1[[#This Row],[poisson_likelihood]])/(1/Table1[[#This Row],[99/pinn implied]]-1))/4</f>
        <v>1.5841755279118713E-2</v>
      </c>
      <c r="Q17" s="7">
        <f>Table1[[#This Row],[kelly/4 99]]*$W$2*$U$2</f>
        <v>28.515159502413688</v>
      </c>
      <c r="R17" s="2" t="s">
        <v>125</v>
      </c>
      <c r="S1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25.233749524791754</v>
      </c>
    </row>
    <row r="18" spans="1:19" x14ac:dyDescent="0.2">
      <c r="A18">
        <v>6791</v>
      </c>
      <c r="B18" t="s">
        <v>35</v>
      </c>
      <c r="C18" s="1">
        <v>45615</v>
      </c>
      <c r="D18" t="s">
        <v>12</v>
      </c>
      <c r="E18">
        <v>3.5</v>
      </c>
      <c r="F18" s="2">
        <v>0.52910052910052896</v>
      </c>
      <c r="G18" s="2">
        <v>0.61841675089419001</v>
      </c>
      <c r="H18" s="2">
        <v>0.58692158711418796</v>
      </c>
      <c r="I18" s="2">
        <v>0.486033519553072</v>
      </c>
      <c r="J18" s="2">
        <v>0.50331125827814505</v>
      </c>
      <c r="K18" s="2">
        <v>3.06971347319707E-2</v>
      </c>
      <c r="L18" s="2">
        <f>1/1.86</f>
        <v>0.5376344086021505</v>
      </c>
      <c r="M18" s="2">
        <f>(Table1[[#This Row],[poisson_likelihood]] - (1-Table1[[#This Row],[poisson_likelihood]])/(1/Table1[[#This Row],[365 implied]]-1))/4</f>
        <v>2.6649462800113266E-2</v>
      </c>
      <c r="N18" s="9">
        <f>Table1[[#This Row],[kelly/4 365]]*$W$2*$U$2</f>
        <v>47.969033040203882</v>
      </c>
      <c r="O18" s="2">
        <f>1/1.91</f>
        <v>0.52356020942408377</v>
      </c>
      <c r="P18" s="2">
        <f>(Table1[[#This Row],[poisson_likelihood]] - (1-Table1[[#This Row],[poisson_likelihood]])/(1/Table1[[#This Row],[99/pinn implied]]-1))/4</f>
        <v>3.3247316315411807E-2</v>
      </c>
      <c r="Q18" s="8">
        <f>Table1[[#This Row],[kelly/4 99]]*$W$2*$U$2</f>
        <v>59.845169367741256</v>
      </c>
      <c r="R18" s="2" t="s">
        <v>125</v>
      </c>
      <c r="S1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54.459104124644533</v>
      </c>
    </row>
    <row r="19" spans="1:19" x14ac:dyDescent="0.2">
      <c r="A19">
        <v>6784</v>
      </c>
      <c r="B19" t="s">
        <v>31</v>
      </c>
      <c r="C19" s="1">
        <v>45615</v>
      </c>
      <c r="D19" t="s">
        <v>13</v>
      </c>
      <c r="E19">
        <v>2.5</v>
      </c>
      <c r="F19" s="2">
        <v>0.48076923076923</v>
      </c>
      <c r="G19" s="2">
        <v>0.499139526947177</v>
      </c>
      <c r="H19" s="2">
        <v>0.54286020508135602</v>
      </c>
      <c r="I19" s="2">
        <v>0.52325581395348797</v>
      </c>
      <c r="J19" s="2">
        <v>0.54109589041095896</v>
      </c>
      <c r="K19" s="2">
        <v>2.9895654298430999E-2</v>
      </c>
      <c r="L19" s="2">
        <f>1/2.1</f>
        <v>0.47619047619047616</v>
      </c>
      <c r="M19" s="2">
        <f>(Table1[[#This Row],[poisson_likelihood]] - (1-Table1[[#This Row],[poisson_likelihood]])/(1/Table1[[#This Row],[365 implied]]-1))/4</f>
        <v>3.1819643334283568E-2</v>
      </c>
      <c r="N19" s="8">
        <f>Table1[[#This Row],[kelly/4 365]]*$W$2*$U$2</f>
        <v>57.275358001710423</v>
      </c>
      <c r="O19" s="2">
        <f>1/2.05</f>
        <v>0.48780487804878053</v>
      </c>
      <c r="P19" s="2">
        <f>(Table1[[#This Row],[poisson_likelihood]] - (1-Table1[[#This Row],[poisson_likelihood]])/(1/Table1[[#This Row],[99/pinn implied]]-1))/4</f>
        <v>2.6872242956376136E-2</v>
      </c>
      <c r="Q19" s="7">
        <f>Table1[[#This Row],[kelly/4 99]]*$W$2*$U$2</f>
        <v>48.370037321477042</v>
      </c>
      <c r="R19" s="2" t="s">
        <v>125</v>
      </c>
      <c r="S1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63.002893801881477</v>
      </c>
    </row>
    <row r="20" spans="1:19" x14ac:dyDescent="0.2">
      <c r="A20">
        <v>6758</v>
      </c>
      <c r="B20" t="s">
        <v>18</v>
      </c>
      <c r="C20" s="1">
        <v>45615</v>
      </c>
      <c r="D20" t="s">
        <v>13</v>
      </c>
      <c r="E20">
        <v>2.5</v>
      </c>
      <c r="F20" s="2">
        <v>0.63694267515923497</v>
      </c>
      <c r="G20" s="2">
        <v>0.62656133904636602</v>
      </c>
      <c r="H20" s="2">
        <v>0.67637204031888198</v>
      </c>
      <c r="I20" s="2">
        <v>0.66477272727272696</v>
      </c>
      <c r="J20" s="2">
        <v>0.64356435643564303</v>
      </c>
      <c r="K20" s="2">
        <v>2.7150922500283101E-2</v>
      </c>
      <c r="L20" s="2">
        <f>1/1.55</f>
        <v>0.64516129032258063</v>
      </c>
      <c r="M20" s="2">
        <f>(Table1[[#This Row],[poisson_likelihood]] - (1-Table1[[#This Row],[poisson_likelihood]])/(1/Table1[[#This Row],[365 implied]]-1))/4</f>
        <v>2.1989392042848693E-2</v>
      </c>
      <c r="N20" s="7">
        <f>Table1[[#This Row],[kelly/4 365]]*$W$2*$U$2</f>
        <v>39.580905677127653</v>
      </c>
      <c r="O20" s="2">
        <f>1/1.55</f>
        <v>0.64516129032258063</v>
      </c>
      <c r="P20" s="2">
        <f>(Table1[[#This Row],[poisson_likelihood]] - (1-Table1[[#This Row],[poisson_likelihood]])/(1/Table1[[#This Row],[99/pinn implied]]-1))/4</f>
        <v>2.1989392042848693E-2</v>
      </c>
      <c r="Q20" s="8">
        <f>Table1[[#This Row],[kelly/4 99]]*$W$2*$U$2</f>
        <v>39.580905677127653</v>
      </c>
      <c r="R20" s="2" t="s">
        <v>126</v>
      </c>
      <c r="S2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-39.580905677127653</v>
      </c>
    </row>
    <row r="21" spans="1:19" x14ac:dyDescent="0.2">
      <c r="A21">
        <v>6850</v>
      </c>
      <c r="B21" t="s">
        <v>64</v>
      </c>
      <c r="C21" s="1">
        <v>45615</v>
      </c>
      <c r="D21" t="s">
        <v>13</v>
      </c>
      <c r="E21">
        <v>1.5</v>
      </c>
      <c r="F21" s="2">
        <v>0.43103448275862</v>
      </c>
      <c r="G21" s="2">
        <v>0.440188392576007</v>
      </c>
      <c r="H21" s="2">
        <v>0.49083553540399399</v>
      </c>
      <c r="I21" s="2">
        <v>0.52517985611510698</v>
      </c>
      <c r="J21" s="2">
        <v>0.49242424242424199</v>
      </c>
      <c r="K21" s="2">
        <v>2.62762201017551E-2</v>
      </c>
      <c r="L21" s="2">
        <f>1/2.28</f>
        <v>0.43859649122807021</v>
      </c>
      <c r="M21" s="2">
        <f>(Table1[[#This Row],[poisson_likelihood]] - (1-Table1[[#This Row],[poisson_likelihood]])/(1/Table1[[#This Row],[365 implied]]-1))/4</f>
        <v>2.3262699359591049E-2</v>
      </c>
      <c r="N21" s="8">
        <f>Table1[[#This Row],[kelly/4 365]]*$W$2*$U$2</f>
        <v>41.872858847263892</v>
      </c>
      <c r="O21" s="2">
        <f>1/2.25</f>
        <v>0.44444444444444442</v>
      </c>
      <c r="P21" s="2">
        <f>(Table1[[#This Row],[poisson_likelihood]] - (1-Table1[[#This Row],[poisson_likelihood]])/(1/Table1[[#This Row],[99/pinn implied]]-1))/4</f>
        <v>2.0875990931797289E-2</v>
      </c>
      <c r="Q21" s="7">
        <f>Table1[[#This Row],[kelly/4 99]]*$W$2*$U$2</f>
        <v>37.57678367723512</v>
      </c>
      <c r="R21" s="2" t="s">
        <v>125</v>
      </c>
      <c r="S2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53.597259324497777</v>
      </c>
    </row>
    <row r="22" spans="1:19" x14ac:dyDescent="0.2">
      <c r="A22">
        <v>6844</v>
      </c>
      <c r="B22" t="s">
        <v>61</v>
      </c>
      <c r="C22" s="1">
        <v>45615</v>
      </c>
      <c r="D22" t="s">
        <v>13</v>
      </c>
      <c r="E22">
        <v>1.5</v>
      </c>
      <c r="F22" s="2">
        <v>0.44247787610619399</v>
      </c>
      <c r="G22" s="2">
        <v>0.43839914363517501</v>
      </c>
      <c r="H22" s="2">
        <v>0.49335166625061599</v>
      </c>
      <c r="I22" s="2">
        <v>0.47928994082840198</v>
      </c>
      <c r="J22" s="2">
        <v>0.48805460750853202</v>
      </c>
      <c r="K22" s="2">
        <v>2.2812453517141298E-2</v>
      </c>
      <c r="L22" s="2" t="s">
        <v>124</v>
      </c>
      <c r="M22" s="2" t="e">
        <f>(Table1[[#This Row],[poisson_likelihood]] - (1-Table1[[#This Row],[poisson_likelihood]])/(1/Table1[[#This Row],[365 implied]]-1))/4</f>
        <v>#VALUE!</v>
      </c>
      <c r="N22" s="7" t="e">
        <f>Table1[[#This Row],[kelly/4 365]]*$W$2*$U$2</f>
        <v>#VALUE!</v>
      </c>
      <c r="O22" s="2" t="s">
        <v>124</v>
      </c>
      <c r="P22" s="2" t="e">
        <f>(Table1[[#This Row],[poisson_likelihood]] - (1-Table1[[#This Row],[poisson_likelihood]])/(1/Table1[[#This Row],[99/pinn implied]]-1))/4</f>
        <v>#VALUE!</v>
      </c>
      <c r="Q22" s="7" t="e">
        <f>Table1[[#This Row],[kelly/4 99]]*$W$2*$U$2</f>
        <v>#VALUE!</v>
      </c>
      <c r="R22" s="2"/>
      <c r="S2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23" spans="1:19" x14ac:dyDescent="0.2">
      <c r="A23">
        <v>6847</v>
      </c>
      <c r="B23" t="s">
        <v>63</v>
      </c>
      <c r="C23" s="1">
        <v>45615</v>
      </c>
      <c r="D23" t="s">
        <v>12</v>
      </c>
      <c r="E23">
        <v>2.5</v>
      </c>
      <c r="F23" s="2">
        <v>0.58823529411764697</v>
      </c>
      <c r="G23" s="2">
        <v>0.65721268820407597</v>
      </c>
      <c r="H23" s="2">
        <v>0.62560024223910604</v>
      </c>
      <c r="I23" s="2">
        <v>0.62130177514792895</v>
      </c>
      <c r="J23" s="2">
        <v>0.62323943661971803</v>
      </c>
      <c r="K23" s="2">
        <v>2.2685861359457299E-2</v>
      </c>
      <c r="L23" s="2">
        <f>1/1.68</f>
        <v>0.59523809523809523</v>
      </c>
      <c r="M23" s="2">
        <f>(Table1[[#This Row],[poisson_likelihood]] - (1-Table1[[#This Row],[poisson_likelihood]])/(1/Table1[[#This Row],[365 implied]]-1))/4</f>
        <v>1.8753090794741967E-2</v>
      </c>
      <c r="N23" s="7">
        <f>Table1[[#This Row],[kelly/4 365]]*$W$2*$U$2</f>
        <v>33.755563430535538</v>
      </c>
      <c r="O23" s="2">
        <f>1/1.72</f>
        <v>0.58139534883720934</v>
      </c>
      <c r="P23" s="2">
        <f>(Table1[[#This Row],[poisson_likelihood]] - (1-Table1[[#This Row],[poisson_likelihood]])/(1/Table1[[#This Row],[99/pinn implied]]-1))/4</f>
        <v>2.6400144670577219E-2</v>
      </c>
      <c r="Q23" s="8">
        <f>Table1[[#This Row],[kelly/4 99]]*$W$2*$U$2</f>
        <v>47.520260407038997</v>
      </c>
      <c r="R23" s="2" t="s">
        <v>125</v>
      </c>
      <c r="S2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34.214587493068073</v>
      </c>
    </row>
    <row r="24" spans="1:19" x14ac:dyDescent="0.2">
      <c r="A24">
        <v>6943</v>
      </c>
      <c r="B24" t="s">
        <v>111</v>
      </c>
      <c r="C24" s="1">
        <v>45615</v>
      </c>
      <c r="D24" t="s">
        <v>12</v>
      </c>
      <c r="E24">
        <v>2.5</v>
      </c>
      <c r="F24" s="2">
        <v>0.512820512820512</v>
      </c>
      <c r="G24" s="2">
        <v>0.58812239007505396</v>
      </c>
      <c r="H24" s="2">
        <v>0.555079190709592</v>
      </c>
      <c r="I24" s="2">
        <v>0.480446927374301</v>
      </c>
      <c r="J24" s="2">
        <v>0.44262295081967201</v>
      </c>
      <c r="K24" s="2">
        <v>2.16853741799223E-2</v>
      </c>
      <c r="L24" s="2">
        <f>1/1.95</f>
        <v>0.51282051282051289</v>
      </c>
      <c r="M24" s="2">
        <f>(Table1[[#This Row],[poisson_likelihood]] - (1-Table1[[#This Row],[poisson_likelihood]])/(1/Table1[[#This Row],[365 implied]]-1))/4</f>
        <v>2.1685374179922182E-2</v>
      </c>
      <c r="N24" s="8">
        <f>Table1[[#This Row],[kelly/4 365]]*$W$2*$U$2</f>
        <v>39.033673523859932</v>
      </c>
      <c r="O24" s="2">
        <f>Table1[[#This Row],[365 implied]]</f>
        <v>0.51282051282051289</v>
      </c>
      <c r="P24" s="2">
        <f>(Table1[[#This Row],[poisson_likelihood]] - (1-Table1[[#This Row],[poisson_likelihood]])/(1/Table1[[#This Row],[99/pinn implied]]-1))/4</f>
        <v>2.1685374179922182E-2</v>
      </c>
      <c r="Q24" s="7">
        <f>Table1[[#This Row],[kelly/4 99]]*$W$2*$U$2</f>
        <v>39.033673523859932</v>
      </c>
      <c r="R24" s="2" t="s">
        <v>126</v>
      </c>
      <c r="S2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-39.033673523859932</v>
      </c>
    </row>
    <row r="25" spans="1:19" x14ac:dyDescent="0.2">
      <c r="A25">
        <v>6833</v>
      </c>
      <c r="B25" t="s">
        <v>56</v>
      </c>
      <c r="C25" s="1">
        <v>45615</v>
      </c>
      <c r="D25" t="s">
        <v>12</v>
      </c>
      <c r="E25">
        <v>1.5</v>
      </c>
      <c r="F25" s="2">
        <v>0.60606060606060597</v>
      </c>
      <c r="G25" s="2">
        <v>0.66975096221439701</v>
      </c>
      <c r="H25" s="2">
        <v>0.637638319981507</v>
      </c>
      <c r="I25" s="2">
        <v>0.65921787709497204</v>
      </c>
      <c r="J25" s="2">
        <v>0.63815789473684204</v>
      </c>
      <c r="K25" s="2">
        <v>2.00397030651874E-2</v>
      </c>
      <c r="L25" s="2">
        <f>1/1.62</f>
        <v>0.61728395061728392</v>
      </c>
      <c r="M25" s="2">
        <f>(Table1[[#This Row],[poisson_likelihood]] - (1-Table1[[#This Row],[poisson_likelihood]])/(1/Table1[[#This Row],[365 implied]]-1))/4</f>
        <v>1.329599934275863E-2</v>
      </c>
      <c r="N25" s="9">
        <f>Table1[[#This Row],[kelly/4 365]]*$W$2*$U$2</f>
        <v>23.932798816965537</v>
      </c>
      <c r="O25" s="2">
        <f>1/1.65</f>
        <v>0.60606060606060608</v>
      </c>
      <c r="P25" s="2">
        <f>(Table1[[#This Row],[poisson_likelihood]] - (1-Table1[[#This Row],[poisson_likelihood]])/(1/Table1[[#This Row],[99/pinn implied]]-1))/4</f>
        <v>2.0039703065187126E-2</v>
      </c>
      <c r="Q25" s="8">
        <f>Table1[[#This Row],[kelly/4 99]]*$W$2*$U$2</f>
        <v>36.071465517336826</v>
      </c>
      <c r="R25" s="2" t="s">
        <v>126</v>
      </c>
      <c r="S2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-36.071465517336826</v>
      </c>
    </row>
    <row r="26" spans="1:19" x14ac:dyDescent="0.2">
      <c r="A26">
        <v>6817</v>
      </c>
      <c r="B26" t="s">
        <v>48</v>
      </c>
      <c r="C26" s="1">
        <v>45615</v>
      </c>
      <c r="D26" t="s">
        <v>12</v>
      </c>
      <c r="E26">
        <v>2.5</v>
      </c>
      <c r="F26" s="2">
        <v>0.63694267515923497</v>
      </c>
      <c r="G26" s="2">
        <v>0.69363339936970603</v>
      </c>
      <c r="H26" s="2">
        <v>0.66601257053499796</v>
      </c>
      <c r="I26" s="2">
        <v>0.65714285714285703</v>
      </c>
      <c r="J26" s="2">
        <v>0.67003367003366998</v>
      </c>
      <c r="K26" s="2">
        <v>2.0017427956117401E-2</v>
      </c>
      <c r="L26" s="2">
        <f>1/1.55</f>
        <v>0.64516129032258063</v>
      </c>
      <c r="M26" s="2">
        <f>(Table1[[#This Row],[poisson_likelihood]] - (1-Table1[[#This Row],[poisson_likelihood]])/(1/Table1[[#This Row],[365 implied]]-1))/4</f>
        <v>1.4690674695112205E-2</v>
      </c>
      <c r="N26" s="7">
        <f>Table1[[#This Row],[kelly/4 365]]*$W$2*$U$2</f>
        <v>26.443214451201971</v>
      </c>
      <c r="O26" s="2">
        <f>1/1.58</f>
        <v>0.63291139240506322</v>
      </c>
      <c r="P26" s="2">
        <f>(Table1[[#This Row],[poisson_likelihood]] - (1-Table1[[#This Row],[poisson_likelihood]])/(1/Table1[[#This Row],[99/pinn implied]]-1))/4</f>
        <v>2.2543043726421047E-2</v>
      </c>
      <c r="Q26" s="8">
        <f>Table1[[#This Row],[kelly/4 99]]*$W$2*$U$2</f>
        <v>40.57747870755788</v>
      </c>
      <c r="R26" s="2" t="s">
        <v>125</v>
      </c>
      <c r="S2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23.534937650383576</v>
      </c>
    </row>
    <row r="27" spans="1:19" x14ac:dyDescent="0.2">
      <c r="A27">
        <v>6858</v>
      </c>
      <c r="B27" t="s">
        <v>68</v>
      </c>
      <c r="C27" s="1">
        <v>45615</v>
      </c>
      <c r="D27" t="s">
        <v>13</v>
      </c>
      <c r="E27">
        <v>1.5</v>
      </c>
      <c r="F27" s="2">
        <v>0.485436893203883</v>
      </c>
      <c r="G27" s="2">
        <v>0.46911741276496899</v>
      </c>
      <c r="H27" s="2">
        <v>0.52625697837582397</v>
      </c>
      <c r="I27" s="2">
        <v>0.50495049504950495</v>
      </c>
      <c r="J27" s="2">
        <v>0.51541850220264296</v>
      </c>
      <c r="K27" s="2">
        <v>1.9832399871273099E-2</v>
      </c>
      <c r="L27" s="2">
        <f>1/2.15</f>
        <v>0.46511627906976744</v>
      </c>
      <c r="M27" s="2">
        <f>(Table1[[#This Row],[poisson_likelihood]] - (1-Table1[[#This Row],[poisson_likelihood]])/(1/Table1[[#This Row],[365 implied]]-1))/4</f>
        <v>2.857663119739598E-2</v>
      </c>
      <c r="N27" s="8">
        <f>Table1[[#This Row],[kelly/4 365]]*$W$2*$U$2</f>
        <v>51.437936155312769</v>
      </c>
      <c r="O27" s="2">
        <f>1/2.1</f>
        <v>0.47619047619047616</v>
      </c>
      <c r="P27" s="2">
        <f>(Table1[[#This Row],[poisson_likelihood]] - (1-Table1[[#This Row],[poisson_likelihood]])/(1/Table1[[#This Row],[99/pinn implied]]-1))/4</f>
        <v>2.38953760430069E-2</v>
      </c>
      <c r="Q27" s="7">
        <f>Table1[[#This Row],[kelly/4 99]]*$W$2*$U$2</f>
        <v>43.01167687741242</v>
      </c>
      <c r="R27" s="2" t="s">
        <v>125</v>
      </c>
      <c r="S2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59.153626578609675</v>
      </c>
    </row>
    <row r="28" spans="1:19" x14ac:dyDescent="0.2">
      <c r="A28">
        <v>6776</v>
      </c>
      <c r="B28" t="s">
        <v>27</v>
      </c>
      <c r="C28" s="1">
        <v>45615</v>
      </c>
      <c r="D28" t="s">
        <v>13</v>
      </c>
      <c r="E28">
        <v>2.5</v>
      </c>
      <c r="F28" s="2">
        <v>0.50505050505050497</v>
      </c>
      <c r="G28" s="2">
        <v>0.49772814642999802</v>
      </c>
      <c r="H28" s="2">
        <v>0.54133324292627605</v>
      </c>
      <c r="I28" s="2">
        <v>0.54347826086956497</v>
      </c>
      <c r="J28" s="2">
        <v>0.537974683544303</v>
      </c>
      <c r="K28" s="2">
        <v>1.8326484947456201E-2</v>
      </c>
      <c r="L28" s="2">
        <f>1/1.83</f>
        <v>0.54644808743169393</v>
      </c>
      <c r="M28" s="2">
        <f>(Table1[[#This Row],[poisson_likelihood]] - (1-Table1[[#This Row],[poisson_likelihood]])/(1/Table1[[#This Row],[365 implied]]-1))/4</f>
        <v>-2.8193269412393474E-3</v>
      </c>
      <c r="N28" s="7">
        <f>Table1[[#This Row],[kelly/4 365]]*$W$2*$U$2</f>
        <v>-5.074788494230825</v>
      </c>
      <c r="O28" s="2">
        <f>1/1.95</f>
        <v>0.51282051282051289</v>
      </c>
      <c r="P28" s="2">
        <f>(Table1[[#This Row],[poisson_likelihood]] - (1-Table1[[#This Row],[poisson_likelihood]])/(1/Table1[[#This Row],[99/pinn implied]]-1))/4</f>
        <v>1.4631532554273199E-2</v>
      </c>
      <c r="Q28" s="8">
        <f>Table1[[#This Row],[kelly/4 99]]*$W$2*$U$2</f>
        <v>26.336758597691759</v>
      </c>
      <c r="R28" s="2" t="s">
        <v>125</v>
      </c>
      <c r="S2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25.019920667807167</v>
      </c>
    </row>
    <row r="29" spans="1:19" x14ac:dyDescent="0.2">
      <c r="A29">
        <v>6922</v>
      </c>
      <c r="B29" t="s">
        <v>100</v>
      </c>
      <c r="C29" s="1">
        <v>45615</v>
      </c>
      <c r="D29" t="s">
        <v>13</v>
      </c>
      <c r="E29">
        <v>2.5</v>
      </c>
      <c r="F29" s="2">
        <v>0.44247787610619399</v>
      </c>
      <c r="G29" s="2">
        <v>0.44282202694850398</v>
      </c>
      <c r="H29" s="2">
        <v>0.48212143784178002</v>
      </c>
      <c r="I29" s="2">
        <v>0.59887005649717495</v>
      </c>
      <c r="J29" s="2">
        <v>0.55115511551155105</v>
      </c>
      <c r="K29" s="2">
        <v>1.7776676492544299E-2</v>
      </c>
      <c r="L29" s="2">
        <f>1/2.28</f>
        <v>0.43859649122807021</v>
      </c>
      <c r="M29" s="2">
        <f>(Table1[[#This Row],[poisson_likelihood]] - (1-Table1[[#This Row],[poisson_likelihood]])/(1/Table1[[#This Row],[365 implied]]-1))/4</f>
        <v>1.9382202788917641E-2</v>
      </c>
      <c r="N29" s="8">
        <f>Table1[[#This Row],[kelly/4 365]]*$W$2*$U$2</f>
        <v>34.887965020051752</v>
      </c>
      <c r="O29" s="2">
        <f>1/2.2</f>
        <v>0.45454545454545453</v>
      </c>
      <c r="P29" s="2">
        <f>(Table1[[#This Row],[poisson_likelihood]] - (1-Table1[[#This Row],[poisson_likelihood]])/(1/Table1[[#This Row],[99/pinn implied]]-1))/4</f>
        <v>1.2638992344149183E-2</v>
      </c>
      <c r="Q29" s="7">
        <f>Table1[[#This Row],[kelly/4 99]]*$W$2*$U$2</f>
        <v>22.750186219468532</v>
      </c>
      <c r="R29" s="2" t="s">
        <v>126</v>
      </c>
      <c r="S2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-34.887965020051752</v>
      </c>
    </row>
    <row r="30" spans="1:19" x14ac:dyDescent="0.2">
      <c r="A30">
        <v>6894</v>
      </c>
      <c r="B30" t="s">
        <v>86</v>
      </c>
      <c r="C30" s="1">
        <v>45615</v>
      </c>
      <c r="D30" t="s">
        <v>13</v>
      </c>
      <c r="E30">
        <v>1.5</v>
      </c>
      <c r="F30" s="2">
        <v>0.45454545454545398</v>
      </c>
      <c r="G30" s="2">
        <v>0.44112960934491102</v>
      </c>
      <c r="H30" s="2">
        <v>0.49281733236296699</v>
      </c>
      <c r="I30" s="2">
        <v>0.52808988764044895</v>
      </c>
      <c r="J30" s="2">
        <v>0.53114754098360595</v>
      </c>
      <c r="K30" s="2">
        <v>1.75412773330265E-2</v>
      </c>
      <c r="L30" s="2">
        <f>1/2.3</f>
        <v>0.43478260869565222</v>
      </c>
      <c r="M30" s="2">
        <f>(Table1[[#This Row],[poisson_likelihood]] - (1-Table1[[#This Row],[poisson_likelihood]])/(1/Table1[[#This Row],[365 implied]]-1))/4</f>
        <v>2.5669204699004619E-2</v>
      </c>
      <c r="N30" s="8">
        <f>Table1[[#This Row],[kelly/4 365]]*$W$2*$U$2</f>
        <v>46.204568458208321</v>
      </c>
      <c r="O30" s="2">
        <f>1/2.2</f>
        <v>0.45454545454545453</v>
      </c>
      <c r="P30" s="2">
        <f>(Table1[[#This Row],[poisson_likelihood]] - (1-Table1[[#This Row],[poisson_likelihood]])/(1/Table1[[#This Row],[99/pinn implied]]-1))/4</f>
        <v>1.7541277333026545E-2</v>
      </c>
      <c r="Q30" s="7">
        <f>Table1[[#This Row],[kelly/4 99]]*$W$2*$U$2</f>
        <v>31.574299199447783</v>
      </c>
      <c r="R30" s="10" t="s">
        <v>125</v>
      </c>
      <c r="S3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60.065938995670813</v>
      </c>
    </row>
    <row r="31" spans="1:19" x14ac:dyDescent="0.2">
      <c r="A31">
        <v>6879</v>
      </c>
      <c r="B31" t="s">
        <v>79</v>
      </c>
      <c r="C31" s="1">
        <v>45615</v>
      </c>
      <c r="D31" t="s">
        <v>12</v>
      </c>
      <c r="E31">
        <v>1.5</v>
      </c>
      <c r="F31" s="2">
        <v>0.65359477124182996</v>
      </c>
      <c r="G31" s="2">
        <v>0.70003996282428105</v>
      </c>
      <c r="H31" s="2">
        <v>0.67786581437475701</v>
      </c>
      <c r="I31" s="2">
        <v>0.53703703703703698</v>
      </c>
      <c r="J31" s="2">
        <v>0.51760563380281599</v>
      </c>
      <c r="K31" s="2">
        <v>1.7516366034612599E-2</v>
      </c>
      <c r="L31" s="2">
        <f>1/1.5</f>
        <v>0.66666666666666663</v>
      </c>
      <c r="M31" s="2">
        <f>(Table1[[#This Row],[poisson_likelihood]] - (1-Table1[[#This Row],[poisson_likelihood]])/(1/Table1[[#This Row],[365 implied]]-1))/4</f>
        <v>8.3993607810677606E-3</v>
      </c>
      <c r="N31" s="7">
        <f>Table1[[#This Row],[kelly/4 365]]*$W$2*$U$2</f>
        <v>15.118849405921971</v>
      </c>
      <c r="O31" s="2">
        <f>1/1.5</f>
        <v>0.66666666666666663</v>
      </c>
      <c r="P31" s="2">
        <f>(Table1[[#This Row],[poisson_likelihood]] - (1-Table1[[#This Row],[poisson_likelihood]])/(1/Table1[[#This Row],[99/pinn implied]]-1))/4</f>
        <v>8.3993607810677606E-3</v>
      </c>
      <c r="Q31" s="8">
        <f>Table1[[#This Row],[kelly/4 99]]*$W$2*$U$2</f>
        <v>15.118849405921971</v>
      </c>
      <c r="R31" s="2" t="s">
        <v>126</v>
      </c>
      <c r="S3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-15.118849405921971</v>
      </c>
    </row>
    <row r="32" spans="1:19" x14ac:dyDescent="0.2">
      <c r="A32">
        <v>6913</v>
      </c>
      <c r="B32" t="s">
        <v>96</v>
      </c>
      <c r="C32" s="1">
        <v>45615</v>
      </c>
      <c r="D32" t="s">
        <v>12</v>
      </c>
      <c r="E32">
        <v>2.5</v>
      </c>
      <c r="F32" s="2">
        <v>0.57471264367816</v>
      </c>
      <c r="G32" s="2">
        <v>0.63631876241176699</v>
      </c>
      <c r="H32" s="2">
        <v>0.60335749865656296</v>
      </c>
      <c r="I32" s="2">
        <v>0.54945054945054905</v>
      </c>
      <c r="J32" s="2">
        <v>0.58387096774193503</v>
      </c>
      <c r="K32" s="2">
        <v>1.6838529615682201E-2</v>
      </c>
      <c r="L32" s="2">
        <f>1/1.71</f>
        <v>0.58479532163742687</v>
      </c>
      <c r="M32" s="2">
        <f>(Table1[[#This Row],[poisson_likelihood]] - (1-Table1[[#This Row],[poisson_likelihood]])/(1/Table1[[#This Row],[365 implied]]-1))/4</f>
        <v>1.1176522078423512E-2</v>
      </c>
      <c r="N32" s="7">
        <f>Table1[[#This Row],[kelly/4 365]]*$W$2*$U$2</f>
        <v>20.117739741162321</v>
      </c>
      <c r="O32" s="2">
        <f>1/1.72</f>
        <v>0.58139534883720934</v>
      </c>
      <c r="P32" s="2">
        <f>(Table1[[#This Row],[poisson_likelihood]] - (1-Table1[[#This Row],[poisson_likelihood]])/(1/Table1[[#This Row],[99/pinn implied]]-1))/4</f>
        <v>1.3116283919891752E-2</v>
      </c>
      <c r="Q32" s="8">
        <f>Table1[[#This Row],[kelly/4 99]]*$W$2*$U$2</f>
        <v>23.609311055805154</v>
      </c>
      <c r="R32" s="2" t="s">
        <v>126</v>
      </c>
      <c r="S3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-23.609311055805154</v>
      </c>
    </row>
    <row r="33" spans="1:19" x14ac:dyDescent="0.2">
      <c r="A33">
        <v>6906</v>
      </c>
      <c r="B33" t="s">
        <v>92</v>
      </c>
      <c r="C33" s="1">
        <v>45615</v>
      </c>
      <c r="D33" t="s">
        <v>13</v>
      </c>
      <c r="E33">
        <v>2.5</v>
      </c>
      <c r="F33" s="2">
        <v>0.53191489361702105</v>
      </c>
      <c r="G33" s="2">
        <v>0.518040430656732</v>
      </c>
      <c r="H33" s="2">
        <v>0.56319047907648401</v>
      </c>
      <c r="I33" s="2">
        <v>0.61325966850828695</v>
      </c>
      <c r="J33" s="2">
        <v>0.60194174757281504</v>
      </c>
      <c r="K33" s="2">
        <v>1.6704005870395101E-2</v>
      </c>
      <c r="L33" s="2">
        <f>1/1.86</f>
        <v>0.5376344086021505</v>
      </c>
      <c r="M33" s="2">
        <f>(Table1[[#This Row],[poisson_likelihood]] - (1-Table1[[#This Row],[poisson_likelihood]])/(1/Table1[[#This Row],[365 implied]]-1))/4</f>
        <v>1.3818107872750091E-2</v>
      </c>
      <c r="N33" s="8">
        <f>Table1[[#This Row],[kelly/4 365]]*$W$2*$U$2</f>
        <v>24.872594170950165</v>
      </c>
      <c r="O33" s="2">
        <f>1/1.85</f>
        <v>0.54054054054054046</v>
      </c>
      <c r="P33" s="2">
        <f>(Table1[[#This Row],[poisson_likelihood]] - (1-Table1[[#This Row],[poisson_likelihood]])/(1/Table1[[#This Row],[99/pinn implied]]-1))/4</f>
        <v>1.2324231262204582E-2</v>
      </c>
      <c r="Q33" s="7">
        <f>Table1[[#This Row],[kelly/4 99]]*$W$2*$U$2</f>
        <v>22.183616271968251</v>
      </c>
      <c r="R33" s="2" t="s">
        <v>126</v>
      </c>
      <c r="S3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-24.872594170950165</v>
      </c>
    </row>
    <row r="34" spans="1:19" x14ac:dyDescent="0.2">
      <c r="A34">
        <v>6750</v>
      </c>
      <c r="B34" t="s">
        <v>14</v>
      </c>
      <c r="C34" s="1">
        <v>45615</v>
      </c>
      <c r="D34" t="s">
        <v>13</v>
      </c>
      <c r="E34">
        <v>1.5</v>
      </c>
      <c r="F34" s="2">
        <v>0.40816326530612201</v>
      </c>
      <c r="G34" s="2">
        <v>0.408151427184128</v>
      </c>
      <c r="H34" s="2">
        <v>0.44768501942123801</v>
      </c>
      <c r="I34" s="2">
        <v>0.34666666666666601</v>
      </c>
      <c r="J34" s="2">
        <v>0.378698224852071</v>
      </c>
      <c r="K34" s="2">
        <v>1.6694534065867801E-2</v>
      </c>
      <c r="L34" s="2">
        <f>Table1[[#This Row],[99/pinn implied]]</f>
        <v>0.42553191489361702</v>
      </c>
      <c r="M34" s="2">
        <f>(Table1[[#This Row],[poisson_likelihood]] - (1-Table1[[#This Row],[poisson_likelihood]])/(1/Table1[[#This Row],[365 implied]]-1))/4</f>
        <v>9.6407028962795238E-3</v>
      </c>
      <c r="N34" s="7">
        <f>Table1[[#This Row],[kelly/4 365]]*$W$2*$U$2</f>
        <v>17.353265213303143</v>
      </c>
      <c r="O34" s="2">
        <f>1/2.35</f>
        <v>0.42553191489361702</v>
      </c>
      <c r="P34" s="2">
        <f>(Table1[[#This Row],[poisson_likelihood]] - (1-Table1[[#This Row],[poisson_likelihood]])/(1/Table1[[#This Row],[99/pinn implied]]-1))/4</f>
        <v>9.6407028962795238E-3</v>
      </c>
      <c r="Q34" s="8">
        <f>Table1[[#This Row],[kelly/4 99]]*$W$2*$U$2</f>
        <v>17.353265213303143</v>
      </c>
      <c r="R34" s="2" t="s">
        <v>126</v>
      </c>
      <c r="S3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-17.353265213303143</v>
      </c>
    </row>
    <row r="35" spans="1:19" x14ac:dyDescent="0.2">
      <c r="A35">
        <v>6762</v>
      </c>
      <c r="B35" t="s">
        <v>20</v>
      </c>
      <c r="C35" s="1">
        <v>45615</v>
      </c>
      <c r="D35" t="s">
        <v>13</v>
      </c>
      <c r="E35">
        <v>2.5</v>
      </c>
      <c r="F35" s="2">
        <v>0.59523809523809501</v>
      </c>
      <c r="G35" s="2">
        <v>0.56622030107334698</v>
      </c>
      <c r="H35" s="2">
        <v>0.62187049522650895</v>
      </c>
      <c r="I35" s="2">
        <v>0.524861878453038</v>
      </c>
      <c r="J35" s="2">
        <v>0.56351791530944595</v>
      </c>
      <c r="K35" s="2">
        <v>1.6449423522255702E-2</v>
      </c>
      <c r="L35" s="2">
        <f>Table1[[#This Row],[99/pinn implied]]</f>
        <v>0.60606060606060608</v>
      </c>
      <c r="M35" s="2">
        <f>(Table1[[#This Row],[poisson_likelihood]] - (1-Table1[[#This Row],[poisson_likelihood]])/(1/Table1[[#This Row],[365 implied]]-1))/4</f>
        <v>1.0033198893746043E-2</v>
      </c>
      <c r="N35" s="7">
        <f>Table1[[#This Row],[kelly/4 365]]*$W$2*$U$2</f>
        <v>18.059758008742875</v>
      </c>
      <c r="O35" s="2">
        <f>1/1.65</f>
        <v>0.60606060606060608</v>
      </c>
      <c r="P35" s="2">
        <f>(Table1[[#This Row],[poisson_likelihood]] - (1-Table1[[#This Row],[poisson_likelihood]])/(1/Table1[[#This Row],[99/pinn implied]]-1))/4</f>
        <v>1.0033198893746043E-2</v>
      </c>
      <c r="Q35" s="8">
        <f>Table1[[#This Row],[kelly/4 99]]*$W$2*$U$2</f>
        <v>18.059758008742875</v>
      </c>
      <c r="R35" s="2" t="s">
        <v>126</v>
      </c>
      <c r="S3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-18.059758008742875</v>
      </c>
    </row>
    <row r="36" spans="1:19" x14ac:dyDescent="0.2">
      <c r="A36">
        <v>6856</v>
      </c>
      <c r="B36" t="s">
        <v>67</v>
      </c>
      <c r="C36" s="1">
        <v>45615</v>
      </c>
      <c r="D36" t="s">
        <v>13</v>
      </c>
      <c r="E36">
        <v>3.5</v>
      </c>
      <c r="F36" s="2">
        <v>0.56497175141242895</v>
      </c>
      <c r="G36" s="2">
        <v>0.55613313967754796</v>
      </c>
      <c r="H36" s="2">
        <v>0.59310235121060995</v>
      </c>
      <c r="I36" s="2">
        <v>0.60693641618497096</v>
      </c>
      <c r="J36" s="2">
        <v>0.59931506849314997</v>
      </c>
      <c r="K36" s="2">
        <v>1.6165961572331099E-2</v>
      </c>
      <c r="L36" s="2">
        <f>1/1.74</f>
        <v>0.57471264367816088</v>
      </c>
      <c r="M36" s="2">
        <f>(Table1[[#This Row],[poisson_likelihood]] - (1-Table1[[#This Row],[poisson_likelihood]])/(1/Table1[[#This Row],[365 implied]]-1))/4</f>
        <v>1.0810165914345082E-2</v>
      </c>
      <c r="N36" s="7">
        <f>Table1[[#This Row],[kelly/4 365]]*$W$2*$U$2</f>
        <v>19.458298645821149</v>
      </c>
      <c r="O36" s="2">
        <f>1/1.75</f>
        <v>0.5714285714285714</v>
      </c>
      <c r="P36" s="2">
        <f>(Table1[[#This Row],[poisson_likelihood]] - (1-Table1[[#This Row],[poisson_likelihood]])/(1/Table1[[#This Row],[99/pinn implied]]-1))/4</f>
        <v>1.2643038206189144E-2</v>
      </c>
      <c r="Q36" s="8">
        <f>Table1[[#This Row],[kelly/4 99]]*$W$2*$U$2</f>
        <v>22.757468771140459</v>
      </c>
      <c r="R36" s="2" t="s">
        <v>126</v>
      </c>
      <c r="S3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-22.757468771140459</v>
      </c>
    </row>
    <row r="37" spans="1:19" x14ac:dyDescent="0.2">
      <c r="A37">
        <v>6930</v>
      </c>
      <c r="B37" t="s">
        <v>104</v>
      </c>
      <c r="C37" s="1">
        <v>45615</v>
      </c>
      <c r="D37" t="s">
        <v>13</v>
      </c>
      <c r="E37">
        <v>1.5</v>
      </c>
      <c r="F37" s="2">
        <v>0.41666666666666602</v>
      </c>
      <c r="G37" s="2">
        <v>0.39933607564713303</v>
      </c>
      <c r="H37" s="2">
        <v>0.45274481455798499</v>
      </c>
      <c r="I37" s="2">
        <v>0.49572649572649502</v>
      </c>
      <c r="J37" s="2">
        <v>0.49781659388646199</v>
      </c>
      <c r="K37" s="2">
        <v>1.54620633819936E-2</v>
      </c>
      <c r="L37" s="2">
        <f>Table1[[#This Row],[99/pinn implied]]</f>
        <v>0.43478260869565222</v>
      </c>
      <c r="M37" s="2">
        <f>(Table1[[#This Row],[poisson_likelihood]] - (1-Table1[[#This Row],[poisson_likelihood]])/(1/Table1[[#This Row],[365 implied]]-1))/4</f>
        <v>7.9448218237241214E-3</v>
      </c>
      <c r="N37" s="7">
        <f>Table1[[#This Row],[kelly/4 365]]*$W$2*$U$2</f>
        <v>14.30067928270342</v>
      </c>
      <c r="O37" s="2">
        <f>1/2.3</f>
        <v>0.43478260869565222</v>
      </c>
      <c r="P37" s="2">
        <f>(Table1[[#This Row],[poisson_likelihood]] - (1-Table1[[#This Row],[poisson_likelihood]])/(1/Table1[[#This Row],[99/pinn implied]]-1))/4</f>
        <v>7.9448218237241214E-3</v>
      </c>
      <c r="Q37" s="8">
        <f>Table1[[#This Row],[kelly/4 99]]*$W$2*$U$2</f>
        <v>14.30067928270342</v>
      </c>
      <c r="R37" s="2" t="s">
        <v>126</v>
      </c>
      <c r="S3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-14.30067928270342</v>
      </c>
    </row>
    <row r="38" spans="1:19" x14ac:dyDescent="0.2">
      <c r="A38">
        <v>6798</v>
      </c>
      <c r="B38" t="s">
        <v>38</v>
      </c>
      <c r="C38" s="1">
        <v>45615</v>
      </c>
      <c r="D38" t="s">
        <v>13</v>
      </c>
      <c r="E38">
        <v>1.5</v>
      </c>
      <c r="F38" s="2">
        <v>0.434782608695652</v>
      </c>
      <c r="G38" s="2">
        <v>0.42318478100186002</v>
      </c>
      <c r="H38" s="2">
        <v>0.469529461448629</v>
      </c>
      <c r="I38" s="2">
        <v>0.49655172413793103</v>
      </c>
      <c r="J38" s="2">
        <v>0.47810218978102098</v>
      </c>
      <c r="K38" s="2">
        <v>1.5368800256124301E-2</v>
      </c>
      <c r="L38" s="2">
        <f>Table1[[#This Row],[99/pinn implied]]</f>
        <v>0.44444444444444442</v>
      </c>
      <c r="M38" s="2">
        <f>(Table1[[#This Row],[poisson_likelihood]] - (1-Table1[[#This Row],[poisson_likelihood]])/(1/Table1[[#This Row],[365 implied]]-1))/4</f>
        <v>1.1288257651883044E-2</v>
      </c>
      <c r="N38" s="7">
        <f>Table1[[#This Row],[kelly/4 365]]*$W$2*$U$2</f>
        <v>20.318863773389481</v>
      </c>
      <c r="O38" s="2">
        <f>1/2.25</f>
        <v>0.44444444444444442</v>
      </c>
      <c r="P38" s="2">
        <f>(Table1[[#This Row],[poisson_likelihood]] - (1-Table1[[#This Row],[poisson_likelihood]])/(1/Table1[[#This Row],[99/pinn implied]]-1))/4</f>
        <v>1.1288257651883044E-2</v>
      </c>
      <c r="Q38" s="8">
        <f>Table1[[#This Row],[kelly/4 99]]*$W$2*$U$2</f>
        <v>20.318863773389481</v>
      </c>
      <c r="R38" s="2" t="s">
        <v>125</v>
      </c>
      <c r="S3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25.398579716736847</v>
      </c>
    </row>
    <row r="39" spans="1:19" x14ac:dyDescent="0.2">
      <c r="A39">
        <v>6911</v>
      </c>
      <c r="B39" t="s">
        <v>95</v>
      </c>
      <c r="C39" s="1">
        <v>45615</v>
      </c>
      <c r="D39" t="s">
        <v>12</v>
      </c>
      <c r="E39">
        <v>2.5</v>
      </c>
      <c r="F39" s="2">
        <v>0.45045045045045001</v>
      </c>
      <c r="G39" s="2">
        <v>0.52556368453384195</v>
      </c>
      <c r="H39" s="2">
        <v>0.484130044510797</v>
      </c>
      <c r="I39" s="2">
        <v>0.434285714285714</v>
      </c>
      <c r="J39" s="2">
        <v>0.43333333333333302</v>
      </c>
      <c r="K39" s="2">
        <v>1.53214546749937E-2</v>
      </c>
      <c r="L39" s="2">
        <f>1/2.05</f>
        <v>0.48780487804878053</v>
      </c>
      <c r="M39" s="2">
        <f>(Table1[[#This Row],[poisson_likelihood]] - (1-Table1[[#This Row],[poisson_likelihood]])/(1/Table1[[#This Row],[365 implied]]-1))/4</f>
        <v>-1.793668750682445E-3</v>
      </c>
      <c r="N39" s="7">
        <f>Table1[[#This Row],[kelly/4 365]]*$W$2*$U$2</f>
        <v>-3.2286037512284014</v>
      </c>
      <c r="O39" s="2">
        <f>1/2.15</f>
        <v>0.46511627906976744</v>
      </c>
      <c r="P39" s="2">
        <f>(Table1[[#This Row],[poisson_likelihood]] - (1-Table1[[#This Row],[poisson_likelihood]])/(1/Table1[[#This Row],[99/pinn implied]]-1))/4</f>
        <v>8.88686863004641E-3</v>
      </c>
      <c r="Q39" s="8">
        <f>Table1[[#This Row],[kelly/4 99]]*$W$2*$U$2</f>
        <v>15.996363534083539</v>
      </c>
      <c r="R39" s="2" t="s">
        <v>125</v>
      </c>
      <c r="S3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18.395818064196067</v>
      </c>
    </row>
    <row r="40" spans="1:19" x14ac:dyDescent="0.2">
      <c r="A40">
        <v>6881</v>
      </c>
      <c r="B40" t="s">
        <v>80</v>
      </c>
      <c r="C40" s="1">
        <v>45615</v>
      </c>
      <c r="D40" t="s">
        <v>12</v>
      </c>
      <c r="E40">
        <v>3.5</v>
      </c>
      <c r="F40" s="2">
        <v>0.45454545454545398</v>
      </c>
      <c r="G40" s="2">
        <v>0.52136491512649596</v>
      </c>
      <c r="H40" s="2">
        <v>0.48541845533549799</v>
      </c>
      <c r="I40" s="2">
        <v>0.36046511627906902</v>
      </c>
      <c r="J40" s="2">
        <v>0.35</v>
      </c>
      <c r="K40" s="2">
        <v>1.4150125362103499E-2</v>
      </c>
      <c r="L40" s="2">
        <f>Table1[[#This Row],[99/pinn implied]]</f>
        <v>0.45454545454545453</v>
      </c>
      <c r="M40" s="2">
        <f>(Table1[[#This Row],[poisson_likelihood]] - (1-Table1[[#This Row],[poisson_likelihood]])/(1/Table1[[#This Row],[365 implied]]-1))/4</f>
        <v>1.4150125362103264E-2</v>
      </c>
      <c r="N40" s="7">
        <f>Table1[[#This Row],[kelly/4 365]]*$W$2*$U$2</f>
        <v>25.470225651785874</v>
      </c>
      <c r="O40" s="2">
        <f>1/2.2</f>
        <v>0.45454545454545453</v>
      </c>
      <c r="P40" s="2">
        <f>(Table1[[#This Row],[poisson_likelihood]] - (1-Table1[[#This Row],[poisson_likelihood]])/(1/Table1[[#This Row],[99/pinn implied]]-1))/4</f>
        <v>1.4150125362103264E-2</v>
      </c>
      <c r="Q40" s="8">
        <f>Table1[[#This Row],[kelly/4 99]]*$W$2*$U$2</f>
        <v>25.470225651785874</v>
      </c>
      <c r="R40" s="2" t="s">
        <v>126</v>
      </c>
      <c r="S4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-25.470225651785874</v>
      </c>
    </row>
    <row r="41" spans="1:19" x14ac:dyDescent="0.2">
      <c r="A41">
        <v>6835</v>
      </c>
      <c r="B41" t="s">
        <v>57</v>
      </c>
      <c r="C41" s="1">
        <v>45615</v>
      </c>
      <c r="D41" t="s">
        <v>12</v>
      </c>
      <c r="E41">
        <v>1.5</v>
      </c>
      <c r="F41" s="2">
        <v>0.625</v>
      </c>
      <c r="G41" s="2">
        <v>0.667953787427638</v>
      </c>
      <c r="H41" s="2">
        <v>0.645535289481726</v>
      </c>
      <c r="I41" s="2">
        <v>0.63583815028901702</v>
      </c>
      <c r="J41" s="2">
        <v>0.64527027027026995</v>
      </c>
      <c r="K41" s="2">
        <v>1.3690192987817601E-2</v>
      </c>
      <c r="L41" s="2">
        <f>1/1.57</f>
        <v>0.63694267515923564</v>
      </c>
      <c r="M41" s="2">
        <f>(Table1[[#This Row],[poisson_likelihood]] - (1-Table1[[#This Row],[poisson_likelihood]])/(1/Table1[[#This Row],[365 implied]]-1))/4</f>
        <v>5.9168440729429339E-3</v>
      </c>
      <c r="N41" s="7">
        <f>Table1[[#This Row],[kelly/4 365]]*$W$2*$U$2</f>
        <v>10.650319331297283</v>
      </c>
      <c r="O41" s="2">
        <f>1/1.6</f>
        <v>0.625</v>
      </c>
      <c r="P41" s="2">
        <f>(Table1[[#This Row],[poisson_likelihood]] - (1-Table1[[#This Row],[poisson_likelihood]])/(1/Table1[[#This Row],[99/pinn implied]]-1))/4</f>
        <v>1.3690192987817346E-2</v>
      </c>
      <c r="Q41" s="8">
        <f>Table1[[#This Row],[kelly/4 99]]*$W$2*$U$2</f>
        <v>24.642347378071221</v>
      </c>
      <c r="R41" s="2" t="s">
        <v>126</v>
      </c>
      <c r="S4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-24.642347378071221</v>
      </c>
    </row>
    <row r="42" spans="1:19" x14ac:dyDescent="0.2">
      <c r="A42">
        <v>6871</v>
      </c>
      <c r="B42" t="s">
        <v>75</v>
      </c>
      <c r="C42" s="1">
        <v>45615</v>
      </c>
      <c r="D42" t="s">
        <v>12</v>
      </c>
      <c r="E42">
        <v>1.5</v>
      </c>
      <c r="F42" s="2">
        <v>0.59523809523809501</v>
      </c>
      <c r="G42" s="2">
        <v>0.65088339647248605</v>
      </c>
      <c r="H42" s="2">
        <v>0.61717564474889297</v>
      </c>
      <c r="I42" s="2">
        <v>0.44736842105263103</v>
      </c>
      <c r="J42" s="2">
        <v>0.47426470588235198</v>
      </c>
      <c r="K42" s="2">
        <v>1.35496629331398E-2</v>
      </c>
      <c r="L42" s="2">
        <f>Table1[[#This Row],[99/pinn implied]]</f>
        <v>0.60606060606060608</v>
      </c>
      <c r="M42" s="2">
        <f>(Table1[[#This Row],[poisson_likelihood]] - (1-Table1[[#This Row],[poisson_likelihood]])/(1/Table1[[#This Row],[365 implied]]-1))/4</f>
        <v>7.0537745521820627E-3</v>
      </c>
      <c r="N42" s="7">
        <f>Table1[[#This Row],[kelly/4 365]]*$W$2*$U$2</f>
        <v>12.696794193927714</v>
      </c>
      <c r="O42" s="2">
        <f>1/1.65</f>
        <v>0.60606060606060608</v>
      </c>
      <c r="P42" s="2">
        <f>(Table1[[#This Row],[poisson_likelihood]] - (1-Table1[[#This Row],[poisson_likelihood]])/(1/Table1[[#This Row],[99/pinn implied]]-1))/4</f>
        <v>7.0537745521820627E-3</v>
      </c>
      <c r="Q42" s="8">
        <f>Table1[[#This Row],[kelly/4 99]]*$W$2*$U$2</f>
        <v>12.696794193927714</v>
      </c>
      <c r="R42" s="2" t="s">
        <v>126</v>
      </c>
      <c r="S4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-12.696794193927714</v>
      </c>
    </row>
    <row r="43" spans="1:19" x14ac:dyDescent="0.2">
      <c r="A43">
        <v>6910</v>
      </c>
      <c r="B43" t="s">
        <v>94</v>
      </c>
      <c r="C43" s="1">
        <v>45615</v>
      </c>
      <c r="D43" t="s">
        <v>13</v>
      </c>
      <c r="E43">
        <v>1.5</v>
      </c>
      <c r="F43" s="2">
        <v>0.47393364928909898</v>
      </c>
      <c r="G43" s="2">
        <v>0.44644478834732698</v>
      </c>
      <c r="H43" s="2">
        <v>0.499646230738646</v>
      </c>
      <c r="I43" s="2">
        <v>0.44444444444444398</v>
      </c>
      <c r="J43" s="2">
        <v>0.43157894736842101</v>
      </c>
      <c r="K43" s="2">
        <v>1.22192673104829E-2</v>
      </c>
      <c r="L43" s="2">
        <f>1/2.15</f>
        <v>0.46511627906976744</v>
      </c>
      <c r="M43" s="2">
        <f>(Table1[[#This Row],[poisson_likelihood]] - (1-Table1[[#This Row],[poisson_likelihood]])/(1/Table1[[#This Row],[365 implied]]-1))/4</f>
        <v>1.613899914958454E-2</v>
      </c>
      <c r="N43" s="8">
        <f>Table1[[#This Row],[kelly/4 365]]*$W$2*$U$2</f>
        <v>29.050198469252173</v>
      </c>
      <c r="O43" s="2">
        <f>1/2.05</f>
        <v>0.48780487804878053</v>
      </c>
      <c r="P43" s="2">
        <f>(Table1[[#This Row],[poisson_likelihood]] - (1-Table1[[#This Row],[poisson_likelihood]])/(1/Table1[[#This Row],[99/pinn implied]]-1))/4</f>
        <v>5.7797078605295732E-3</v>
      </c>
      <c r="Q43" s="7">
        <f>Table1[[#This Row],[kelly/4 99]]*$W$2*$U$2</f>
        <v>10.403474148953233</v>
      </c>
      <c r="R43" s="2" t="s">
        <v>126</v>
      </c>
      <c r="S4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-29.050198469252173</v>
      </c>
    </row>
    <row r="44" spans="1:19" x14ac:dyDescent="0.2">
      <c r="A44">
        <v>6917</v>
      </c>
      <c r="B44" t="s">
        <v>98</v>
      </c>
      <c r="C44" s="1">
        <v>45615</v>
      </c>
      <c r="D44" t="s">
        <v>12</v>
      </c>
      <c r="E44">
        <v>2.5</v>
      </c>
      <c r="F44" s="2">
        <v>0.59523809523809501</v>
      </c>
      <c r="G44" s="2">
        <v>0.65516737324172003</v>
      </c>
      <c r="H44" s="2">
        <v>0.61132627244218796</v>
      </c>
      <c r="I44" s="2">
        <v>0.57303370786516805</v>
      </c>
      <c r="J44" s="2">
        <v>0.57377049180327799</v>
      </c>
      <c r="K44" s="2">
        <v>9.9368153319396007E-3</v>
      </c>
      <c r="L44" s="2"/>
      <c r="M44" s="2" t="e">
        <f>(Table1[[#This Row],[poisson_likelihood]] - (1-Table1[[#This Row],[poisson_likelihood]])/(1/Table1[[#This Row],[365 implied]]-1))/4</f>
        <v>#DIV/0!</v>
      </c>
      <c r="N44" s="7" t="e">
        <f>Table1[[#This Row],[kelly/4 365]]*$W$2*$U$2</f>
        <v>#DIV/0!</v>
      </c>
      <c r="O44" s="2">
        <f>1/1.65</f>
        <v>0.60606060606060608</v>
      </c>
      <c r="P44" s="2">
        <f>(Table1[[#This Row],[poisson_likelihood]] - (1-Table1[[#This Row],[poisson_likelihood]])/(1/Table1[[#This Row],[99/pinn implied]]-1))/4</f>
        <v>3.3416728960038722E-3</v>
      </c>
      <c r="Q44" s="7">
        <f>Table1[[#This Row],[kelly/4 99]]*$W$2*$U$2</f>
        <v>6.0150112128069706</v>
      </c>
      <c r="R44" s="2"/>
      <c r="S4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5" spans="1:19" x14ac:dyDescent="0.2">
      <c r="A45">
        <v>6772</v>
      </c>
      <c r="B45" t="s">
        <v>25</v>
      </c>
      <c r="C45" s="1">
        <v>45615</v>
      </c>
      <c r="D45" t="s">
        <v>13</v>
      </c>
      <c r="E45">
        <v>2.5</v>
      </c>
      <c r="F45" s="2">
        <v>0.62893081761006198</v>
      </c>
      <c r="G45" s="2">
        <v>0.59073023755420595</v>
      </c>
      <c r="H45" s="2">
        <v>0.64307357887446903</v>
      </c>
      <c r="I45" s="2">
        <v>0.55147058823529405</v>
      </c>
      <c r="J45" s="2">
        <v>0.53679653679653605</v>
      </c>
      <c r="K45" s="2">
        <v>9.5283857671215593E-3</v>
      </c>
      <c r="L45" s="2"/>
      <c r="M45" s="2" t="e">
        <f>(Table1[[#This Row],[poisson_likelihood]] - (1-Table1[[#This Row],[poisson_likelihood]])/(1/Table1[[#This Row],[365 implied]]-1))/4</f>
        <v>#DIV/0!</v>
      </c>
      <c r="N45" s="7" t="e">
        <f>Table1[[#This Row],[kelly/4 365]]*$W$2*$U$2</f>
        <v>#DIV/0!</v>
      </c>
      <c r="O45" s="2">
        <f>1/1.57</f>
        <v>0.63694267515923564</v>
      </c>
      <c r="P45" s="2">
        <f>(Table1[[#This Row],[poisson_likelihood]] - (1-Table1[[#This Row],[poisson_likelihood]])/(1/Table1[[#This Row],[99/pinn implied]]-1))/4</f>
        <v>4.2217187863668459E-3</v>
      </c>
      <c r="Q45" s="7">
        <f>Table1[[#This Row],[kelly/4 99]]*$W$2*$U$2</f>
        <v>7.5990938154603231</v>
      </c>
      <c r="R45" s="2"/>
      <c r="S4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6" spans="1:19" x14ac:dyDescent="0.2">
      <c r="A46">
        <v>6805</v>
      </c>
      <c r="B46" t="s">
        <v>42</v>
      </c>
      <c r="C46" s="1">
        <v>45615</v>
      </c>
      <c r="D46" t="s">
        <v>12</v>
      </c>
      <c r="E46">
        <v>2.5</v>
      </c>
      <c r="F46" s="2">
        <v>0.48076923076923</v>
      </c>
      <c r="G46" s="2">
        <v>0.54387226467141003</v>
      </c>
      <c r="H46" s="2">
        <v>0.49982919029079997</v>
      </c>
      <c r="I46" s="2">
        <v>0.52980132450331097</v>
      </c>
      <c r="J46" s="2">
        <v>0.51585623678646897</v>
      </c>
      <c r="K46" s="2">
        <v>9.1770175474223808E-3</v>
      </c>
      <c r="L46" s="2"/>
      <c r="M46" s="2" t="e">
        <f>(Table1[[#This Row],[poisson_likelihood]] - (1-Table1[[#This Row],[poisson_likelihood]])/(1/Table1[[#This Row],[365 implied]]-1))/4</f>
        <v>#DIV/0!</v>
      </c>
      <c r="N46" s="7" t="e">
        <f>Table1[[#This Row],[kelly/4 365]]*$W$2*$U$2</f>
        <v>#DIV/0!</v>
      </c>
      <c r="O46" s="2">
        <f>1/2</f>
        <v>0.5</v>
      </c>
      <c r="P46" s="2">
        <f>(Table1[[#This Row],[poisson_likelihood]] - (1-Table1[[#This Row],[poisson_likelihood]])/(1/Table1[[#This Row],[99/pinn implied]]-1))/4</f>
        <v>-8.5404854600013014E-5</v>
      </c>
      <c r="Q46" s="7">
        <f>Table1[[#This Row],[kelly/4 99]]*$W$2*$U$2</f>
        <v>-0.15372873828002342</v>
      </c>
      <c r="R46" s="2"/>
      <c r="S4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7" spans="1:19" x14ac:dyDescent="0.2">
      <c r="A47">
        <v>6846</v>
      </c>
      <c r="B47" t="s">
        <v>62</v>
      </c>
      <c r="C47" s="1">
        <v>45615</v>
      </c>
      <c r="D47" t="s">
        <v>13</v>
      </c>
      <c r="E47">
        <v>3.5</v>
      </c>
      <c r="F47" s="2">
        <v>0.476190476190476</v>
      </c>
      <c r="G47" s="2">
        <v>0.459439225223845</v>
      </c>
      <c r="H47" s="2">
        <v>0.49540332546308502</v>
      </c>
      <c r="I47" s="2">
        <v>0.50314465408804998</v>
      </c>
      <c r="J47" s="2">
        <v>0.5</v>
      </c>
      <c r="K47" s="2">
        <v>9.1697689710182606E-3</v>
      </c>
      <c r="L47" s="2">
        <f>1/2.1</f>
        <v>0.47619047619047616</v>
      </c>
      <c r="M47" s="2">
        <f>(Table1[[#This Row],[poisson_likelihood]] - (1-Table1[[#This Row],[poisson_likelihood]])/(1/Table1[[#This Row],[365 implied]]-1))/4</f>
        <v>9.1697689710178443E-3</v>
      </c>
      <c r="N47" s="8">
        <f>Table1[[#This Row],[kelly/4 365]]*$W$2*$U$2</f>
        <v>16.505584147832121</v>
      </c>
      <c r="O47" s="2">
        <f>1/2.1</f>
        <v>0.47619047619047616</v>
      </c>
      <c r="P47" s="2">
        <f>(Table1[[#This Row],[poisson_likelihood]] - (1-Table1[[#This Row],[poisson_likelihood]])/(1/Table1[[#This Row],[99/pinn implied]]-1))/4</f>
        <v>9.1697689710178443E-3</v>
      </c>
      <c r="Q47" s="7">
        <f>Table1[[#This Row],[kelly/4 99]]*$W$2*$U$2</f>
        <v>16.505584147832121</v>
      </c>
      <c r="R47" s="2" t="s">
        <v>126</v>
      </c>
      <c r="S4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-16.505584147832121</v>
      </c>
    </row>
    <row r="48" spans="1:19" x14ac:dyDescent="0.2">
      <c r="A48">
        <v>6795</v>
      </c>
      <c r="B48" t="s">
        <v>37</v>
      </c>
      <c r="C48" s="1">
        <v>45615</v>
      </c>
      <c r="D48" t="s">
        <v>12</v>
      </c>
      <c r="E48">
        <v>2.5</v>
      </c>
      <c r="F48" s="2">
        <v>0.47169811320754701</v>
      </c>
      <c r="G48" s="2">
        <v>0.535547061155071</v>
      </c>
      <c r="H48" s="2">
        <v>0.48967220879865198</v>
      </c>
      <c r="I48" s="2">
        <v>0.39411764705882302</v>
      </c>
      <c r="J48" s="2">
        <v>0.39310344827586202</v>
      </c>
      <c r="K48" s="2">
        <v>8.5055988065050794E-3</v>
      </c>
      <c r="L48" s="2"/>
      <c r="M48" s="2" t="e">
        <f>(Table1[[#This Row],[poisson_likelihood]] - (1-Table1[[#This Row],[poisson_likelihood]])/(1/Table1[[#This Row],[365 implied]]-1))/4</f>
        <v>#DIV/0!</v>
      </c>
      <c r="N48" s="7" t="e">
        <f>Table1[[#This Row],[kelly/4 365]]*$W$2*$U$2</f>
        <v>#DIV/0!</v>
      </c>
      <c r="O48" s="2">
        <f>1/2.05</f>
        <v>0.48780487804878053</v>
      </c>
      <c r="P48" s="2">
        <f>(Table1[[#This Row],[poisson_likelihood]] - (1-Table1[[#This Row],[poisson_likelihood]])/(1/Table1[[#This Row],[99/pinn implied]]-1))/4</f>
        <v>9.1143524696107869E-4</v>
      </c>
      <c r="Q48" s="7">
        <f>Table1[[#This Row],[kelly/4 99]]*$W$2*$U$2</f>
        <v>1.6405834445299416</v>
      </c>
      <c r="R48" s="2"/>
      <c r="S4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9" spans="1:19" x14ac:dyDescent="0.2">
      <c r="A49">
        <v>6756</v>
      </c>
      <c r="B49" t="s">
        <v>17</v>
      </c>
      <c r="C49" s="1">
        <v>45615</v>
      </c>
      <c r="D49" t="s">
        <v>13</v>
      </c>
      <c r="E49">
        <v>2.5</v>
      </c>
      <c r="F49" s="2">
        <v>0.52083333333333304</v>
      </c>
      <c r="G49" s="2">
        <v>0.49125388621157801</v>
      </c>
      <c r="H49" s="2">
        <v>0.53414736622655601</v>
      </c>
      <c r="I49" s="2">
        <v>0.44444444444444398</v>
      </c>
      <c r="J49" s="2">
        <v>0.46925566343042002</v>
      </c>
      <c r="K49" s="2">
        <v>6.9464519442903596E-3</v>
      </c>
      <c r="L49" s="2">
        <f>Table1[[#This Row],[99/pinn implied]]</f>
        <v>0.52356020942408377</v>
      </c>
      <c r="M49" s="2">
        <f>(Table1[[#This Row],[poisson_likelihood]] - (1-Table1[[#This Row],[poisson_likelihood]])/(1/Table1[[#This Row],[365 implied]]-1))/4</f>
        <v>5.5553487617368003E-3</v>
      </c>
      <c r="N49" s="7">
        <f>Table1[[#This Row],[kelly/4 365]]*$W$2*$U$2</f>
        <v>9.9996277711262405</v>
      </c>
      <c r="O49" s="2">
        <f>1/1.91</f>
        <v>0.52356020942408377</v>
      </c>
      <c r="P49" s="2">
        <f>(Table1[[#This Row],[poisson_likelihood]] - (1-Table1[[#This Row],[poisson_likelihood]])/(1/Table1[[#This Row],[99/pinn implied]]-1))/4</f>
        <v>5.5553487617368003E-3</v>
      </c>
      <c r="Q49" s="8">
        <f>Table1[[#This Row],[kelly/4 99]]*$W$2*$U$2</f>
        <v>9.9996277711262405</v>
      </c>
      <c r="R49" s="2" t="s">
        <v>126</v>
      </c>
      <c r="S4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-9.9996277711262405</v>
      </c>
    </row>
    <row r="50" spans="1:19" x14ac:dyDescent="0.2">
      <c r="A50">
        <v>6920</v>
      </c>
      <c r="B50" t="s">
        <v>99</v>
      </c>
      <c r="C50" s="1">
        <v>45615</v>
      </c>
      <c r="D50" t="s">
        <v>13</v>
      </c>
      <c r="E50">
        <v>2.5</v>
      </c>
      <c r="F50" s="2">
        <v>0.54054054054054002</v>
      </c>
      <c r="G50" s="2">
        <v>0.50987101578072302</v>
      </c>
      <c r="H50" s="2">
        <v>0.55317947766244802</v>
      </c>
      <c r="I50" s="2">
        <v>0.65</v>
      </c>
      <c r="J50" s="2">
        <v>0.64705882352941102</v>
      </c>
      <c r="K50" s="2">
        <v>6.8770687280971503E-3</v>
      </c>
      <c r="L50" s="2">
        <f>1/1.86</f>
        <v>0.5376344086021505</v>
      </c>
      <c r="M50" s="2">
        <f>(Table1[[#This Row],[poisson_likelihood]] - (1-Table1[[#This Row],[poisson_likelihood]])/(1/Table1[[#This Row],[365 implied]]-1))/4</f>
        <v>8.4051826895794601E-3</v>
      </c>
      <c r="N50" s="8">
        <f>Table1[[#This Row],[kelly/4 365]]*$W$2*$U$2</f>
        <v>15.129328841243028</v>
      </c>
      <c r="O50" s="2">
        <f>Table1[[#This Row],[365 implied]]</f>
        <v>0.5376344086021505</v>
      </c>
      <c r="P50" s="2">
        <f>(Table1[[#This Row],[poisson_likelihood]] - (1-Table1[[#This Row],[poisson_likelihood]])/(1/Table1[[#This Row],[99/pinn implied]]-1))/4</f>
        <v>8.4051826895794601E-3</v>
      </c>
      <c r="Q50" s="7">
        <f>Table1[[#This Row],[kelly/4 99]]*$W$2*$U$2</f>
        <v>15.129328841243028</v>
      </c>
      <c r="R50" s="2" t="s">
        <v>126</v>
      </c>
      <c r="S5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-15.129328841243028</v>
      </c>
    </row>
    <row r="51" spans="1:19" x14ac:dyDescent="0.2">
      <c r="A51">
        <v>6840</v>
      </c>
      <c r="B51" t="s">
        <v>59</v>
      </c>
      <c r="C51" s="1">
        <v>45615</v>
      </c>
      <c r="D51" t="s">
        <v>13</v>
      </c>
      <c r="E51">
        <v>1.5</v>
      </c>
      <c r="F51" s="2">
        <v>0.41152263374485498</v>
      </c>
      <c r="G51" s="2">
        <v>0.39487483420312802</v>
      </c>
      <c r="H51" s="2">
        <v>0.42770187103857699</v>
      </c>
      <c r="I51" s="2">
        <v>0.5</v>
      </c>
      <c r="J51" s="2">
        <v>0.47540983606557302</v>
      </c>
      <c r="K51" s="2">
        <v>6.8733473118434201E-3</v>
      </c>
      <c r="L51" s="2"/>
      <c r="M51" s="2" t="e">
        <f>(Table1[[#This Row],[poisson_likelihood]] - (1-Table1[[#This Row],[poisson_likelihood]])/(1/Table1[[#This Row],[365 implied]]-1))/4</f>
        <v>#DIV/0!</v>
      </c>
      <c r="N51" s="7" t="e">
        <f>Table1[[#This Row],[kelly/4 365]]*$W$2*$U$2</f>
        <v>#DIV/0!</v>
      </c>
      <c r="O51" s="2">
        <f>1/2.35</f>
        <v>0.42553191489361702</v>
      </c>
      <c r="P51" s="2">
        <f>(Table1[[#This Row],[poisson_likelihood]] - (1-Table1[[#This Row],[poisson_likelihood]])/(1/Table1[[#This Row],[99/pinn implied]]-1))/4</f>
        <v>9.4433276678812517E-4</v>
      </c>
      <c r="Q51" s="7">
        <f>Table1[[#This Row],[kelly/4 99]]*$W$2*$U$2</f>
        <v>1.6997989802186253</v>
      </c>
      <c r="R51" s="2"/>
      <c r="S5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2" spans="1:19" x14ac:dyDescent="0.2">
      <c r="A52">
        <v>6841</v>
      </c>
      <c r="B52" t="s">
        <v>60</v>
      </c>
      <c r="C52" s="1">
        <v>45615</v>
      </c>
      <c r="D52" t="s">
        <v>12</v>
      </c>
      <c r="E52">
        <v>1.5</v>
      </c>
      <c r="F52" s="2">
        <v>0.53191489361702105</v>
      </c>
      <c r="G52" s="2">
        <v>0.585302671805637</v>
      </c>
      <c r="H52" s="2">
        <v>0.54463311916958201</v>
      </c>
      <c r="I52" s="2">
        <v>0.52830188679245205</v>
      </c>
      <c r="J52" s="2">
        <v>0.53896103896103897</v>
      </c>
      <c r="K52" s="2">
        <v>6.7926886473903799E-3</v>
      </c>
      <c r="L52" s="2"/>
      <c r="M52" s="2" t="e">
        <f>(Table1[[#This Row],[poisson_likelihood]] - (1-Table1[[#This Row],[poisson_likelihood]])/(1/Table1[[#This Row],[365 implied]]-1))/4</f>
        <v>#DIV/0!</v>
      </c>
      <c r="N52" s="7" t="e">
        <f>Table1[[#This Row],[kelly/4 365]]*$W$2*$U$2</f>
        <v>#DIV/0!</v>
      </c>
      <c r="O52" s="2">
        <f>1/1.78</f>
        <v>0.5617977528089888</v>
      </c>
      <c r="P52" s="2">
        <f>(Table1[[#This Row],[poisson_likelihood]] - (1-Table1[[#This Row],[poisson_likelihood]])/(1/Table1[[#This Row],[99/pinn implied]]-1))/4</f>
        <v>-9.7926435506872078E-3</v>
      </c>
      <c r="Q52" s="7">
        <f>Table1[[#This Row],[kelly/4 99]]*$W$2*$U$2</f>
        <v>-17.626758391236976</v>
      </c>
      <c r="R52" s="2"/>
      <c r="S5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3" spans="1:19" x14ac:dyDescent="0.2">
      <c r="A53">
        <v>6923</v>
      </c>
      <c r="B53" t="s">
        <v>101</v>
      </c>
      <c r="C53" s="1">
        <v>45615</v>
      </c>
      <c r="D53" t="s">
        <v>12</v>
      </c>
      <c r="E53">
        <v>2.5</v>
      </c>
      <c r="F53" s="2">
        <v>0.476190476190476</v>
      </c>
      <c r="G53" s="2">
        <v>0.53503142033236095</v>
      </c>
      <c r="H53" s="2">
        <v>0.48921293636663199</v>
      </c>
      <c r="I53" s="2">
        <v>0.480446927374301</v>
      </c>
      <c r="J53" s="2">
        <v>0.44407894736842102</v>
      </c>
      <c r="K53" s="2">
        <v>6.2152650840745704E-3</v>
      </c>
      <c r="L53" s="2"/>
      <c r="M53" s="2" t="e">
        <f>(Table1[[#This Row],[poisson_likelihood]] - (1-Table1[[#This Row],[poisson_likelihood]])/(1/Table1[[#This Row],[365 implied]]-1))/4</f>
        <v>#DIV/0!</v>
      </c>
      <c r="N53" s="7" t="e">
        <f>Table1[[#This Row],[kelly/4 365]]*$W$2*$U$2</f>
        <v>#DIV/0!</v>
      </c>
      <c r="O53" s="2">
        <f>1/2.1</f>
        <v>0.47619047619047616</v>
      </c>
      <c r="P53" s="2">
        <f>(Table1[[#This Row],[poisson_likelihood]] - (1-Table1[[#This Row],[poisson_likelihood]])/(1/Table1[[#This Row],[99/pinn implied]]-1))/4</f>
        <v>6.2152650840743701E-3</v>
      </c>
      <c r="Q53" s="8">
        <f>Table1[[#This Row],[kelly/4 99]]*$W$2*$U$2</f>
        <v>11.187477151333868</v>
      </c>
      <c r="R53" s="2"/>
      <c r="S5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4" spans="1:19" x14ac:dyDescent="0.2">
      <c r="A54">
        <v>6754</v>
      </c>
      <c r="B54" t="s">
        <v>16</v>
      </c>
      <c r="C54" s="1">
        <v>45615</v>
      </c>
      <c r="D54" t="s">
        <v>13</v>
      </c>
      <c r="E54">
        <v>3.5</v>
      </c>
      <c r="F54" s="2">
        <v>0.46296296296296202</v>
      </c>
      <c r="G54" s="2">
        <v>0.45061488735637001</v>
      </c>
      <c r="H54" s="2">
        <v>0.47508259666802499</v>
      </c>
      <c r="I54" s="2">
        <v>0.344444444444444</v>
      </c>
      <c r="J54" s="2">
        <v>0.34098360655737697</v>
      </c>
      <c r="K54" s="2">
        <v>5.6418984489081904E-3</v>
      </c>
      <c r="L54" s="2"/>
      <c r="M54" s="2" t="e">
        <f>(Table1[[#This Row],[poisson_likelihood]] - (1-Table1[[#This Row],[poisson_likelihood]])/(1/Table1[[#This Row],[365 implied]]-1))/4</f>
        <v>#DIV/0!</v>
      </c>
      <c r="N54" s="7" t="e">
        <f>Table1[[#This Row],[kelly/4 365]]*$W$2*$U$2</f>
        <v>#DIV/0!</v>
      </c>
      <c r="O54" s="2">
        <f>1/2.05</f>
        <v>0.48780487804878053</v>
      </c>
      <c r="P54" s="2">
        <f>(Table1[[#This Row],[poisson_likelihood]] - (1-Table1[[#This Row],[poisson_likelihood]])/(1/Table1[[#This Row],[99/pinn implied]]-1))/4</f>
        <v>-6.2096849596544879E-3</v>
      </c>
      <c r="Q54" s="7">
        <f>Table1[[#This Row],[kelly/4 99]]*$W$2*$U$2</f>
        <v>-11.177432927378078</v>
      </c>
      <c r="R54" s="2"/>
      <c r="S5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5" spans="1:19" x14ac:dyDescent="0.2">
      <c r="A55">
        <v>6787</v>
      </c>
      <c r="B55" t="s">
        <v>33</v>
      </c>
      <c r="C55" s="1">
        <v>45615</v>
      </c>
      <c r="D55" t="s">
        <v>12</v>
      </c>
      <c r="E55">
        <v>2.5</v>
      </c>
      <c r="F55" s="2">
        <v>0.56497175141242895</v>
      </c>
      <c r="G55" s="2">
        <v>0.61862513689231102</v>
      </c>
      <c r="H55" s="2">
        <v>0.57471178281410396</v>
      </c>
      <c r="I55" s="2">
        <v>0.52</v>
      </c>
      <c r="J55" s="2">
        <v>0.51034482758620603</v>
      </c>
      <c r="K55" s="2">
        <v>5.5973557081053704E-3</v>
      </c>
      <c r="L55" s="2"/>
      <c r="M55" s="2" t="e">
        <f>(Table1[[#This Row],[poisson_likelihood]] - (1-Table1[[#This Row],[poisson_likelihood]])/(1/Table1[[#This Row],[365 implied]]-1))/4</f>
        <v>#DIV/0!</v>
      </c>
      <c r="N55" s="7" t="e">
        <f>Table1[[#This Row],[kelly/4 365]]*$W$2*$U$2</f>
        <v>#DIV/0!</v>
      </c>
      <c r="O55" s="2"/>
      <c r="P55" s="2" t="e">
        <f>(Table1[[#This Row],[poisson_likelihood]] - (1-Table1[[#This Row],[poisson_likelihood]])/(1/Table1[[#This Row],[99/pinn implied]]-1))/4</f>
        <v>#DIV/0!</v>
      </c>
      <c r="Q55" s="7" t="e">
        <f>Table1[[#This Row],[kelly/4 99]]*$W$2*$U$2</f>
        <v>#DIV/0!</v>
      </c>
      <c r="R55" s="2"/>
      <c r="S5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6" spans="1:19" x14ac:dyDescent="0.2">
      <c r="A56">
        <v>6811</v>
      </c>
      <c r="B56" t="s">
        <v>45</v>
      </c>
      <c r="C56" s="1">
        <v>45615</v>
      </c>
      <c r="D56" t="s">
        <v>12</v>
      </c>
      <c r="E56">
        <v>3.5</v>
      </c>
      <c r="F56" s="2">
        <v>0.42372881355932202</v>
      </c>
      <c r="G56" s="2">
        <v>0.46904642041498801</v>
      </c>
      <c r="H56" s="2">
        <v>0.43092416794509703</v>
      </c>
      <c r="I56" s="2">
        <v>0.412121212121212</v>
      </c>
      <c r="J56" s="2">
        <v>0.43115942028985499</v>
      </c>
      <c r="K56" s="2">
        <v>3.1215140350053599E-3</v>
      </c>
      <c r="L56" s="2"/>
      <c r="M56" s="2" t="e">
        <f>(Table1[[#This Row],[poisson_likelihood]] - (1-Table1[[#This Row],[poisson_likelihood]])/(1/Table1[[#This Row],[365 implied]]-1))/4</f>
        <v>#DIV/0!</v>
      </c>
      <c r="N56" s="7" t="e">
        <f>Table1[[#This Row],[kelly/4 365]]*$W$2*$U$2</f>
        <v>#DIV/0!</v>
      </c>
      <c r="O56" s="2"/>
      <c r="P56" s="2" t="e">
        <f>(Table1[[#This Row],[poisson_likelihood]] - (1-Table1[[#This Row],[poisson_likelihood]])/(1/Table1[[#This Row],[99/pinn implied]]-1))/4</f>
        <v>#DIV/0!</v>
      </c>
      <c r="Q56" s="7" t="e">
        <f>Table1[[#This Row],[kelly/4 99]]*$W$2*$U$2</f>
        <v>#DIV/0!</v>
      </c>
      <c r="R56" s="2"/>
      <c r="S5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7" spans="1:19" x14ac:dyDescent="0.2">
      <c r="A57">
        <v>6940</v>
      </c>
      <c r="B57" t="s">
        <v>109</v>
      </c>
      <c r="C57" s="1">
        <v>45615</v>
      </c>
      <c r="D57" t="s">
        <v>13</v>
      </c>
      <c r="E57">
        <v>1.5</v>
      </c>
      <c r="F57" s="2">
        <v>0.485436893203883</v>
      </c>
      <c r="G57" s="2">
        <v>0.44071752841087802</v>
      </c>
      <c r="H57" s="2">
        <v>0.49176726748386801</v>
      </c>
      <c r="I57" s="2">
        <v>0.41764705882352898</v>
      </c>
      <c r="J57" s="2">
        <v>0.41901408450704197</v>
      </c>
      <c r="K57" s="2">
        <v>3.0756063718795999E-3</v>
      </c>
      <c r="L57" s="2"/>
      <c r="M57" s="2" t="e">
        <f>(Table1[[#This Row],[poisson_likelihood]] - (1-Table1[[#This Row],[poisson_likelihood]])/(1/Table1[[#This Row],[365 implied]]-1))/4</f>
        <v>#DIV/0!</v>
      </c>
      <c r="N57" s="7" t="e">
        <f>Table1[[#This Row],[kelly/4 365]]*$W$2*$U$2</f>
        <v>#DIV/0!</v>
      </c>
      <c r="O57" s="2">
        <f>1/1.91</f>
        <v>0.52356020942408377</v>
      </c>
      <c r="P57" s="2">
        <f>(Table1[[#This Row],[poisson_likelihood]] - (1-Table1[[#This Row],[poisson_likelihood]])/(1/Table1[[#This Row],[99/pinn implied]]-1))/4</f>
        <v>-1.6682560193904433E-2</v>
      </c>
      <c r="Q57" s="7">
        <f>Table1[[#This Row],[kelly/4 99]]*$W$2*$U$2</f>
        <v>-30.02860834902798</v>
      </c>
      <c r="R57" s="2"/>
      <c r="S5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8" spans="1:19" x14ac:dyDescent="0.2">
      <c r="A58">
        <v>6866</v>
      </c>
      <c r="B58" t="s">
        <v>72</v>
      </c>
      <c r="C58" s="1">
        <v>45615</v>
      </c>
      <c r="D58" t="s">
        <v>13</v>
      </c>
      <c r="E58">
        <v>2.5</v>
      </c>
      <c r="F58" s="2">
        <v>0.55555555555555503</v>
      </c>
      <c r="G58" s="2">
        <v>0.517668729306205</v>
      </c>
      <c r="H58" s="2">
        <v>0.560690588467746</v>
      </c>
      <c r="I58" s="2">
        <v>0.51034482758620603</v>
      </c>
      <c r="J58" s="2">
        <v>0.52569169960474305</v>
      </c>
      <c r="K58" s="2">
        <v>2.8884560131072399E-3</v>
      </c>
      <c r="L58" s="2"/>
      <c r="M58" s="2" t="e">
        <f>(Table1[[#This Row],[poisson_likelihood]] - (1-Table1[[#This Row],[poisson_likelihood]])/(1/Table1[[#This Row],[365 implied]]-1))/4</f>
        <v>#DIV/0!</v>
      </c>
      <c r="N58" s="7" t="e">
        <f>Table1[[#This Row],[kelly/4 365]]*$W$2*$U$2</f>
        <v>#DIV/0!</v>
      </c>
      <c r="O58" s="2"/>
      <c r="P58" s="2" t="e">
        <f>(Table1[[#This Row],[poisson_likelihood]] - (1-Table1[[#This Row],[poisson_likelihood]])/(1/Table1[[#This Row],[99/pinn implied]]-1))/4</f>
        <v>#DIV/0!</v>
      </c>
      <c r="Q58" s="7" t="e">
        <f>Table1[[#This Row],[kelly/4 99]]*$W$2*$U$2</f>
        <v>#DIV/0!</v>
      </c>
      <c r="R58" s="2"/>
      <c r="S5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9" spans="1:19" x14ac:dyDescent="0.2">
      <c r="A59">
        <v>6890</v>
      </c>
      <c r="B59" t="s">
        <v>84</v>
      </c>
      <c r="C59" s="1">
        <v>45615</v>
      </c>
      <c r="D59" t="s">
        <v>13</v>
      </c>
      <c r="E59">
        <v>1.5</v>
      </c>
      <c r="F59" s="2">
        <v>0.44247787610619399</v>
      </c>
      <c r="G59" s="2">
        <v>0.40884982069345399</v>
      </c>
      <c r="H59" s="2">
        <v>0.448815582398084</v>
      </c>
      <c r="I59" s="2">
        <v>0.52247191011235905</v>
      </c>
      <c r="J59" s="2">
        <v>0.53488372093023195</v>
      </c>
      <c r="K59" s="2">
        <v>2.8419079800934802E-3</v>
      </c>
      <c r="L59" s="2"/>
      <c r="M59" s="2" t="e">
        <f>(Table1[[#This Row],[poisson_likelihood]] - (1-Table1[[#This Row],[poisson_likelihood]])/(1/Table1[[#This Row],[365 implied]]-1))/4</f>
        <v>#DIV/0!</v>
      </c>
      <c r="N59" s="7" t="e">
        <f>Table1[[#This Row],[kelly/4 365]]*$W$2*$U$2</f>
        <v>#DIV/0!</v>
      </c>
      <c r="O59" s="2"/>
      <c r="P59" s="2" t="e">
        <f>(Table1[[#This Row],[poisson_likelihood]] - (1-Table1[[#This Row],[poisson_likelihood]])/(1/Table1[[#This Row],[99/pinn implied]]-1))/4</f>
        <v>#DIV/0!</v>
      </c>
      <c r="Q59" s="7" t="e">
        <f>Table1[[#This Row],[kelly/4 99]]*$W$2*$U$2</f>
        <v>#DIV/0!</v>
      </c>
      <c r="R59" s="2"/>
      <c r="S5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0" spans="1:19" x14ac:dyDescent="0.2">
      <c r="A60">
        <v>6809</v>
      </c>
      <c r="B60" t="s">
        <v>44</v>
      </c>
      <c r="C60" s="1">
        <v>45615</v>
      </c>
      <c r="D60" t="s">
        <v>12</v>
      </c>
      <c r="E60">
        <v>1.5</v>
      </c>
      <c r="F60" s="2">
        <v>0.64516129032257996</v>
      </c>
      <c r="G60" s="2">
        <v>0.68428042949760404</v>
      </c>
      <c r="H60" s="2">
        <v>0.64740443822846605</v>
      </c>
      <c r="I60" s="2">
        <v>0.60355029585798803</v>
      </c>
      <c r="J60" s="2">
        <v>0.60750853242320801</v>
      </c>
      <c r="K60" s="2">
        <v>1.58039966096504E-3</v>
      </c>
      <c r="L60" s="2"/>
      <c r="M60" s="2" t="e">
        <f>(Table1[[#This Row],[poisson_likelihood]] - (1-Table1[[#This Row],[poisson_likelihood]])/(1/Table1[[#This Row],[365 implied]]-1))/4</f>
        <v>#DIV/0!</v>
      </c>
      <c r="N60" s="7" t="e">
        <f>Table1[[#This Row],[kelly/4 365]]*$W$2*$U$2</f>
        <v>#DIV/0!</v>
      </c>
      <c r="O60" s="2"/>
      <c r="P60" s="2" t="e">
        <f>(Table1[[#This Row],[poisson_likelihood]] - (1-Table1[[#This Row],[poisson_likelihood]])/(1/Table1[[#This Row],[99/pinn implied]]-1))/4</f>
        <v>#DIV/0!</v>
      </c>
      <c r="Q60" s="7" t="e">
        <f>Table1[[#This Row],[kelly/4 99]]*$W$2*$U$2</f>
        <v>#DIV/0!</v>
      </c>
      <c r="R60" s="2"/>
      <c r="S6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1" spans="1:19" x14ac:dyDescent="0.2">
      <c r="A61">
        <v>6786</v>
      </c>
      <c r="B61" t="s">
        <v>32</v>
      </c>
      <c r="C61" s="1">
        <v>45615</v>
      </c>
      <c r="D61" t="s">
        <v>13</v>
      </c>
      <c r="E61">
        <v>2.5</v>
      </c>
      <c r="F61" s="2">
        <v>0.467289719626168</v>
      </c>
      <c r="G61" s="2">
        <v>0.43452097413013002</v>
      </c>
      <c r="H61" s="2">
        <v>0.46987581346031299</v>
      </c>
      <c r="I61" s="2">
        <v>0.51923076923076905</v>
      </c>
      <c r="J61" s="2">
        <v>0.50787401574803104</v>
      </c>
      <c r="K61" s="2">
        <v>1.2136492993578599E-3</v>
      </c>
      <c r="L61" s="2"/>
      <c r="M61" s="2" t="e">
        <f>(Table1[[#This Row],[poisson_likelihood]] - (1-Table1[[#This Row],[poisson_likelihood]])/(1/Table1[[#This Row],[365 implied]]-1))/4</f>
        <v>#DIV/0!</v>
      </c>
      <c r="N61" s="7" t="e">
        <f>Table1[[#This Row],[kelly/4 365]]*$W$2*$U$2</f>
        <v>#DIV/0!</v>
      </c>
      <c r="O61" s="2"/>
      <c r="P61" s="2" t="e">
        <f>(Table1[[#This Row],[poisson_likelihood]] - (1-Table1[[#This Row],[poisson_likelihood]])/(1/Table1[[#This Row],[99/pinn implied]]-1))/4</f>
        <v>#DIV/0!</v>
      </c>
      <c r="Q61" s="7" t="e">
        <f>Table1[[#This Row],[kelly/4 99]]*$W$2*$U$2</f>
        <v>#DIV/0!</v>
      </c>
      <c r="R61" s="2"/>
      <c r="S6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2" spans="1:19" x14ac:dyDescent="0.2">
      <c r="A62">
        <v>6941</v>
      </c>
      <c r="B62" t="s">
        <v>110</v>
      </c>
      <c r="C62" s="1">
        <v>45615</v>
      </c>
      <c r="D62" t="s">
        <v>12</v>
      </c>
      <c r="E62">
        <v>2.5</v>
      </c>
      <c r="F62" s="2">
        <v>0.460829493087557</v>
      </c>
      <c r="G62" s="2">
        <v>0.50553304401732901</v>
      </c>
      <c r="H62" s="2">
        <v>0.46259605945330401</v>
      </c>
      <c r="I62" s="2">
        <v>0.55865921787709405</v>
      </c>
      <c r="J62" s="2">
        <v>0.52649006622516503</v>
      </c>
      <c r="K62" s="2">
        <v>8.1911303710913098E-4</v>
      </c>
      <c r="L62" s="2"/>
      <c r="M62" s="2" t="e">
        <f>(Table1[[#This Row],[poisson_likelihood]] - (1-Table1[[#This Row],[poisson_likelihood]])/(1/Table1[[#This Row],[365 implied]]-1))/4</f>
        <v>#DIV/0!</v>
      </c>
      <c r="N62" s="7" t="e">
        <f>Table1[[#This Row],[kelly/4 365]]*$W$2*$U$2</f>
        <v>#DIV/0!</v>
      </c>
      <c r="O62" s="2"/>
      <c r="P62" s="2" t="e">
        <f>(Table1[[#This Row],[poisson_likelihood]] - (1-Table1[[#This Row],[poisson_likelihood]])/(1/Table1[[#This Row],[99/pinn implied]]-1))/4</f>
        <v>#DIV/0!</v>
      </c>
      <c r="Q62" s="7" t="e">
        <f>Table1[[#This Row],[kelly/4 99]]*$W$2*$U$2</f>
        <v>#DIV/0!</v>
      </c>
      <c r="R62" s="2"/>
      <c r="S6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3" spans="1:19" x14ac:dyDescent="0.2">
      <c r="A63">
        <v>6824</v>
      </c>
      <c r="B63" t="s">
        <v>51</v>
      </c>
      <c r="C63" s="1">
        <v>45615</v>
      </c>
      <c r="D63" t="s">
        <v>13</v>
      </c>
      <c r="E63">
        <v>2.5</v>
      </c>
      <c r="F63" s="2">
        <v>0.48076923076923</v>
      </c>
      <c r="G63" s="2">
        <v>0.43585113667155401</v>
      </c>
      <c r="H63" s="2">
        <v>0.479837131631146</v>
      </c>
      <c r="I63" s="2">
        <v>0.43448275862068902</v>
      </c>
      <c r="J63" s="2">
        <v>0.43589743589743501</v>
      </c>
      <c r="K63" s="2">
        <v>-4.4878847389226401E-4</v>
      </c>
      <c r="L63" s="2"/>
      <c r="M63" s="2" t="e">
        <f>(Table1[[#This Row],[poisson_likelihood]] - (1-Table1[[#This Row],[poisson_likelihood]])/(1/Table1[[#This Row],[365 implied]]-1))/4</f>
        <v>#DIV/0!</v>
      </c>
      <c r="N63" s="7" t="e">
        <f>Table1[[#This Row],[kelly/4 365]]*$W$2*$U$2</f>
        <v>#DIV/0!</v>
      </c>
      <c r="O63" s="2"/>
      <c r="P63" s="2" t="e">
        <f>(Table1[[#This Row],[poisson_likelihood]] - (1-Table1[[#This Row],[poisson_likelihood]])/(1/Table1[[#This Row],[99/pinn implied]]-1))/4</f>
        <v>#DIV/0!</v>
      </c>
      <c r="Q63" s="7" t="e">
        <f>Table1[[#This Row],[kelly/4 99]]*$W$2*$U$2</f>
        <v>#DIV/0!</v>
      </c>
      <c r="R63" s="2"/>
      <c r="S6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4" spans="1:19" x14ac:dyDescent="0.2">
      <c r="A64">
        <v>6874</v>
      </c>
      <c r="B64" t="s">
        <v>76</v>
      </c>
      <c r="C64" s="1">
        <v>45615</v>
      </c>
      <c r="D64" t="s">
        <v>13</v>
      </c>
      <c r="E64">
        <v>2.5</v>
      </c>
      <c r="F64" s="2">
        <v>0.53191489361702105</v>
      </c>
      <c r="G64" s="2">
        <v>0.48712395360787503</v>
      </c>
      <c r="H64" s="2">
        <v>0.53043543724834397</v>
      </c>
      <c r="I64" s="2">
        <v>0.57055214723926295</v>
      </c>
      <c r="J64" s="2">
        <v>0.58657243816254401</v>
      </c>
      <c r="K64" s="2">
        <v>-7.9016419690722197E-4</v>
      </c>
      <c r="L64" s="2"/>
      <c r="M64" s="2" t="e">
        <f>(Table1[[#This Row],[poisson_likelihood]] - (1-Table1[[#This Row],[poisson_likelihood]])/(1/Table1[[#This Row],[365 implied]]-1))/4</f>
        <v>#DIV/0!</v>
      </c>
      <c r="N64" s="7" t="e">
        <f>Table1[[#This Row],[kelly/4 365]]*$W$2*$U$2</f>
        <v>#DIV/0!</v>
      </c>
      <c r="O64" s="2"/>
      <c r="P64" s="2" t="e">
        <f>(Table1[[#This Row],[poisson_likelihood]] - (1-Table1[[#This Row],[poisson_likelihood]])/(1/Table1[[#This Row],[99/pinn implied]]-1))/4</f>
        <v>#DIV/0!</v>
      </c>
      <c r="Q64" s="7" t="e">
        <f>Table1[[#This Row],[kelly/4 99]]*$W$2*$U$2</f>
        <v>#DIV/0!</v>
      </c>
      <c r="R64" s="2"/>
      <c r="S6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5" spans="1:19" x14ac:dyDescent="0.2">
      <c r="A65">
        <v>6854</v>
      </c>
      <c r="B65" t="s">
        <v>66</v>
      </c>
      <c r="C65" s="1">
        <v>45615</v>
      </c>
      <c r="D65" t="s">
        <v>13</v>
      </c>
      <c r="E65">
        <v>1.5</v>
      </c>
      <c r="F65" s="2">
        <v>0.4</v>
      </c>
      <c r="G65" s="2">
        <v>0.364890874234018</v>
      </c>
      <c r="H65" s="2">
        <v>0.39784049593835802</v>
      </c>
      <c r="I65" s="2">
        <v>0.45901639344262202</v>
      </c>
      <c r="J65" s="2">
        <v>0.43769968051118202</v>
      </c>
      <c r="K65" s="2">
        <v>-8.9979335901721404E-4</v>
      </c>
      <c r="L65" s="2"/>
      <c r="M65" s="2" t="e">
        <f>(Table1[[#This Row],[poisson_likelihood]] - (1-Table1[[#This Row],[poisson_likelihood]])/(1/Table1[[#This Row],[365 implied]]-1))/4</f>
        <v>#DIV/0!</v>
      </c>
      <c r="N65" s="7" t="e">
        <f>Table1[[#This Row],[kelly/4 365]]*$W$2*$U$2</f>
        <v>#DIV/0!</v>
      </c>
      <c r="O65" s="2"/>
      <c r="P65" s="2" t="e">
        <f>(Table1[[#This Row],[poisson_likelihood]] - (1-Table1[[#This Row],[poisson_likelihood]])/(1/Table1[[#This Row],[99/pinn implied]]-1))/4</f>
        <v>#DIV/0!</v>
      </c>
      <c r="Q65" s="7" t="e">
        <f>Table1[[#This Row],[kelly/4 99]]*$W$2*$U$2</f>
        <v>#DIV/0!</v>
      </c>
      <c r="R65" s="2"/>
      <c r="S6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6" spans="1:19" x14ac:dyDescent="0.2">
      <c r="A66">
        <v>6898</v>
      </c>
      <c r="B66" t="s">
        <v>88</v>
      </c>
      <c r="C66" s="1">
        <v>45615</v>
      </c>
      <c r="D66" t="s">
        <v>13</v>
      </c>
      <c r="E66">
        <v>2.5</v>
      </c>
      <c r="F66" s="2">
        <v>0.50505050505050497</v>
      </c>
      <c r="G66" s="2">
        <v>0.463960545674591</v>
      </c>
      <c r="H66" s="2">
        <v>0.50279793173446996</v>
      </c>
      <c r="I66" s="2">
        <v>0.554838709677419</v>
      </c>
      <c r="J66" s="2">
        <v>0.54770318021201403</v>
      </c>
      <c r="K66" s="2">
        <v>-1.1377793790174799E-3</v>
      </c>
      <c r="L66" s="2"/>
      <c r="M66" s="2" t="e">
        <f>(Table1[[#This Row],[poisson_likelihood]] - (1-Table1[[#This Row],[poisson_likelihood]])/(1/Table1[[#This Row],[365 implied]]-1))/4</f>
        <v>#DIV/0!</v>
      </c>
      <c r="N66" s="7" t="e">
        <f>Table1[[#This Row],[kelly/4 365]]*$W$2*$U$2</f>
        <v>#DIV/0!</v>
      </c>
      <c r="O66" s="2"/>
      <c r="P66" s="2" t="e">
        <f>(Table1[[#This Row],[poisson_likelihood]] - (1-Table1[[#This Row],[poisson_likelihood]])/(1/Table1[[#This Row],[99/pinn implied]]-1))/4</f>
        <v>#DIV/0!</v>
      </c>
      <c r="Q66" s="7" t="e">
        <f>Table1[[#This Row],[kelly/4 99]]*$W$2*$U$2</f>
        <v>#DIV/0!</v>
      </c>
      <c r="R66" s="2"/>
      <c r="S6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7" spans="1:19" x14ac:dyDescent="0.2">
      <c r="A67">
        <v>6781</v>
      </c>
      <c r="B67" t="s">
        <v>30</v>
      </c>
      <c r="C67" s="1">
        <v>45615</v>
      </c>
      <c r="D67" t="s">
        <v>12</v>
      </c>
      <c r="E67">
        <v>2.5</v>
      </c>
      <c r="F67" s="2">
        <v>0.48076923076923</v>
      </c>
      <c r="G67" s="2">
        <v>0.52474610977099001</v>
      </c>
      <c r="H67" s="2">
        <v>0.47818607390427198</v>
      </c>
      <c r="I67" s="2">
        <v>0.40223463687150801</v>
      </c>
      <c r="J67" s="2">
        <v>0.41584158415841499</v>
      </c>
      <c r="K67" s="2">
        <v>-1.2437421942393799E-3</v>
      </c>
      <c r="L67" s="2"/>
      <c r="M67" s="2" t="e">
        <f>(Table1[[#This Row],[poisson_likelihood]] - (1-Table1[[#This Row],[poisson_likelihood]])/(1/Table1[[#This Row],[365 implied]]-1))/4</f>
        <v>#DIV/0!</v>
      </c>
      <c r="N67" s="7" t="e">
        <f>Table1[[#This Row],[kelly/4 365]]*$W$2*$U$2</f>
        <v>#DIV/0!</v>
      </c>
      <c r="O67" s="2"/>
      <c r="P67" s="2" t="e">
        <f>(Table1[[#This Row],[poisson_likelihood]] - (1-Table1[[#This Row],[poisson_likelihood]])/(1/Table1[[#This Row],[99/pinn implied]]-1))/4</f>
        <v>#DIV/0!</v>
      </c>
      <c r="Q67" s="7" t="e">
        <f>Table1[[#This Row],[kelly/4 99]]*$W$2*$U$2</f>
        <v>#DIV/0!</v>
      </c>
      <c r="R67" s="2"/>
      <c r="S6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8" spans="1:19" x14ac:dyDescent="0.2">
      <c r="A68">
        <v>6907</v>
      </c>
      <c r="B68" t="s">
        <v>93</v>
      </c>
      <c r="C68" s="1">
        <v>45615</v>
      </c>
      <c r="D68" t="s">
        <v>12</v>
      </c>
      <c r="E68">
        <v>3.5</v>
      </c>
      <c r="F68" s="2">
        <v>0.43859649122806998</v>
      </c>
      <c r="G68" s="2">
        <v>0.47062046877800601</v>
      </c>
      <c r="H68" s="2">
        <v>0.43382638260760997</v>
      </c>
      <c r="I68" s="2">
        <v>0.41758241758241699</v>
      </c>
      <c r="J68" s="2">
        <v>0.412903225806451</v>
      </c>
      <c r="K68" s="2">
        <v>-2.1241889950483002E-3</v>
      </c>
      <c r="L68" s="2"/>
      <c r="M68" s="2" t="e">
        <f>(Table1[[#This Row],[poisson_likelihood]] - (1-Table1[[#This Row],[poisson_likelihood]])/(1/Table1[[#This Row],[365 implied]]-1))/4</f>
        <v>#DIV/0!</v>
      </c>
      <c r="N68" s="7" t="e">
        <f>Table1[[#This Row],[kelly/4 365]]*$W$2*$U$2</f>
        <v>#DIV/0!</v>
      </c>
      <c r="O68" s="2"/>
      <c r="P68" s="2" t="e">
        <f>(Table1[[#This Row],[poisson_likelihood]] - (1-Table1[[#This Row],[poisson_likelihood]])/(1/Table1[[#This Row],[99/pinn implied]]-1))/4</f>
        <v>#DIV/0!</v>
      </c>
      <c r="Q68" s="7" t="e">
        <f>Table1[[#This Row],[kelly/4 99]]*$W$2*$U$2</f>
        <v>#DIV/0!</v>
      </c>
      <c r="R68" s="2"/>
      <c r="S6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9" spans="1:19" x14ac:dyDescent="0.2">
      <c r="A69">
        <v>6869</v>
      </c>
      <c r="B69" t="s">
        <v>74</v>
      </c>
      <c r="C69" s="1">
        <v>45615</v>
      </c>
      <c r="D69" t="s">
        <v>12</v>
      </c>
      <c r="E69">
        <v>2.5</v>
      </c>
      <c r="F69" s="2">
        <v>0.413223140495867</v>
      </c>
      <c r="G69" s="2">
        <v>0.45451917212931497</v>
      </c>
      <c r="H69" s="2">
        <v>0.40755934242911301</v>
      </c>
      <c r="I69" s="2">
        <v>0.37984496124030998</v>
      </c>
      <c r="J69" s="2">
        <v>0.35784313725490102</v>
      </c>
      <c r="K69" s="2">
        <v>-2.41309706365244E-3</v>
      </c>
      <c r="L69" s="2"/>
      <c r="M69" s="2" t="e">
        <f>(Table1[[#This Row],[poisson_likelihood]] - (1-Table1[[#This Row],[poisson_likelihood]])/(1/Table1[[#This Row],[365 implied]]-1))/4</f>
        <v>#DIV/0!</v>
      </c>
      <c r="N69" s="7" t="e">
        <f>Table1[[#This Row],[kelly/4 365]]*$W$2*$U$2</f>
        <v>#DIV/0!</v>
      </c>
      <c r="O69" s="2"/>
      <c r="P69" s="2" t="e">
        <f>(Table1[[#This Row],[poisson_likelihood]] - (1-Table1[[#This Row],[poisson_likelihood]])/(1/Table1[[#This Row],[99/pinn implied]]-1))/4</f>
        <v>#DIV/0!</v>
      </c>
      <c r="Q69" s="7" t="e">
        <f>Table1[[#This Row],[kelly/4 99]]*$W$2*$U$2</f>
        <v>#DIV/0!</v>
      </c>
      <c r="R69" s="2"/>
      <c r="S6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0" spans="1:19" x14ac:dyDescent="0.2">
      <c r="A70">
        <v>6801</v>
      </c>
      <c r="B70" t="s">
        <v>40</v>
      </c>
      <c r="C70" s="1">
        <v>45615</v>
      </c>
      <c r="D70" t="s">
        <v>12</v>
      </c>
      <c r="E70">
        <v>1.5</v>
      </c>
      <c r="F70" s="2">
        <v>0.59523809523809501</v>
      </c>
      <c r="G70" s="2">
        <v>0.62098885844474705</v>
      </c>
      <c r="H70" s="2">
        <v>0.59116649487094097</v>
      </c>
      <c r="I70" s="2">
        <v>0.58241758241758201</v>
      </c>
      <c r="J70" s="2">
        <v>0.59163987138263596</v>
      </c>
      <c r="K70" s="2">
        <v>-2.5148119914775698E-3</v>
      </c>
      <c r="L70" s="2"/>
      <c r="M70" s="2" t="e">
        <f>(Table1[[#This Row],[poisson_likelihood]] - (1-Table1[[#This Row],[poisson_likelihood]])/(1/Table1[[#This Row],[365 implied]]-1))/4</f>
        <v>#DIV/0!</v>
      </c>
      <c r="N70" s="7" t="e">
        <f>Table1[[#This Row],[kelly/4 365]]*$W$2*$U$2</f>
        <v>#DIV/0!</v>
      </c>
      <c r="O70" s="2"/>
      <c r="P70" s="2" t="e">
        <f>(Table1[[#This Row],[poisson_likelihood]] - (1-Table1[[#This Row],[poisson_likelihood]])/(1/Table1[[#This Row],[99/pinn implied]]-1))/4</f>
        <v>#DIV/0!</v>
      </c>
      <c r="Q70" s="7" t="e">
        <f>Table1[[#This Row],[kelly/4 99]]*$W$2*$U$2</f>
        <v>#DIV/0!</v>
      </c>
      <c r="R70" s="2"/>
      <c r="S7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1" spans="1:19" x14ac:dyDescent="0.2">
      <c r="A71">
        <v>6760</v>
      </c>
      <c r="B71" t="s">
        <v>19</v>
      </c>
      <c r="C71" s="1">
        <v>45615</v>
      </c>
      <c r="D71" t="s">
        <v>13</v>
      </c>
      <c r="E71">
        <v>1.5</v>
      </c>
      <c r="F71" s="2">
        <v>0.387596899224806</v>
      </c>
      <c r="G71" s="2">
        <v>0.35428264750091498</v>
      </c>
      <c r="H71" s="2">
        <v>0.38129363631269902</v>
      </c>
      <c r="I71" s="2">
        <v>0.33149171270718197</v>
      </c>
      <c r="J71" s="2">
        <v>0.346278317152103</v>
      </c>
      <c r="K71" s="2">
        <v>-2.57316745462564E-3</v>
      </c>
      <c r="L71" s="2"/>
      <c r="M71" s="2" t="e">
        <f>(Table1[[#This Row],[poisson_likelihood]] - (1-Table1[[#This Row],[poisson_likelihood]])/(1/Table1[[#This Row],[365 implied]]-1))/4</f>
        <v>#DIV/0!</v>
      </c>
      <c r="N71" s="7" t="e">
        <f>Table1[[#This Row],[kelly/4 365]]*$W$2*$U$2</f>
        <v>#DIV/0!</v>
      </c>
      <c r="O71" s="2"/>
      <c r="P71" s="2" t="e">
        <f>(Table1[[#This Row],[poisson_likelihood]] - (1-Table1[[#This Row],[poisson_likelihood]])/(1/Table1[[#This Row],[99/pinn implied]]-1))/4</f>
        <v>#DIV/0!</v>
      </c>
      <c r="Q71" s="7" t="e">
        <f>Table1[[#This Row],[kelly/4 99]]*$W$2*$U$2</f>
        <v>#DIV/0!</v>
      </c>
      <c r="R71" s="2"/>
      <c r="S7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2" spans="1:19" x14ac:dyDescent="0.2">
      <c r="A72">
        <v>6896</v>
      </c>
      <c r="B72" t="s">
        <v>87</v>
      </c>
      <c r="C72" s="1">
        <v>45615</v>
      </c>
      <c r="D72" t="s">
        <v>13</v>
      </c>
      <c r="E72">
        <v>1.5</v>
      </c>
      <c r="F72" s="2">
        <v>0.4</v>
      </c>
      <c r="G72" s="2">
        <v>0.34687448356384798</v>
      </c>
      <c r="H72" s="2">
        <v>0.39375099959604598</v>
      </c>
      <c r="I72" s="2">
        <v>0.41142857142857098</v>
      </c>
      <c r="J72" s="2">
        <v>0.41137123745819398</v>
      </c>
      <c r="K72" s="2">
        <v>-2.60375016831385E-3</v>
      </c>
      <c r="L72" s="2"/>
      <c r="M72" s="2" t="e">
        <f>(Table1[[#This Row],[poisson_likelihood]] - (1-Table1[[#This Row],[poisson_likelihood]])/(1/Table1[[#This Row],[365 implied]]-1))/4</f>
        <v>#DIV/0!</v>
      </c>
      <c r="N72" s="7" t="e">
        <f>Table1[[#This Row],[kelly/4 365]]*$W$2*$U$2</f>
        <v>#DIV/0!</v>
      </c>
      <c r="O72" s="2"/>
      <c r="P72" s="2" t="e">
        <f>(Table1[[#This Row],[poisson_likelihood]] - (1-Table1[[#This Row],[poisson_likelihood]])/(1/Table1[[#This Row],[99/pinn implied]]-1))/4</f>
        <v>#DIV/0!</v>
      </c>
      <c r="Q72" s="7" t="e">
        <f>Table1[[#This Row],[kelly/4 99]]*$W$2*$U$2</f>
        <v>#DIV/0!</v>
      </c>
      <c r="R72" s="2"/>
      <c r="S7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3" spans="1:19" x14ac:dyDescent="0.2">
      <c r="A73">
        <v>6886</v>
      </c>
      <c r="B73" t="s">
        <v>82</v>
      </c>
      <c r="C73" s="1">
        <v>45615</v>
      </c>
      <c r="D73" t="s">
        <v>13</v>
      </c>
      <c r="E73">
        <v>1.5</v>
      </c>
      <c r="F73" s="2">
        <v>0.43103448275862</v>
      </c>
      <c r="G73" s="2">
        <v>0.37594208896689302</v>
      </c>
      <c r="H73" s="2">
        <v>0.42488661859256399</v>
      </c>
      <c r="I73" s="2">
        <v>0.48611111111111099</v>
      </c>
      <c r="J73" s="2">
        <v>0.502923976608187</v>
      </c>
      <c r="K73" s="2">
        <v>-2.70133425478213E-3</v>
      </c>
      <c r="L73" s="2"/>
      <c r="M73" s="2" t="e">
        <f>(Table1[[#This Row],[poisson_likelihood]] - (1-Table1[[#This Row],[poisson_likelihood]])/(1/Table1[[#This Row],[365 implied]]-1))/4</f>
        <v>#DIV/0!</v>
      </c>
      <c r="N73" s="7" t="e">
        <f>Table1[[#This Row],[kelly/4 365]]*$W$2*$U$2</f>
        <v>#DIV/0!</v>
      </c>
      <c r="O73" s="2"/>
      <c r="P73" s="2" t="e">
        <f>(Table1[[#This Row],[poisson_likelihood]] - (1-Table1[[#This Row],[poisson_likelihood]])/(1/Table1[[#This Row],[99/pinn implied]]-1))/4</f>
        <v>#DIV/0!</v>
      </c>
      <c r="Q73" s="7" t="e">
        <f>Table1[[#This Row],[kelly/4 99]]*$W$2*$U$2</f>
        <v>#DIV/0!</v>
      </c>
      <c r="R73" s="2"/>
      <c r="S7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4" spans="1:19" x14ac:dyDescent="0.2">
      <c r="A74">
        <v>6807</v>
      </c>
      <c r="B74" t="s">
        <v>43</v>
      </c>
      <c r="C74" s="1">
        <v>45615</v>
      </c>
      <c r="D74" t="s">
        <v>12</v>
      </c>
      <c r="E74">
        <v>1.5</v>
      </c>
      <c r="F74" s="2">
        <v>0.64516129032257996</v>
      </c>
      <c r="G74" s="2">
        <v>0.67896402839773895</v>
      </c>
      <c r="H74" s="2">
        <v>0.64128844018126696</v>
      </c>
      <c r="I74" s="2">
        <v>0.64161849710982599</v>
      </c>
      <c r="J74" s="2">
        <v>0.63139931740614297</v>
      </c>
      <c r="K74" s="2">
        <v>-2.7285989631981801E-3</v>
      </c>
      <c r="L74" s="2"/>
      <c r="M74" s="2" t="e">
        <f>(Table1[[#This Row],[poisson_likelihood]] - (1-Table1[[#This Row],[poisson_likelihood]])/(1/Table1[[#This Row],[365 implied]]-1))/4</f>
        <v>#DIV/0!</v>
      </c>
      <c r="N74" s="7" t="e">
        <f>Table1[[#This Row],[kelly/4 365]]*$W$2*$U$2</f>
        <v>#DIV/0!</v>
      </c>
      <c r="O74" s="2"/>
      <c r="P74" s="2" t="e">
        <f>(Table1[[#This Row],[poisson_likelihood]] - (1-Table1[[#This Row],[poisson_likelihood]])/(1/Table1[[#This Row],[99/pinn implied]]-1))/4</f>
        <v>#DIV/0!</v>
      </c>
      <c r="Q74" s="7" t="e">
        <f>Table1[[#This Row],[kelly/4 99]]*$W$2*$U$2</f>
        <v>#DIV/0!</v>
      </c>
      <c r="R74" s="2"/>
      <c r="S7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5" spans="1:19" x14ac:dyDescent="0.2">
      <c r="A75">
        <v>6748</v>
      </c>
      <c r="B75" t="s">
        <v>11</v>
      </c>
      <c r="C75" s="1">
        <v>45615</v>
      </c>
      <c r="D75" t="s">
        <v>13</v>
      </c>
      <c r="E75">
        <v>3.5</v>
      </c>
      <c r="F75" s="2">
        <v>0.55555555555555503</v>
      </c>
      <c r="G75" s="2">
        <v>0.510670841503024</v>
      </c>
      <c r="H75" s="2">
        <v>0.54967477469713599</v>
      </c>
      <c r="I75" s="2">
        <v>0.48275862068965503</v>
      </c>
      <c r="J75" s="2">
        <v>0.51027397260273899</v>
      </c>
      <c r="K75" s="2">
        <v>-3.3079392328608701E-3</v>
      </c>
      <c r="L75" s="2"/>
      <c r="M75" s="2" t="e">
        <f>(Table1[[#This Row],[poisson_likelihood]] - (1-Table1[[#This Row],[poisson_likelihood]])/(1/Table1[[#This Row],[365 implied]]-1))/4</f>
        <v>#DIV/0!</v>
      </c>
      <c r="N75" s="7" t="e">
        <f>Table1[[#This Row],[kelly/4 365]]*$W$2*$U$2</f>
        <v>#DIV/0!</v>
      </c>
      <c r="O75" s="2"/>
      <c r="P75" s="2" t="e">
        <f>(Table1[[#This Row],[poisson_likelihood]] - (1-Table1[[#This Row],[poisson_likelihood]])/(1/Table1[[#This Row],[99/pinn implied]]-1))/4</f>
        <v>#DIV/0!</v>
      </c>
      <c r="Q75" s="7" t="e">
        <f>Table1[[#This Row],[kelly/4 99]]*$W$2*$U$2</f>
        <v>#DIV/0!</v>
      </c>
      <c r="R75" s="2"/>
      <c r="S7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6" spans="1:19" x14ac:dyDescent="0.2">
      <c r="A76">
        <v>6878</v>
      </c>
      <c r="B76" t="s">
        <v>78</v>
      </c>
      <c r="C76" s="1">
        <v>45615</v>
      </c>
      <c r="D76" t="s">
        <v>13</v>
      </c>
      <c r="E76">
        <v>1.5</v>
      </c>
      <c r="F76" s="2">
        <v>0.40322580645161199</v>
      </c>
      <c r="G76" s="2">
        <v>0.35908806729377202</v>
      </c>
      <c r="H76" s="2">
        <v>0.39431749702026397</v>
      </c>
      <c r="I76" s="2">
        <v>0.44444444444444398</v>
      </c>
      <c r="J76" s="2">
        <v>0.44609665427509199</v>
      </c>
      <c r="K76" s="2">
        <v>-3.7318593563756201E-3</v>
      </c>
      <c r="L76" s="2"/>
      <c r="M76" s="2" t="e">
        <f>(Table1[[#This Row],[poisson_likelihood]] - (1-Table1[[#This Row],[poisson_likelihood]])/(1/Table1[[#This Row],[365 implied]]-1))/4</f>
        <v>#DIV/0!</v>
      </c>
      <c r="N76" s="7" t="e">
        <f>Table1[[#This Row],[kelly/4 365]]*$W$2*$U$2</f>
        <v>#DIV/0!</v>
      </c>
      <c r="O76" s="2"/>
      <c r="P76" s="2" t="e">
        <f>(Table1[[#This Row],[poisson_likelihood]] - (1-Table1[[#This Row],[poisson_likelihood]])/(1/Table1[[#This Row],[99/pinn implied]]-1))/4</f>
        <v>#DIV/0!</v>
      </c>
      <c r="Q76" s="7" t="e">
        <f>Table1[[#This Row],[kelly/4 99]]*$W$2*$U$2</f>
        <v>#DIV/0!</v>
      </c>
      <c r="R76" s="2"/>
      <c r="S7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7" spans="1:19" x14ac:dyDescent="0.2">
      <c r="A77">
        <v>6925</v>
      </c>
      <c r="B77" t="s">
        <v>102</v>
      </c>
      <c r="C77" s="1">
        <v>45615</v>
      </c>
      <c r="D77" t="s">
        <v>12</v>
      </c>
      <c r="E77">
        <v>2.5</v>
      </c>
      <c r="F77" s="2">
        <v>0.52356020942408299</v>
      </c>
      <c r="G77" s="2">
        <v>0.55540459866898795</v>
      </c>
      <c r="H77" s="2">
        <v>0.51469303534099398</v>
      </c>
      <c r="I77" s="2">
        <v>0.50847457627118597</v>
      </c>
      <c r="J77" s="2">
        <v>0.50166112956810605</v>
      </c>
      <c r="K77" s="2">
        <v>-4.6528303567856802E-3</v>
      </c>
      <c r="L77" s="2"/>
      <c r="M77" s="2" t="e">
        <f>(Table1[[#This Row],[poisson_likelihood]] - (1-Table1[[#This Row],[poisson_likelihood]])/(1/Table1[[#This Row],[365 implied]]-1))/4</f>
        <v>#DIV/0!</v>
      </c>
      <c r="N77" s="7" t="e">
        <f>Table1[[#This Row],[kelly/4 365]]*$W$2*$U$2</f>
        <v>#DIV/0!</v>
      </c>
      <c r="O77" s="2"/>
      <c r="P77" s="2" t="e">
        <f>(Table1[[#This Row],[poisson_likelihood]] - (1-Table1[[#This Row],[poisson_likelihood]])/(1/Table1[[#This Row],[99/pinn implied]]-1))/4</f>
        <v>#DIV/0!</v>
      </c>
      <c r="Q77" s="7" t="e">
        <f>Table1[[#This Row],[kelly/4 99]]*$W$2*$U$2</f>
        <v>#DIV/0!</v>
      </c>
      <c r="R77" s="2"/>
      <c r="S7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8" spans="1:19" x14ac:dyDescent="0.2">
      <c r="A78">
        <v>6838</v>
      </c>
      <c r="B78" t="s">
        <v>58</v>
      </c>
      <c r="C78" s="1">
        <v>45615</v>
      </c>
      <c r="D78" t="s">
        <v>13</v>
      </c>
      <c r="E78">
        <v>2.5</v>
      </c>
      <c r="F78" s="2">
        <v>0.625</v>
      </c>
      <c r="G78" s="2">
        <v>0.57117914411412596</v>
      </c>
      <c r="H78" s="2">
        <v>0.61775036471997002</v>
      </c>
      <c r="I78" s="2">
        <v>0.61111111111111105</v>
      </c>
      <c r="J78" s="2">
        <v>0.59655172413793101</v>
      </c>
      <c r="K78" s="2">
        <v>-4.83309018668617E-3</v>
      </c>
      <c r="L78" s="2"/>
      <c r="M78" s="2" t="e">
        <f>(Table1[[#This Row],[poisson_likelihood]] - (1-Table1[[#This Row],[poisson_likelihood]])/(1/Table1[[#This Row],[365 implied]]-1))/4</f>
        <v>#DIV/0!</v>
      </c>
      <c r="N78" s="7" t="e">
        <f>Table1[[#This Row],[kelly/4 365]]*$W$2*$U$2</f>
        <v>#DIV/0!</v>
      </c>
      <c r="O78" s="2"/>
      <c r="P78" s="2" t="e">
        <f>(Table1[[#This Row],[poisson_likelihood]] - (1-Table1[[#This Row],[poisson_likelihood]])/(1/Table1[[#This Row],[99/pinn implied]]-1))/4</f>
        <v>#DIV/0!</v>
      </c>
      <c r="Q78" s="7" t="e">
        <f>Table1[[#This Row],[kelly/4 99]]*$W$2*$U$2</f>
        <v>#DIV/0!</v>
      </c>
      <c r="R78" s="2"/>
      <c r="S7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9" spans="1:19" x14ac:dyDescent="0.2">
      <c r="A79">
        <v>6752</v>
      </c>
      <c r="B79" t="s">
        <v>15</v>
      </c>
      <c r="C79" s="1">
        <v>45615</v>
      </c>
      <c r="D79" t="s">
        <v>13</v>
      </c>
      <c r="E79">
        <v>2.5</v>
      </c>
      <c r="F79" s="2">
        <v>0.625</v>
      </c>
      <c r="G79" s="2">
        <v>0.56623551293979002</v>
      </c>
      <c r="H79" s="2">
        <v>0.616621633277881</v>
      </c>
      <c r="I79" s="2">
        <v>0.51176470588235201</v>
      </c>
      <c r="J79" s="2">
        <v>0.54671280276816603</v>
      </c>
      <c r="K79" s="2">
        <v>-5.5855778147456099E-3</v>
      </c>
      <c r="L79" s="2"/>
      <c r="M79" s="2" t="e">
        <f>(Table1[[#This Row],[poisson_likelihood]] - (1-Table1[[#This Row],[poisson_likelihood]])/(1/Table1[[#This Row],[365 implied]]-1))/4</f>
        <v>#DIV/0!</v>
      </c>
      <c r="N79" s="7" t="e">
        <f>Table1[[#This Row],[kelly/4 365]]*$W$2*$U$2</f>
        <v>#DIV/0!</v>
      </c>
      <c r="O79" s="2"/>
      <c r="P79" s="2" t="e">
        <f>(Table1[[#This Row],[poisson_likelihood]] - (1-Table1[[#This Row],[poisson_likelihood]])/(1/Table1[[#This Row],[99/pinn implied]]-1))/4</f>
        <v>#DIV/0!</v>
      </c>
      <c r="Q79" s="7" t="e">
        <f>Table1[[#This Row],[kelly/4 99]]*$W$2*$U$2</f>
        <v>#DIV/0!</v>
      </c>
      <c r="R79" s="2"/>
      <c r="S7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0" spans="1:19" x14ac:dyDescent="0.2">
      <c r="A80">
        <v>6883</v>
      </c>
      <c r="B80" t="s">
        <v>81</v>
      </c>
      <c r="C80" s="1">
        <v>45615</v>
      </c>
      <c r="D80" t="s">
        <v>12</v>
      </c>
      <c r="E80">
        <v>2.5</v>
      </c>
      <c r="F80" s="2">
        <v>0.43103448275862</v>
      </c>
      <c r="G80" s="2">
        <v>0.46231365920979001</v>
      </c>
      <c r="H80" s="2">
        <v>0.41804806656925902</v>
      </c>
      <c r="I80" s="2">
        <v>0.31756756756756699</v>
      </c>
      <c r="J80" s="2">
        <v>0.28832116788321099</v>
      </c>
      <c r="K80" s="2">
        <v>-5.7061525680526899E-3</v>
      </c>
      <c r="L80" s="2"/>
      <c r="M80" s="2" t="e">
        <f>(Table1[[#This Row],[poisson_likelihood]] - (1-Table1[[#This Row],[poisson_likelihood]])/(1/Table1[[#This Row],[365 implied]]-1))/4</f>
        <v>#DIV/0!</v>
      </c>
      <c r="N80" s="7" t="e">
        <f>Table1[[#This Row],[kelly/4 365]]*$W$2*$U$2</f>
        <v>#DIV/0!</v>
      </c>
      <c r="O80" s="2"/>
      <c r="P80" s="2" t="e">
        <f>(Table1[[#This Row],[poisson_likelihood]] - (1-Table1[[#This Row],[poisson_likelihood]])/(1/Table1[[#This Row],[99/pinn implied]]-1))/4</f>
        <v>#DIV/0!</v>
      </c>
      <c r="Q80" s="7" t="e">
        <f>Table1[[#This Row],[kelly/4 99]]*$W$2*$U$2</f>
        <v>#DIV/0!</v>
      </c>
      <c r="R80" s="2"/>
      <c r="S8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1" spans="1:19" x14ac:dyDescent="0.2">
      <c r="A81">
        <v>6851</v>
      </c>
      <c r="B81" t="s">
        <v>65</v>
      </c>
      <c r="C81" s="1">
        <v>45615</v>
      </c>
      <c r="D81" t="s">
        <v>12</v>
      </c>
      <c r="E81">
        <v>2.5</v>
      </c>
      <c r="F81" s="2">
        <v>0.60606060606060597</v>
      </c>
      <c r="G81" s="2">
        <v>0.626069188031248</v>
      </c>
      <c r="H81" s="2">
        <v>0.595833809874595</v>
      </c>
      <c r="I81" s="2">
        <v>0.63888888888888795</v>
      </c>
      <c r="J81" s="2">
        <v>0.63225806451612898</v>
      </c>
      <c r="K81" s="2">
        <v>-6.4900821949685703E-3</v>
      </c>
      <c r="L81" s="2"/>
      <c r="M81" s="2" t="e">
        <f>(Table1[[#This Row],[poisson_likelihood]] - (1-Table1[[#This Row],[poisson_likelihood]])/(1/Table1[[#This Row],[365 implied]]-1))/4</f>
        <v>#DIV/0!</v>
      </c>
      <c r="N81" s="7" t="e">
        <f>Table1[[#This Row],[kelly/4 365]]*$W$2*$U$2</f>
        <v>#DIV/0!</v>
      </c>
      <c r="O81" s="2"/>
      <c r="P81" s="2" t="e">
        <f>(Table1[[#This Row],[poisson_likelihood]] - (1-Table1[[#This Row],[poisson_likelihood]])/(1/Table1[[#This Row],[99/pinn implied]]-1))/4</f>
        <v>#DIV/0!</v>
      </c>
      <c r="Q81" s="7" t="e">
        <f>Table1[[#This Row],[kelly/4 99]]*$W$2*$U$2</f>
        <v>#DIV/0!</v>
      </c>
      <c r="R81" s="2"/>
      <c r="S8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2" spans="1:19" x14ac:dyDescent="0.2">
      <c r="A82">
        <v>6927</v>
      </c>
      <c r="B82" t="s">
        <v>103</v>
      </c>
      <c r="C82" s="1">
        <v>45615</v>
      </c>
      <c r="D82" t="s">
        <v>12</v>
      </c>
      <c r="E82">
        <v>1.5</v>
      </c>
      <c r="F82" s="2">
        <v>0.56497175141242895</v>
      </c>
      <c r="G82" s="2">
        <v>0.59462749440662599</v>
      </c>
      <c r="H82" s="2">
        <v>0.55223564842662698</v>
      </c>
      <c r="I82" s="2">
        <v>0.49382716049382702</v>
      </c>
      <c r="J82" s="2">
        <v>0.47038327526132401</v>
      </c>
      <c r="K82" s="2">
        <v>-7.3191241184641601E-3</v>
      </c>
      <c r="L82" s="2"/>
      <c r="M82" s="2" t="e">
        <f>(Table1[[#This Row],[poisson_likelihood]] - (1-Table1[[#This Row],[poisson_likelihood]])/(1/Table1[[#This Row],[365 implied]]-1))/4</f>
        <v>#DIV/0!</v>
      </c>
      <c r="N82" s="7" t="e">
        <f>Table1[[#This Row],[kelly/4 365]]*$W$2*$U$2</f>
        <v>#DIV/0!</v>
      </c>
      <c r="O82" s="2"/>
      <c r="P82" s="2" t="e">
        <f>(Table1[[#This Row],[poisson_likelihood]] - (1-Table1[[#This Row],[poisson_likelihood]])/(1/Table1[[#This Row],[99/pinn implied]]-1))/4</f>
        <v>#DIV/0!</v>
      </c>
      <c r="Q82" s="7" t="e">
        <f>Table1[[#This Row],[kelly/4 99]]*$W$2*$U$2</f>
        <v>#DIV/0!</v>
      </c>
      <c r="R82" s="2"/>
      <c r="S8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3" spans="1:19" x14ac:dyDescent="0.2">
      <c r="A83">
        <v>6820</v>
      </c>
      <c r="B83" t="s">
        <v>49</v>
      </c>
      <c r="C83" s="1">
        <v>45615</v>
      </c>
      <c r="D83" t="s">
        <v>13</v>
      </c>
      <c r="E83">
        <v>2.5</v>
      </c>
      <c r="F83" s="2">
        <v>0.48076923076923</v>
      </c>
      <c r="G83" s="2">
        <v>0.41451558571491798</v>
      </c>
      <c r="H83" s="2">
        <v>0.465256698685932</v>
      </c>
      <c r="I83" s="2">
        <v>0.46703296703296698</v>
      </c>
      <c r="J83" s="2">
        <v>0.46129032258064501</v>
      </c>
      <c r="K83" s="2">
        <v>-7.4689969289956897E-3</v>
      </c>
      <c r="L83" s="2"/>
      <c r="M83" s="2" t="e">
        <f>(Table1[[#This Row],[poisson_likelihood]] - (1-Table1[[#This Row],[poisson_likelihood]])/(1/Table1[[#This Row],[365 implied]]-1))/4</f>
        <v>#DIV/0!</v>
      </c>
      <c r="N83" s="7" t="e">
        <f>Table1[[#This Row],[kelly/4 365]]*$W$2*$U$2</f>
        <v>#DIV/0!</v>
      </c>
      <c r="O83" s="2"/>
      <c r="P83" s="2" t="e">
        <f>(Table1[[#This Row],[poisson_likelihood]] - (1-Table1[[#This Row],[poisson_likelihood]])/(1/Table1[[#This Row],[99/pinn implied]]-1))/4</f>
        <v>#DIV/0!</v>
      </c>
      <c r="Q83" s="7" t="e">
        <f>Table1[[#This Row],[kelly/4 99]]*$W$2*$U$2</f>
        <v>#DIV/0!</v>
      </c>
      <c r="R83" s="2"/>
      <c r="S8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4" spans="1:19" x14ac:dyDescent="0.2">
      <c r="A84">
        <v>6888</v>
      </c>
      <c r="B84" t="s">
        <v>83</v>
      </c>
      <c r="C84" s="1">
        <v>45615</v>
      </c>
      <c r="D84" t="s">
        <v>13</v>
      </c>
      <c r="E84">
        <v>1.5</v>
      </c>
      <c r="F84" s="2">
        <v>0.45454545454545398</v>
      </c>
      <c r="G84" s="2">
        <v>0.38510745195608598</v>
      </c>
      <c r="H84" s="2">
        <v>0.43575377973597801</v>
      </c>
      <c r="I84" s="2">
        <v>0.58064516129032195</v>
      </c>
      <c r="J84" s="2">
        <v>0.56985294117647001</v>
      </c>
      <c r="K84" s="2">
        <v>-8.61285095434337E-3</v>
      </c>
      <c r="L84" s="2"/>
      <c r="M84" s="2" t="e">
        <f>(Table1[[#This Row],[poisson_likelihood]] - (1-Table1[[#This Row],[poisson_likelihood]])/(1/Table1[[#This Row],[365 implied]]-1))/4</f>
        <v>#DIV/0!</v>
      </c>
      <c r="N84" s="7" t="e">
        <f>Table1[[#This Row],[kelly/4 365]]*$W$2*$U$2</f>
        <v>#DIV/0!</v>
      </c>
      <c r="O84" s="2"/>
      <c r="P84" s="2" t="e">
        <f>(Table1[[#This Row],[poisson_likelihood]] - (1-Table1[[#This Row],[poisson_likelihood]])/(1/Table1[[#This Row],[99/pinn implied]]-1))/4</f>
        <v>#DIV/0!</v>
      </c>
      <c r="Q84" s="7" t="e">
        <f>Table1[[#This Row],[kelly/4 99]]*$W$2*$U$2</f>
        <v>#DIV/0!</v>
      </c>
      <c r="R84" s="2"/>
      <c r="S8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5" spans="1:19" x14ac:dyDescent="0.2">
      <c r="A85">
        <v>6899</v>
      </c>
      <c r="B85" t="s">
        <v>89</v>
      </c>
      <c r="C85" s="1">
        <v>45615</v>
      </c>
      <c r="D85" t="s">
        <v>12</v>
      </c>
      <c r="E85">
        <v>2.5</v>
      </c>
      <c r="F85" s="2">
        <v>0.52910052910052896</v>
      </c>
      <c r="G85" s="2">
        <v>0.55358012943883295</v>
      </c>
      <c r="H85" s="2">
        <v>0.51279953789841104</v>
      </c>
      <c r="I85" s="2">
        <v>0.53846153846153799</v>
      </c>
      <c r="J85" s="2">
        <v>0.50967741935483801</v>
      </c>
      <c r="K85" s="2">
        <v>-8.6541779134835795E-3</v>
      </c>
      <c r="L85" s="2"/>
      <c r="M85" s="2" t="e">
        <f>(Table1[[#This Row],[poisson_likelihood]] - (1-Table1[[#This Row],[poisson_likelihood]])/(1/Table1[[#This Row],[365 implied]]-1))/4</f>
        <v>#DIV/0!</v>
      </c>
      <c r="N85" s="7" t="e">
        <f>Table1[[#This Row],[kelly/4 365]]*$W$2*$U$2</f>
        <v>#DIV/0!</v>
      </c>
      <c r="O85" s="2"/>
      <c r="P85" s="2" t="e">
        <f>(Table1[[#This Row],[poisson_likelihood]] - (1-Table1[[#This Row],[poisson_likelihood]])/(1/Table1[[#This Row],[99/pinn implied]]-1))/4</f>
        <v>#DIV/0!</v>
      </c>
      <c r="Q85" s="7" t="e">
        <f>Table1[[#This Row],[kelly/4 99]]*$W$2*$U$2</f>
        <v>#DIV/0!</v>
      </c>
      <c r="R85" s="2"/>
      <c r="S8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6" spans="1:19" x14ac:dyDescent="0.2">
      <c r="A86">
        <v>6766</v>
      </c>
      <c r="B86" t="s">
        <v>22</v>
      </c>
      <c r="C86" s="1">
        <v>45615</v>
      </c>
      <c r="D86" t="s">
        <v>13</v>
      </c>
      <c r="E86">
        <v>2.5</v>
      </c>
      <c r="F86" s="2">
        <v>0.42372881355932202</v>
      </c>
      <c r="G86" s="2">
        <v>0.37411299756252298</v>
      </c>
      <c r="H86" s="2">
        <v>0.402742158482012</v>
      </c>
      <c r="I86" s="2">
        <v>0.36516853932584198</v>
      </c>
      <c r="J86" s="2">
        <v>0.37908496732026098</v>
      </c>
      <c r="K86" s="2">
        <v>-9.1045047761859708E-3</v>
      </c>
      <c r="L86" s="2"/>
      <c r="M86" s="2" t="e">
        <f>(Table1[[#This Row],[poisson_likelihood]] - (1-Table1[[#This Row],[poisson_likelihood]])/(1/Table1[[#This Row],[365 implied]]-1))/4</f>
        <v>#DIV/0!</v>
      </c>
      <c r="N86" s="7" t="e">
        <f>Table1[[#This Row],[kelly/4 365]]*$W$2*$U$2</f>
        <v>#DIV/0!</v>
      </c>
      <c r="O86" s="2"/>
      <c r="P86" s="2" t="e">
        <f>(Table1[[#This Row],[poisson_likelihood]] - (1-Table1[[#This Row],[poisson_likelihood]])/(1/Table1[[#This Row],[99/pinn implied]]-1))/4</f>
        <v>#DIV/0!</v>
      </c>
      <c r="Q86" s="7" t="e">
        <f>Table1[[#This Row],[kelly/4 99]]*$W$2*$U$2</f>
        <v>#DIV/0!</v>
      </c>
      <c r="R86" s="2"/>
      <c r="S8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7" spans="1:19" x14ac:dyDescent="0.2">
      <c r="A87">
        <v>6779</v>
      </c>
      <c r="B87" t="s">
        <v>29</v>
      </c>
      <c r="C87" s="1">
        <v>45615</v>
      </c>
      <c r="D87" t="s">
        <v>12</v>
      </c>
      <c r="E87">
        <v>1.5</v>
      </c>
      <c r="F87" s="2">
        <v>0.59523809523809501</v>
      </c>
      <c r="G87" s="2">
        <v>0.62976764197744295</v>
      </c>
      <c r="H87" s="2">
        <v>0.579550093400378</v>
      </c>
      <c r="I87" s="2">
        <v>0.62345679012345601</v>
      </c>
      <c r="J87" s="2">
        <v>0.62132352941176405</v>
      </c>
      <c r="K87" s="2">
        <v>-9.6896481938841192E-3</v>
      </c>
      <c r="L87" s="2"/>
      <c r="M87" s="2" t="e">
        <f>(Table1[[#This Row],[poisson_likelihood]] - (1-Table1[[#This Row],[poisson_likelihood]])/(1/Table1[[#This Row],[365 implied]]-1))/4</f>
        <v>#DIV/0!</v>
      </c>
      <c r="N87" s="7" t="e">
        <f>Table1[[#This Row],[kelly/4 365]]*$W$2*$U$2</f>
        <v>#DIV/0!</v>
      </c>
      <c r="O87" s="2"/>
      <c r="P87" s="2" t="e">
        <f>(Table1[[#This Row],[poisson_likelihood]] - (1-Table1[[#This Row],[poisson_likelihood]])/(1/Table1[[#This Row],[99/pinn implied]]-1))/4</f>
        <v>#DIV/0!</v>
      </c>
      <c r="Q87" s="7" t="e">
        <f>Table1[[#This Row],[kelly/4 99]]*$W$2*$U$2</f>
        <v>#DIV/0!</v>
      </c>
      <c r="R87" s="2"/>
      <c r="S8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8" spans="1:19" x14ac:dyDescent="0.2">
      <c r="A88">
        <v>6747</v>
      </c>
      <c r="B88" t="s">
        <v>11</v>
      </c>
      <c r="C88" s="1">
        <v>45615</v>
      </c>
      <c r="D88" t="s">
        <v>12</v>
      </c>
      <c r="E88">
        <v>3.5</v>
      </c>
      <c r="F88" s="2">
        <v>0.47169811320754701</v>
      </c>
      <c r="G88" s="2">
        <v>0.489329158496975</v>
      </c>
      <c r="H88" s="2">
        <v>0.45032522530286301</v>
      </c>
      <c r="I88" s="2">
        <v>0.51724137931034397</v>
      </c>
      <c r="J88" s="2">
        <v>0.48972602739726001</v>
      </c>
      <c r="K88" s="2">
        <v>-1.01139558834662E-2</v>
      </c>
      <c r="L88" s="2"/>
      <c r="M88" s="2" t="e">
        <f>(Table1[[#This Row],[poisson_likelihood]] - (1-Table1[[#This Row],[poisson_likelihood]])/(1/Table1[[#This Row],[365 implied]]-1))/4</f>
        <v>#DIV/0!</v>
      </c>
      <c r="N88" s="7" t="e">
        <f>Table1[[#This Row],[kelly/4 365]]*$W$2*$U$2</f>
        <v>#DIV/0!</v>
      </c>
      <c r="O88" s="2"/>
      <c r="P88" s="2" t="e">
        <f>(Table1[[#This Row],[poisson_likelihood]] - (1-Table1[[#This Row],[poisson_likelihood]])/(1/Table1[[#This Row],[99/pinn implied]]-1))/4</f>
        <v>#DIV/0!</v>
      </c>
      <c r="Q88" s="7" t="e">
        <f>Table1[[#This Row],[kelly/4 99]]*$W$2*$U$2</f>
        <v>#DIV/0!</v>
      </c>
      <c r="R88" s="2"/>
      <c r="S8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9" spans="1:19" x14ac:dyDescent="0.2">
      <c r="A89">
        <v>6875</v>
      </c>
      <c r="B89" t="s">
        <v>77</v>
      </c>
      <c r="C89" s="1">
        <v>45615</v>
      </c>
      <c r="D89" t="s">
        <v>12</v>
      </c>
      <c r="E89">
        <v>3.5</v>
      </c>
      <c r="F89" s="2">
        <v>0.46511627906976699</v>
      </c>
      <c r="G89" s="2">
        <v>0.48053421960811998</v>
      </c>
      <c r="H89" s="2">
        <v>0.44243889535075498</v>
      </c>
      <c r="I89" s="2">
        <v>0.39106145251396601</v>
      </c>
      <c r="J89" s="2">
        <v>0.41584158415841499</v>
      </c>
      <c r="K89" s="2">
        <v>-1.05992119556253E-2</v>
      </c>
      <c r="L89" s="2"/>
      <c r="M89" s="2" t="e">
        <f>(Table1[[#This Row],[poisson_likelihood]] - (1-Table1[[#This Row],[poisson_likelihood]])/(1/Table1[[#This Row],[365 implied]]-1))/4</f>
        <v>#DIV/0!</v>
      </c>
      <c r="N89" s="7" t="e">
        <f>Table1[[#This Row],[kelly/4 365]]*$W$2*$U$2</f>
        <v>#DIV/0!</v>
      </c>
      <c r="O89" s="2"/>
      <c r="P89" s="2" t="e">
        <f>(Table1[[#This Row],[poisson_likelihood]] - (1-Table1[[#This Row],[poisson_likelihood]])/(1/Table1[[#This Row],[99/pinn implied]]-1))/4</f>
        <v>#DIV/0!</v>
      </c>
      <c r="Q89" s="7" t="e">
        <f>Table1[[#This Row],[kelly/4 99]]*$W$2*$U$2</f>
        <v>#DIV/0!</v>
      </c>
      <c r="R89" s="2"/>
      <c r="S8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0" spans="1:19" x14ac:dyDescent="0.2">
      <c r="A90">
        <v>6860</v>
      </c>
      <c r="B90" t="s">
        <v>69</v>
      </c>
      <c r="C90" s="1">
        <v>45615</v>
      </c>
      <c r="D90" t="s">
        <v>13</v>
      </c>
      <c r="E90">
        <v>1.5</v>
      </c>
      <c r="F90" s="2">
        <v>0.48309178743961301</v>
      </c>
      <c r="G90" s="2">
        <v>0.40590312229937697</v>
      </c>
      <c r="H90" s="2">
        <v>0.46103346238449</v>
      </c>
      <c r="I90" s="2">
        <v>0.45555555555555499</v>
      </c>
      <c r="J90" s="2">
        <v>0.43870967741935402</v>
      </c>
      <c r="K90" s="2">
        <v>-1.0668395528996601E-2</v>
      </c>
      <c r="L90" s="2"/>
      <c r="M90" s="2" t="e">
        <f>(Table1[[#This Row],[poisson_likelihood]] - (1-Table1[[#This Row],[poisson_likelihood]])/(1/Table1[[#This Row],[365 implied]]-1))/4</f>
        <v>#DIV/0!</v>
      </c>
      <c r="N90" s="7" t="e">
        <f>Table1[[#This Row],[kelly/4 365]]*$W$2*$U$2</f>
        <v>#DIV/0!</v>
      </c>
      <c r="O90" s="2"/>
      <c r="P90" s="2" t="e">
        <f>(Table1[[#This Row],[poisson_likelihood]] - (1-Table1[[#This Row],[poisson_likelihood]])/(1/Table1[[#This Row],[99/pinn implied]]-1))/4</f>
        <v>#DIV/0!</v>
      </c>
      <c r="Q90" s="7" t="e">
        <f>Table1[[#This Row],[kelly/4 99]]*$W$2*$U$2</f>
        <v>#DIV/0!</v>
      </c>
      <c r="R90" s="2"/>
      <c r="S9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1" spans="1:19" x14ac:dyDescent="0.2">
      <c r="A91">
        <v>6916</v>
      </c>
      <c r="B91" t="s">
        <v>97</v>
      </c>
      <c r="C91" s="1">
        <v>45615</v>
      </c>
      <c r="D91" t="s">
        <v>13</v>
      </c>
      <c r="E91">
        <v>1.5</v>
      </c>
      <c r="F91" s="2">
        <v>0.49019607843137197</v>
      </c>
      <c r="G91" s="2">
        <v>0.41669762532942001</v>
      </c>
      <c r="H91" s="2">
        <v>0.46838631264011499</v>
      </c>
      <c r="I91" s="2">
        <v>0.469135802469135</v>
      </c>
      <c r="J91" s="2">
        <v>0.48421052631578898</v>
      </c>
      <c r="K91" s="2">
        <v>-1.0695173609173899E-2</v>
      </c>
      <c r="L91" s="2"/>
      <c r="M91" s="2" t="e">
        <f>(Table1[[#This Row],[poisson_likelihood]] - (1-Table1[[#This Row],[poisson_likelihood]])/(1/Table1[[#This Row],[365 implied]]-1))/4</f>
        <v>#DIV/0!</v>
      </c>
      <c r="N91" s="7" t="e">
        <f>Table1[[#This Row],[kelly/4 365]]*$W$2*$U$2</f>
        <v>#DIV/0!</v>
      </c>
      <c r="O91" s="2"/>
      <c r="P91" s="2" t="e">
        <f>(Table1[[#This Row],[poisson_likelihood]] - (1-Table1[[#This Row],[poisson_likelihood]])/(1/Table1[[#This Row],[99/pinn implied]]-1))/4</f>
        <v>#DIV/0!</v>
      </c>
      <c r="Q91" s="7" t="e">
        <f>Table1[[#This Row],[kelly/4 99]]*$W$2*$U$2</f>
        <v>#DIV/0!</v>
      </c>
      <c r="R91" s="2"/>
      <c r="S9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2" spans="1:19" x14ac:dyDescent="0.2">
      <c r="A92">
        <v>6863</v>
      </c>
      <c r="B92" t="s">
        <v>71</v>
      </c>
      <c r="C92" s="1">
        <v>45615</v>
      </c>
      <c r="D92" t="s">
        <v>12</v>
      </c>
      <c r="E92">
        <v>1.5</v>
      </c>
      <c r="F92" s="2">
        <v>0.65359477124182996</v>
      </c>
      <c r="G92" s="2">
        <v>0.672531541395332</v>
      </c>
      <c r="H92" s="2">
        <v>0.63870833052159504</v>
      </c>
      <c r="I92" s="2">
        <v>0.658385093167701</v>
      </c>
      <c r="J92" s="2">
        <v>0.64684014869888395</v>
      </c>
      <c r="K92" s="2">
        <v>-1.0743516180169299E-2</v>
      </c>
      <c r="L92" s="2"/>
      <c r="M92" s="2" t="e">
        <f>(Table1[[#This Row],[poisson_likelihood]] - (1-Table1[[#This Row],[poisson_likelihood]])/(1/Table1[[#This Row],[365 implied]]-1))/4</f>
        <v>#DIV/0!</v>
      </c>
      <c r="N92" s="7" t="e">
        <f>Table1[[#This Row],[kelly/4 365]]*$W$2*$U$2</f>
        <v>#DIV/0!</v>
      </c>
      <c r="O92" s="2"/>
      <c r="P92" s="2" t="e">
        <f>(Table1[[#This Row],[poisson_likelihood]] - (1-Table1[[#This Row],[poisson_likelihood]])/(1/Table1[[#This Row],[99/pinn implied]]-1))/4</f>
        <v>#DIV/0!</v>
      </c>
      <c r="Q92" s="7" t="e">
        <f>Table1[[#This Row],[kelly/4 99]]*$W$2*$U$2</f>
        <v>#DIV/0!</v>
      </c>
      <c r="R92" s="2"/>
      <c r="S9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3" spans="1:19" x14ac:dyDescent="0.2">
      <c r="A93">
        <v>6778</v>
      </c>
      <c r="B93" t="s">
        <v>28</v>
      </c>
      <c r="C93" s="1">
        <v>45615</v>
      </c>
      <c r="D93" t="s">
        <v>13</v>
      </c>
      <c r="E93">
        <v>3.5</v>
      </c>
      <c r="F93" s="2">
        <v>0.61728395061728303</v>
      </c>
      <c r="G93" s="2">
        <v>0.56179204329312704</v>
      </c>
      <c r="H93" s="2">
        <v>0.60066324552260697</v>
      </c>
      <c r="I93" s="2">
        <v>0.59239130434782605</v>
      </c>
      <c r="J93" s="2">
        <v>0.582278481012658</v>
      </c>
      <c r="K93" s="2">
        <v>-1.08570734892644E-2</v>
      </c>
      <c r="L93" s="2"/>
      <c r="M93" s="2" t="e">
        <f>(Table1[[#This Row],[poisson_likelihood]] - (1-Table1[[#This Row],[poisson_likelihood]])/(1/Table1[[#This Row],[365 implied]]-1))/4</f>
        <v>#DIV/0!</v>
      </c>
      <c r="N93" s="7" t="e">
        <f>Table1[[#This Row],[kelly/4 365]]*$W$2*$U$2</f>
        <v>#DIV/0!</v>
      </c>
      <c r="O93" s="2"/>
      <c r="P93" s="2" t="e">
        <f>(Table1[[#This Row],[poisson_likelihood]] - (1-Table1[[#This Row],[poisson_likelihood]])/(1/Table1[[#This Row],[99/pinn implied]]-1))/4</f>
        <v>#DIV/0!</v>
      </c>
      <c r="Q93" s="7" t="e">
        <f>Table1[[#This Row],[kelly/4 99]]*$W$2*$U$2</f>
        <v>#DIV/0!</v>
      </c>
      <c r="R93" s="2"/>
      <c r="S9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4" spans="1:19" x14ac:dyDescent="0.2">
      <c r="A94">
        <v>6789</v>
      </c>
      <c r="B94" t="s">
        <v>34</v>
      </c>
      <c r="C94" s="1">
        <v>45615</v>
      </c>
      <c r="D94" t="s">
        <v>12</v>
      </c>
      <c r="E94">
        <v>2.5</v>
      </c>
      <c r="F94" s="2">
        <v>0.47169811320754701</v>
      </c>
      <c r="G94" s="2">
        <v>0.49159996306614101</v>
      </c>
      <c r="H94" s="2">
        <v>0.44684528817014302</v>
      </c>
      <c r="I94" s="2">
        <v>0.467391304347826</v>
      </c>
      <c r="J94" s="2">
        <v>0.436708860759493</v>
      </c>
      <c r="K94" s="2">
        <v>-1.17607118480571E-2</v>
      </c>
      <c r="L94" s="2"/>
      <c r="M94" s="2" t="e">
        <f>(Table1[[#This Row],[poisson_likelihood]] - (1-Table1[[#This Row],[poisson_likelihood]])/(1/Table1[[#This Row],[365 implied]]-1))/4</f>
        <v>#DIV/0!</v>
      </c>
      <c r="N94" s="7" t="e">
        <f>Table1[[#This Row],[kelly/4 365]]*$W$2*$U$2</f>
        <v>#DIV/0!</v>
      </c>
      <c r="O94" s="2"/>
      <c r="P94" s="2" t="e">
        <f>(Table1[[#This Row],[poisson_likelihood]] - (1-Table1[[#This Row],[poisson_likelihood]])/(1/Table1[[#This Row],[99/pinn implied]]-1))/4</f>
        <v>#DIV/0!</v>
      </c>
      <c r="Q94" s="7" t="e">
        <f>Table1[[#This Row],[kelly/4 99]]*$W$2*$U$2</f>
        <v>#DIV/0!</v>
      </c>
      <c r="R94" s="2"/>
      <c r="S9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5" spans="1:19" x14ac:dyDescent="0.2">
      <c r="A95">
        <v>6813</v>
      </c>
      <c r="B95" t="s">
        <v>46</v>
      </c>
      <c r="C95" s="1">
        <v>45615</v>
      </c>
      <c r="D95" t="s">
        <v>12</v>
      </c>
      <c r="E95">
        <v>2.5</v>
      </c>
      <c r="F95" s="2">
        <v>0.40983606557377</v>
      </c>
      <c r="G95" s="2">
        <v>0.42782151823671899</v>
      </c>
      <c r="H95" s="2">
        <v>0.381623059530314</v>
      </c>
      <c r="I95" s="2">
        <v>0.38418079096045199</v>
      </c>
      <c r="J95" s="2">
        <v>0.39144736842105199</v>
      </c>
      <c r="K95" s="2">
        <v>-1.19513428378528E-2</v>
      </c>
      <c r="L95" s="2"/>
      <c r="M95" s="2" t="e">
        <f>(Table1[[#This Row],[poisson_likelihood]] - (1-Table1[[#This Row],[poisson_likelihood]])/(1/Table1[[#This Row],[365 implied]]-1))/4</f>
        <v>#DIV/0!</v>
      </c>
      <c r="N95" s="7" t="e">
        <f>Table1[[#This Row],[kelly/4 365]]*$W$2*$U$2</f>
        <v>#DIV/0!</v>
      </c>
      <c r="O95" s="2"/>
      <c r="P95" s="2" t="e">
        <f>(Table1[[#This Row],[poisson_likelihood]] - (1-Table1[[#This Row],[poisson_likelihood]])/(1/Table1[[#This Row],[99/pinn implied]]-1))/4</f>
        <v>#DIV/0!</v>
      </c>
      <c r="Q95" s="7" t="e">
        <f>Table1[[#This Row],[kelly/4 99]]*$W$2*$U$2</f>
        <v>#DIV/0!</v>
      </c>
      <c r="R95" s="2"/>
      <c r="S9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6" spans="1:19" x14ac:dyDescent="0.2">
      <c r="A96">
        <v>6903</v>
      </c>
      <c r="B96" t="s">
        <v>91</v>
      </c>
      <c r="C96" s="1">
        <v>45615</v>
      </c>
      <c r="D96" t="s">
        <v>12</v>
      </c>
      <c r="E96">
        <v>2.5</v>
      </c>
      <c r="F96" s="2">
        <v>0.485436893203883</v>
      </c>
      <c r="G96" s="2">
        <v>0.50390030444105105</v>
      </c>
      <c r="H96" s="2">
        <v>0.46002065787796798</v>
      </c>
      <c r="I96" s="2">
        <v>0.45505617977528001</v>
      </c>
      <c r="J96" s="2">
        <v>0.47019867549668798</v>
      </c>
      <c r="K96" s="2">
        <v>-1.2348453955515299E-2</v>
      </c>
      <c r="L96" s="2"/>
      <c r="M96" s="2" t="e">
        <f>(Table1[[#This Row],[poisson_likelihood]] - (1-Table1[[#This Row],[poisson_likelihood]])/(1/Table1[[#This Row],[365 implied]]-1))/4</f>
        <v>#DIV/0!</v>
      </c>
      <c r="N96" s="7" t="e">
        <f>Table1[[#This Row],[kelly/4 365]]*$W$2*$U$2</f>
        <v>#DIV/0!</v>
      </c>
      <c r="O96" s="2"/>
      <c r="P96" s="2" t="e">
        <f>(Table1[[#This Row],[poisson_likelihood]] - (1-Table1[[#This Row],[poisson_likelihood]])/(1/Table1[[#This Row],[99/pinn implied]]-1))/4</f>
        <v>#DIV/0!</v>
      </c>
      <c r="Q96" s="7" t="e">
        <f>Table1[[#This Row],[kelly/4 99]]*$W$2*$U$2</f>
        <v>#DIV/0!</v>
      </c>
      <c r="R96" s="2"/>
      <c r="S9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7" spans="1:19" x14ac:dyDescent="0.2">
      <c r="A97">
        <v>6825</v>
      </c>
      <c r="B97" t="s">
        <v>52</v>
      </c>
      <c r="C97" s="1">
        <v>45615</v>
      </c>
      <c r="D97" t="s">
        <v>12</v>
      </c>
      <c r="E97">
        <v>2.5</v>
      </c>
      <c r="F97" s="2">
        <v>0.39682539682539603</v>
      </c>
      <c r="G97" s="2">
        <v>0.416857047156237</v>
      </c>
      <c r="H97" s="2">
        <v>0.36617254880653599</v>
      </c>
      <c r="I97" s="2">
        <v>0.421875</v>
      </c>
      <c r="J97" s="2">
        <v>0.46153846153846101</v>
      </c>
      <c r="K97" s="2">
        <v>-1.2704798849922301E-2</v>
      </c>
      <c r="L97" s="2"/>
      <c r="M97" s="2" t="e">
        <f>(Table1[[#This Row],[poisson_likelihood]] - (1-Table1[[#This Row],[poisson_likelihood]])/(1/Table1[[#This Row],[365 implied]]-1))/4</f>
        <v>#DIV/0!</v>
      </c>
      <c r="N97" s="7" t="e">
        <f>Table1[[#This Row],[kelly/4 365]]*$W$2*$U$2</f>
        <v>#DIV/0!</v>
      </c>
      <c r="O97" s="2"/>
      <c r="P97" s="2" t="e">
        <f>(Table1[[#This Row],[poisson_likelihood]] - (1-Table1[[#This Row],[poisson_likelihood]])/(1/Table1[[#This Row],[99/pinn implied]]-1))/4</f>
        <v>#DIV/0!</v>
      </c>
      <c r="Q97" s="7" t="e">
        <f>Table1[[#This Row],[kelly/4 99]]*$W$2*$U$2</f>
        <v>#DIV/0!</v>
      </c>
      <c r="R97" s="2"/>
      <c r="S9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8" spans="1:19" x14ac:dyDescent="0.2">
      <c r="A98">
        <v>6832</v>
      </c>
      <c r="B98" t="s">
        <v>55</v>
      </c>
      <c r="C98" s="1">
        <v>45615</v>
      </c>
      <c r="D98" t="s">
        <v>13</v>
      </c>
      <c r="E98">
        <v>1.5</v>
      </c>
      <c r="F98" s="2">
        <v>0.48076923076923</v>
      </c>
      <c r="G98" s="2">
        <v>0.40504894132990898</v>
      </c>
      <c r="H98" s="2">
        <v>0.45404888755776501</v>
      </c>
      <c r="I98" s="2">
        <v>0.45714285714285702</v>
      </c>
      <c r="J98" s="2">
        <v>0.46303501945525199</v>
      </c>
      <c r="K98" s="2">
        <v>-1.2865350435150099E-2</v>
      </c>
      <c r="L98" s="2"/>
      <c r="M98" s="2" t="e">
        <f>(Table1[[#This Row],[poisson_likelihood]] - (1-Table1[[#This Row],[poisson_likelihood]])/(1/Table1[[#This Row],[365 implied]]-1))/4</f>
        <v>#DIV/0!</v>
      </c>
      <c r="N98" s="7" t="e">
        <f>Table1[[#This Row],[kelly/4 365]]*$W$2*$U$2</f>
        <v>#DIV/0!</v>
      </c>
      <c r="O98" s="2"/>
      <c r="P98" s="2" t="e">
        <f>(Table1[[#This Row],[poisson_likelihood]] - (1-Table1[[#This Row],[poisson_likelihood]])/(1/Table1[[#This Row],[99/pinn implied]]-1))/4</f>
        <v>#DIV/0!</v>
      </c>
      <c r="Q98" s="7" t="e">
        <f>Table1[[#This Row],[kelly/4 99]]*$W$2*$U$2</f>
        <v>#DIV/0!</v>
      </c>
      <c r="R98" s="2"/>
      <c r="S9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9" spans="1:19" x14ac:dyDescent="0.2">
      <c r="A99">
        <v>6763</v>
      </c>
      <c r="B99" t="s">
        <v>21</v>
      </c>
      <c r="C99" s="1">
        <v>45615</v>
      </c>
      <c r="D99" t="s">
        <v>12</v>
      </c>
      <c r="E99">
        <v>1.5</v>
      </c>
      <c r="F99" s="2">
        <v>0.625</v>
      </c>
      <c r="G99" s="2">
        <v>0.633017240333413</v>
      </c>
      <c r="H99" s="2">
        <v>0.60506175419011499</v>
      </c>
      <c r="I99" s="2">
        <v>0.70718232044198803</v>
      </c>
      <c r="J99" s="2">
        <v>0.71009771986970605</v>
      </c>
      <c r="K99" s="2">
        <v>-1.32921638732564E-2</v>
      </c>
      <c r="L99" s="2"/>
      <c r="M99" s="2" t="e">
        <f>(Table1[[#This Row],[poisson_likelihood]] - (1-Table1[[#This Row],[poisson_likelihood]])/(1/Table1[[#This Row],[365 implied]]-1))/4</f>
        <v>#DIV/0!</v>
      </c>
      <c r="N99" s="7" t="e">
        <f>Table1[[#This Row],[kelly/4 365]]*$W$2*$U$2</f>
        <v>#DIV/0!</v>
      </c>
      <c r="O99" s="2"/>
      <c r="P99" s="2" t="e">
        <f>(Table1[[#This Row],[poisson_likelihood]] - (1-Table1[[#This Row],[poisson_likelihood]])/(1/Table1[[#This Row],[99/pinn implied]]-1))/4</f>
        <v>#DIV/0!</v>
      </c>
      <c r="Q99" s="7" t="e">
        <f>Table1[[#This Row],[kelly/4 99]]*$W$2*$U$2</f>
        <v>#DIV/0!</v>
      </c>
      <c r="R99" s="2"/>
      <c r="S9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0" spans="1:19" x14ac:dyDescent="0.2">
      <c r="A100">
        <v>6928</v>
      </c>
      <c r="B100" t="s">
        <v>103</v>
      </c>
      <c r="C100" s="1">
        <v>45615</v>
      </c>
      <c r="D100" t="s">
        <v>13</v>
      </c>
      <c r="E100">
        <v>1.5</v>
      </c>
      <c r="F100" s="2">
        <v>0.476190476190476</v>
      </c>
      <c r="G100" s="2">
        <v>0.40537250559337301</v>
      </c>
      <c r="H100" s="2">
        <v>0.44776435157337202</v>
      </c>
      <c r="I100" s="2">
        <v>0.50617283950617198</v>
      </c>
      <c r="J100" s="2">
        <v>0.52961672473867505</v>
      </c>
      <c r="K100" s="2">
        <v>-1.3567014021799301E-2</v>
      </c>
      <c r="L100" s="2"/>
      <c r="M100" s="2" t="e">
        <f>(Table1[[#This Row],[poisson_likelihood]] - (1-Table1[[#This Row],[poisson_likelihood]])/(1/Table1[[#This Row],[365 implied]]-1))/4</f>
        <v>#DIV/0!</v>
      </c>
      <c r="N100" s="7" t="e">
        <f>Table1[[#This Row],[kelly/4 365]]*$W$2*$U$2</f>
        <v>#DIV/0!</v>
      </c>
      <c r="O100" s="2"/>
      <c r="P100" s="2" t="e">
        <f>(Table1[[#This Row],[poisson_likelihood]] - (1-Table1[[#This Row],[poisson_likelihood]])/(1/Table1[[#This Row],[99/pinn implied]]-1))/4</f>
        <v>#DIV/0!</v>
      </c>
      <c r="Q100" s="7" t="e">
        <f>Table1[[#This Row],[kelly/4 99]]*$W$2*$U$2</f>
        <v>#DIV/0!</v>
      </c>
      <c r="R100" s="2"/>
      <c r="S10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1" spans="1:19" x14ac:dyDescent="0.2">
      <c r="A101">
        <v>6764</v>
      </c>
      <c r="B101" t="s">
        <v>21</v>
      </c>
      <c r="C101" s="1">
        <v>45615</v>
      </c>
      <c r="D101" t="s">
        <v>13</v>
      </c>
      <c r="E101">
        <v>1.5</v>
      </c>
      <c r="F101" s="2">
        <v>0.427350427350427</v>
      </c>
      <c r="G101" s="2">
        <v>0.366982759666586</v>
      </c>
      <c r="H101" s="2">
        <v>0.39493824580988401</v>
      </c>
      <c r="I101" s="2">
        <v>0.29281767955801102</v>
      </c>
      <c r="J101" s="2">
        <v>0.28990228013029301</v>
      </c>
      <c r="K101" s="2">
        <v>-1.4150094180012901E-2</v>
      </c>
      <c r="L101" s="2"/>
      <c r="M101" s="2" t="e">
        <f>(Table1[[#This Row],[poisson_likelihood]] - (1-Table1[[#This Row],[poisson_likelihood]])/(1/Table1[[#This Row],[365 implied]]-1))/4</f>
        <v>#DIV/0!</v>
      </c>
      <c r="N101" s="7" t="e">
        <f>Table1[[#This Row],[kelly/4 365]]*$W$2*$U$2</f>
        <v>#DIV/0!</v>
      </c>
      <c r="O101" s="2"/>
      <c r="P101" s="2" t="e">
        <f>(Table1[[#This Row],[poisson_likelihood]] - (1-Table1[[#This Row],[poisson_likelihood]])/(1/Table1[[#This Row],[99/pinn implied]]-1))/4</f>
        <v>#DIV/0!</v>
      </c>
      <c r="Q101" s="7" t="e">
        <f>Table1[[#This Row],[kelly/4 99]]*$W$2*$U$2</f>
        <v>#DIV/0!</v>
      </c>
      <c r="R101" s="2"/>
      <c r="S10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2" spans="1:19" x14ac:dyDescent="0.2">
      <c r="A102">
        <v>6876</v>
      </c>
      <c r="B102" t="s">
        <v>77</v>
      </c>
      <c r="C102" s="1">
        <v>45615</v>
      </c>
      <c r="D102" t="s">
        <v>13</v>
      </c>
      <c r="E102">
        <v>3.5</v>
      </c>
      <c r="F102" s="2">
        <v>0.581395348837209</v>
      </c>
      <c r="G102" s="2">
        <v>0.51946578039187996</v>
      </c>
      <c r="H102" s="2">
        <v>0.55756110464924502</v>
      </c>
      <c r="I102" s="2">
        <v>0.60893854748603304</v>
      </c>
      <c r="J102" s="2">
        <v>0.58415841584158401</v>
      </c>
      <c r="K102" s="2">
        <v>-1.42343402789231E-2</v>
      </c>
      <c r="L102" s="2"/>
      <c r="M102" s="2" t="e">
        <f>(Table1[[#This Row],[poisson_likelihood]] - (1-Table1[[#This Row],[poisson_likelihood]])/(1/Table1[[#This Row],[365 implied]]-1))/4</f>
        <v>#DIV/0!</v>
      </c>
      <c r="N102" s="7" t="e">
        <f>Table1[[#This Row],[kelly/4 365]]*$W$2*$U$2</f>
        <v>#DIV/0!</v>
      </c>
      <c r="O102" s="2"/>
      <c r="P102" s="2" t="e">
        <f>(Table1[[#This Row],[poisson_likelihood]] - (1-Table1[[#This Row],[poisson_likelihood]])/(1/Table1[[#This Row],[99/pinn implied]]-1))/4</f>
        <v>#DIV/0!</v>
      </c>
      <c r="Q102" s="7" t="e">
        <f>Table1[[#This Row],[kelly/4 99]]*$W$2*$U$2</f>
        <v>#DIV/0!</v>
      </c>
      <c r="R102" s="2"/>
      <c r="S10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3" spans="1:19" x14ac:dyDescent="0.2">
      <c r="A103">
        <v>6902</v>
      </c>
      <c r="B103" t="s">
        <v>90</v>
      </c>
      <c r="C103" s="1">
        <v>45615</v>
      </c>
      <c r="D103" t="s">
        <v>13</v>
      </c>
      <c r="E103">
        <v>2.5</v>
      </c>
      <c r="F103" s="2">
        <v>0.52356020942408299</v>
      </c>
      <c r="G103" s="2">
        <v>0.45186402723623198</v>
      </c>
      <c r="H103" s="2">
        <v>0.49283218105948801</v>
      </c>
      <c r="I103" s="2">
        <v>0.54143646408839696</v>
      </c>
      <c r="J103" s="2">
        <v>0.53896103896103897</v>
      </c>
      <c r="K103" s="2">
        <v>-1.61237731253784E-2</v>
      </c>
      <c r="L103" s="2"/>
      <c r="M103" s="2" t="e">
        <f>(Table1[[#This Row],[poisson_likelihood]] - (1-Table1[[#This Row],[poisson_likelihood]])/(1/Table1[[#This Row],[365 implied]]-1))/4</f>
        <v>#DIV/0!</v>
      </c>
      <c r="N103" s="7" t="e">
        <f>Table1[[#This Row],[kelly/4 365]]*$W$2*$U$2</f>
        <v>#DIV/0!</v>
      </c>
      <c r="O103" s="2"/>
      <c r="P103" s="2" t="e">
        <f>(Table1[[#This Row],[poisson_likelihood]] - (1-Table1[[#This Row],[poisson_likelihood]])/(1/Table1[[#This Row],[99/pinn implied]]-1))/4</f>
        <v>#DIV/0!</v>
      </c>
      <c r="Q103" s="7" t="e">
        <f>Table1[[#This Row],[kelly/4 99]]*$W$2*$U$2</f>
        <v>#DIV/0!</v>
      </c>
      <c r="R103" s="2"/>
      <c r="S10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4" spans="1:19" x14ac:dyDescent="0.2">
      <c r="A104">
        <v>6870</v>
      </c>
      <c r="B104" t="s">
        <v>74</v>
      </c>
      <c r="C104" s="1">
        <v>45615</v>
      </c>
      <c r="D104" t="s">
        <v>13</v>
      </c>
      <c r="E104">
        <v>2.5</v>
      </c>
      <c r="F104" s="2">
        <v>0.61728395061728303</v>
      </c>
      <c r="G104" s="2">
        <v>0.54548082787068397</v>
      </c>
      <c r="H104" s="2">
        <v>0.59244065757088604</v>
      </c>
      <c r="I104" s="2">
        <v>0.62015503875968903</v>
      </c>
      <c r="J104" s="2">
        <v>0.64215686274509798</v>
      </c>
      <c r="K104" s="2">
        <v>-1.6228280135146499E-2</v>
      </c>
      <c r="L104" s="2"/>
      <c r="M104" s="2" t="e">
        <f>(Table1[[#This Row],[poisson_likelihood]] - (1-Table1[[#This Row],[poisson_likelihood]])/(1/Table1[[#This Row],[365 implied]]-1))/4</f>
        <v>#DIV/0!</v>
      </c>
      <c r="N104" s="7" t="e">
        <f>Table1[[#This Row],[kelly/4 365]]*$W$2*$U$2</f>
        <v>#DIV/0!</v>
      </c>
      <c r="O104" s="2"/>
      <c r="P104" s="2" t="e">
        <f>(Table1[[#This Row],[poisson_likelihood]] - (1-Table1[[#This Row],[poisson_likelihood]])/(1/Table1[[#This Row],[99/pinn implied]]-1))/4</f>
        <v>#DIV/0!</v>
      </c>
      <c r="Q104" s="7" t="e">
        <f>Table1[[#This Row],[kelly/4 99]]*$W$2*$U$2</f>
        <v>#DIV/0!</v>
      </c>
      <c r="R104" s="2"/>
      <c r="S10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5" spans="1:19" x14ac:dyDescent="0.2">
      <c r="A105">
        <v>6804</v>
      </c>
      <c r="B105" t="s">
        <v>41</v>
      </c>
      <c r="C105" s="1">
        <v>45615</v>
      </c>
      <c r="D105" t="s">
        <v>13</v>
      </c>
      <c r="E105">
        <v>1.5</v>
      </c>
      <c r="F105" s="2">
        <v>0.47393364928909898</v>
      </c>
      <c r="G105" s="2">
        <v>0.37896126521283202</v>
      </c>
      <c r="H105" s="2">
        <v>0.43920429615274698</v>
      </c>
      <c r="I105" s="2">
        <v>0.51123595505617903</v>
      </c>
      <c r="J105" s="2">
        <v>0.51986754966887405</v>
      </c>
      <c r="K105" s="2">
        <v>-1.6504264666149501E-2</v>
      </c>
      <c r="L105" s="2"/>
      <c r="M105" s="2" t="e">
        <f>(Table1[[#This Row],[poisson_likelihood]] - (1-Table1[[#This Row],[poisson_likelihood]])/(1/Table1[[#This Row],[365 implied]]-1))/4</f>
        <v>#DIV/0!</v>
      </c>
      <c r="N105" s="7" t="e">
        <f>Table1[[#This Row],[kelly/4 365]]*$W$2*$U$2</f>
        <v>#DIV/0!</v>
      </c>
      <c r="O105" s="2"/>
      <c r="P105" s="2" t="e">
        <f>(Table1[[#This Row],[poisson_likelihood]] - (1-Table1[[#This Row],[poisson_likelihood]])/(1/Table1[[#This Row],[99/pinn implied]]-1))/4</f>
        <v>#DIV/0!</v>
      </c>
      <c r="Q105" s="7" t="e">
        <f>Table1[[#This Row],[kelly/4 99]]*$W$2*$U$2</f>
        <v>#DIV/0!</v>
      </c>
      <c r="R105" s="2"/>
      <c r="S10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6" spans="1:19" x14ac:dyDescent="0.2">
      <c r="A106">
        <v>6803</v>
      </c>
      <c r="B106" t="s">
        <v>41</v>
      </c>
      <c r="C106" s="1">
        <v>45615</v>
      </c>
      <c r="D106" t="s">
        <v>12</v>
      </c>
      <c r="E106">
        <v>1.5</v>
      </c>
      <c r="F106" s="2">
        <v>0.58823529411764697</v>
      </c>
      <c r="G106" s="2">
        <v>0.62103873478716698</v>
      </c>
      <c r="H106" s="2">
        <v>0.56079570384725297</v>
      </c>
      <c r="I106" s="2">
        <v>0.48876404494381998</v>
      </c>
      <c r="J106" s="2">
        <v>0.480132450331125</v>
      </c>
      <c r="K106" s="2">
        <v>-1.66597512355964E-2</v>
      </c>
      <c r="L106" s="2"/>
      <c r="M106" s="2" t="e">
        <f>(Table1[[#This Row],[poisson_likelihood]] - (1-Table1[[#This Row],[poisson_likelihood]])/(1/Table1[[#This Row],[365 implied]]-1))/4</f>
        <v>#DIV/0!</v>
      </c>
      <c r="N106" s="7" t="e">
        <f>Table1[[#This Row],[kelly/4 365]]*$W$2*$U$2</f>
        <v>#DIV/0!</v>
      </c>
      <c r="O106" s="2"/>
      <c r="P106" s="2" t="e">
        <f>(Table1[[#This Row],[poisson_likelihood]] - (1-Table1[[#This Row],[poisson_likelihood]])/(1/Table1[[#This Row],[99/pinn implied]]-1))/4</f>
        <v>#DIV/0!</v>
      </c>
      <c r="Q106" s="7" t="e">
        <f>Table1[[#This Row],[kelly/4 99]]*$W$2*$U$2</f>
        <v>#DIV/0!</v>
      </c>
      <c r="R106" s="2"/>
      <c r="S10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7" spans="1:19" x14ac:dyDescent="0.2">
      <c r="A107">
        <v>6831</v>
      </c>
      <c r="B107" t="s">
        <v>55</v>
      </c>
      <c r="C107" s="1">
        <v>45615</v>
      </c>
      <c r="D107" t="s">
        <v>12</v>
      </c>
      <c r="E107">
        <v>1.5</v>
      </c>
      <c r="F107" s="2">
        <v>0.57471264367816</v>
      </c>
      <c r="G107" s="2">
        <v>0.59495105867009002</v>
      </c>
      <c r="H107" s="2">
        <v>0.54595111244223404</v>
      </c>
      <c r="I107" s="2">
        <v>0.54285714285714204</v>
      </c>
      <c r="J107" s="2">
        <v>0.53696498054474695</v>
      </c>
      <c r="K107" s="2">
        <v>-1.69071163346321E-2</v>
      </c>
      <c r="L107" s="2"/>
      <c r="M107" s="2" t="e">
        <f>(Table1[[#This Row],[poisson_likelihood]] - (1-Table1[[#This Row],[poisson_likelihood]])/(1/Table1[[#This Row],[365 implied]]-1))/4</f>
        <v>#DIV/0!</v>
      </c>
      <c r="N107" s="7" t="e">
        <f>Table1[[#This Row],[kelly/4 365]]*$W$2*$U$2</f>
        <v>#DIV/0!</v>
      </c>
      <c r="O107" s="2"/>
      <c r="P107" s="2" t="e">
        <f>(Table1[[#This Row],[poisson_likelihood]] - (1-Table1[[#This Row],[poisson_likelihood]])/(1/Table1[[#This Row],[99/pinn implied]]-1))/4</f>
        <v>#DIV/0!</v>
      </c>
      <c r="Q107" s="7" t="e">
        <f>Table1[[#This Row],[kelly/4 99]]*$W$2*$U$2</f>
        <v>#DIV/0!</v>
      </c>
      <c r="R107" s="2"/>
      <c r="S10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8" spans="1:19" x14ac:dyDescent="0.2">
      <c r="A108">
        <v>6777</v>
      </c>
      <c r="B108" t="s">
        <v>28</v>
      </c>
      <c r="C108" s="1">
        <v>45615</v>
      </c>
      <c r="D108" t="s">
        <v>12</v>
      </c>
      <c r="E108">
        <v>3.5</v>
      </c>
      <c r="F108" s="2">
        <v>0.43859649122806998</v>
      </c>
      <c r="G108" s="2">
        <v>0.43820795670687201</v>
      </c>
      <c r="H108" s="2">
        <v>0.39933675447739198</v>
      </c>
      <c r="I108" s="2">
        <v>0.407608695652173</v>
      </c>
      <c r="J108" s="2">
        <v>0.417721518987341</v>
      </c>
      <c r="K108" s="2">
        <v>-1.7482851521786101E-2</v>
      </c>
      <c r="L108" s="2"/>
      <c r="M108" s="2" t="e">
        <f>(Table1[[#This Row],[poisson_likelihood]] - (1-Table1[[#This Row],[poisson_likelihood]])/(1/Table1[[#This Row],[365 implied]]-1))/4</f>
        <v>#DIV/0!</v>
      </c>
      <c r="N108" s="7" t="e">
        <f>Table1[[#This Row],[kelly/4 365]]*$W$2*$U$2</f>
        <v>#DIV/0!</v>
      </c>
      <c r="O108" s="2"/>
      <c r="P108" s="2" t="e">
        <f>(Table1[[#This Row],[poisson_likelihood]] - (1-Table1[[#This Row],[poisson_likelihood]])/(1/Table1[[#This Row],[99/pinn implied]]-1))/4</f>
        <v>#DIV/0!</v>
      </c>
      <c r="Q108" s="7" t="e">
        <f>Table1[[#This Row],[kelly/4 99]]*$W$2*$U$2</f>
        <v>#DIV/0!</v>
      </c>
      <c r="R108" s="2"/>
      <c r="S10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9" spans="1:19" x14ac:dyDescent="0.2">
      <c r="A109">
        <v>6908</v>
      </c>
      <c r="B109" t="s">
        <v>93</v>
      </c>
      <c r="C109" s="1">
        <v>45615</v>
      </c>
      <c r="D109" t="s">
        <v>13</v>
      </c>
      <c r="E109">
        <v>3.5</v>
      </c>
      <c r="F109" s="2">
        <v>0.59523809523809501</v>
      </c>
      <c r="G109" s="2">
        <v>0.52937953122199299</v>
      </c>
      <c r="H109" s="2">
        <v>0.56617361739238903</v>
      </c>
      <c r="I109" s="2">
        <v>0.58241758241758201</v>
      </c>
      <c r="J109" s="2">
        <v>0.587096774193548</v>
      </c>
      <c r="K109" s="2">
        <v>-1.7951589257641998E-2</v>
      </c>
      <c r="L109" s="2"/>
      <c r="M109" s="2" t="e">
        <f>(Table1[[#This Row],[poisson_likelihood]] - (1-Table1[[#This Row],[poisson_likelihood]])/(1/Table1[[#This Row],[365 implied]]-1))/4</f>
        <v>#DIV/0!</v>
      </c>
      <c r="N109" s="7" t="e">
        <f>Table1[[#This Row],[kelly/4 365]]*$W$2*$U$2</f>
        <v>#DIV/0!</v>
      </c>
      <c r="O109" s="2"/>
      <c r="P109" s="2" t="e">
        <f>(Table1[[#This Row],[poisson_likelihood]] - (1-Table1[[#This Row],[poisson_likelihood]])/(1/Table1[[#This Row],[99/pinn implied]]-1))/4</f>
        <v>#DIV/0!</v>
      </c>
      <c r="Q109" s="7" t="e">
        <f>Table1[[#This Row],[kelly/4 99]]*$W$2*$U$2</f>
        <v>#DIV/0!</v>
      </c>
      <c r="R109" s="2"/>
      <c r="S10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0" spans="1:19" x14ac:dyDescent="0.2">
      <c r="A110">
        <v>6901</v>
      </c>
      <c r="B110" t="s">
        <v>90</v>
      </c>
      <c r="C110" s="1">
        <v>45615</v>
      </c>
      <c r="D110" t="s">
        <v>12</v>
      </c>
      <c r="E110">
        <v>2.5</v>
      </c>
      <c r="F110" s="2">
        <v>0.54054054054054002</v>
      </c>
      <c r="G110" s="2">
        <v>0.54813597276376702</v>
      </c>
      <c r="H110" s="2">
        <v>0.50716781894051099</v>
      </c>
      <c r="I110" s="2">
        <v>0.45856353591160198</v>
      </c>
      <c r="J110" s="2">
        <v>0.46103896103896103</v>
      </c>
      <c r="K110" s="2">
        <v>-1.8158686752956801E-2</v>
      </c>
      <c r="L110" s="2"/>
      <c r="M110" s="2" t="e">
        <f>(Table1[[#This Row],[poisson_likelihood]] - (1-Table1[[#This Row],[poisson_likelihood]])/(1/Table1[[#This Row],[365 implied]]-1))/4</f>
        <v>#DIV/0!</v>
      </c>
      <c r="N110" s="7" t="e">
        <f>Table1[[#This Row],[kelly/4 365]]*$W$2*$U$2</f>
        <v>#DIV/0!</v>
      </c>
      <c r="O110" s="2"/>
      <c r="P110" s="2" t="e">
        <f>(Table1[[#This Row],[poisson_likelihood]] - (1-Table1[[#This Row],[poisson_likelihood]])/(1/Table1[[#This Row],[99/pinn implied]]-1))/4</f>
        <v>#DIV/0!</v>
      </c>
      <c r="Q110" s="7" t="e">
        <f>Table1[[#This Row],[kelly/4 99]]*$W$2*$U$2</f>
        <v>#DIV/0!</v>
      </c>
      <c r="R110" s="2"/>
      <c r="S11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1" spans="1:19" x14ac:dyDescent="0.2">
      <c r="A111">
        <v>6814</v>
      </c>
      <c r="B111" t="s">
        <v>46</v>
      </c>
      <c r="C111" s="1">
        <v>45615</v>
      </c>
      <c r="D111" t="s">
        <v>13</v>
      </c>
      <c r="E111">
        <v>2.5</v>
      </c>
      <c r="F111" s="2">
        <v>0.64516129032257996</v>
      </c>
      <c r="G111" s="2">
        <v>0.57217848176328001</v>
      </c>
      <c r="H111" s="2">
        <v>0.61837694046968505</v>
      </c>
      <c r="I111" s="2">
        <v>0.61581920903954801</v>
      </c>
      <c r="J111" s="2">
        <v>0.60855263157894701</v>
      </c>
      <c r="K111" s="2">
        <v>-1.88707919418124E-2</v>
      </c>
      <c r="L111" s="2"/>
      <c r="M111" s="2" t="e">
        <f>(Table1[[#This Row],[poisson_likelihood]] - (1-Table1[[#This Row],[poisson_likelihood]])/(1/Table1[[#This Row],[365 implied]]-1))/4</f>
        <v>#DIV/0!</v>
      </c>
      <c r="N111" s="7" t="e">
        <f>Table1[[#This Row],[kelly/4 365]]*$W$2*$U$2</f>
        <v>#DIV/0!</v>
      </c>
      <c r="O111" s="2"/>
      <c r="P111" s="2" t="e">
        <f>(Table1[[#This Row],[poisson_likelihood]] - (1-Table1[[#This Row],[poisson_likelihood]])/(1/Table1[[#This Row],[99/pinn implied]]-1))/4</f>
        <v>#DIV/0!</v>
      </c>
      <c r="Q111" s="7" t="e">
        <f>Table1[[#This Row],[kelly/4 99]]*$W$2*$U$2</f>
        <v>#DIV/0!</v>
      </c>
      <c r="R111" s="2"/>
      <c r="S11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2" spans="1:19" x14ac:dyDescent="0.2">
      <c r="A112">
        <v>6915</v>
      </c>
      <c r="B112" t="s">
        <v>97</v>
      </c>
      <c r="C112" s="1">
        <v>45615</v>
      </c>
      <c r="D112" t="s">
        <v>12</v>
      </c>
      <c r="E112">
        <v>1.5</v>
      </c>
      <c r="F112" s="2">
        <v>0.56497175141242895</v>
      </c>
      <c r="G112" s="2">
        <v>0.58330237467057899</v>
      </c>
      <c r="H112" s="2">
        <v>0.53161368735988401</v>
      </c>
      <c r="I112" s="2">
        <v>0.530864197530864</v>
      </c>
      <c r="J112" s="2">
        <v>0.51578947368421002</v>
      </c>
      <c r="K112" s="2">
        <v>-1.9170056289936701E-2</v>
      </c>
      <c r="L112" s="2"/>
      <c r="M112" s="2" t="e">
        <f>(Table1[[#This Row],[poisson_likelihood]] - (1-Table1[[#This Row],[poisson_likelihood]])/(1/Table1[[#This Row],[365 implied]]-1))/4</f>
        <v>#DIV/0!</v>
      </c>
      <c r="N112" s="7" t="e">
        <f>Table1[[#This Row],[kelly/4 365]]*$W$2*$U$2</f>
        <v>#DIV/0!</v>
      </c>
      <c r="O112" s="2"/>
      <c r="P112" s="2" t="e">
        <f>(Table1[[#This Row],[poisson_likelihood]] - (1-Table1[[#This Row],[poisson_likelihood]])/(1/Table1[[#This Row],[99/pinn implied]]-1))/4</f>
        <v>#DIV/0!</v>
      </c>
      <c r="Q112" s="7" t="e">
        <f>Table1[[#This Row],[kelly/4 99]]*$W$2*$U$2</f>
        <v>#DIV/0!</v>
      </c>
      <c r="R112" s="2"/>
      <c r="S11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3" spans="1:19" x14ac:dyDescent="0.2">
      <c r="A113">
        <v>6780</v>
      </c>
      <c r="B113" t="s">
        <v>29</v>
      </c>
      <c r="C113" s="1">
        <v>45615</v>
      </c>
      <c r="D113" t="s">
        <v>13</v>
      </c>
      <c r="E113">
        <v>1.5</v>
      </c>
      <c r="F113" s="2">
        <v>0.46296296296296202</v>
      </c>
      <c r="G113" s="2">
        <v>0.370232358022556</v>
      </c>
      <c r="H113" s="2">
        <v>0.420449906599621</v>
      </c>
      <c r="I113" s="2">
        <v>0.37654320987654299</v>
      </c>
      <c r="J113" s="2">
        <v>0.378676470588235</v>
      </c>
      <c r="K113" s="2">
        <v>-1.9790560720865599E-2</v>
      </c>
      <c r="L113" s="2"/>
      <c r="M113" s="2" t="e">
        <f>(Table1[[#This Row],[poisson_likelihood]] - (1-Table1[[#This Row],[poisson_likelihood]])/(1/Table1[[#This Row],[365 implied]]-1))/4</f>
        <v>#DIV/0!</v>
      </c>
      <c r="N113" s="7" t="e">
        <f>Table1[[#This Row],[kelly/4 365]]*$W$2*$U$2</f>
        <v>#DIV/0!</v>
      </c>
      <c r="O113" s="2"/>
      <c r="P113" s="2" t="e">
        <f>(Table1[[#This Row],[poisson_likelihood]] - (1-Table1[[#This Row],[poisson_likelihood]])/(1/Table1[[#This Row],[99/pinn implied]]-1))/4</f>
        <v>#DIV/0!</v>
      </c>
      <c r="Q113" s="7" t="e">
        <f>Table1[[#This Row],[kelly/4 99]]*$W$2*$U$2</f>
        <v>#DIV/0!</v>
      </c>
      <c r="R113" s="2"/>
      <c r="S11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4" spans="1:19" x14ac:dyDescent="0.2">
      <c r="A114">
        <v>6864</v>
      </c>
      <c r="B114" t="s">
        <v>71</v>
      </c>
      <c r="C114" s="1">
        <v>45615</v>
      </c>
      <c r="D114" t="s">
        <v>13</v>
      </c>
      <c r="E114">
        <v>1.5</v>
      </c>
      <c r="F114" s="2">
        <v>0.40816326530612201</v>
      </c>
      <c r="G114" s="2">
        <v>0.327468458604667</v>
      </c>
      <c r="H114" s="2">
        <v>0.36129166947840402</v>
      </c>
      <c r="I114" s="2">
        <v>0.341614906832298</v>
      </c>
      <c r="J114" s="2">
        <v>0.35315985130111499</v>
      </c>
      <c r="K114" s="2">
        <v>-1.9799208582398E-2</v>
      </c>
      <c r="L114" s="2"/>
      <c r="M114" s="2" t="e">
        <f>(Table1[[#This Row],[poisson_likelihood]] - (1-Table1[[#This Row],[poisson_likelihood]])/(1/Table1[[#This Row],[365 implied]]-1))/4</f>
        <v>#DIV/0!</v>
      </c>
      <c r="N114" s="7" t="e">
        <f>Table1[[#This Row],[kelly/4 365]]*$W$2*$U$2</f>
        <v>#DIV/0!</v>
      </c>
      <c r="O114" s="2"/>
      <c r="P114" s="2" t="e">
        <f>(Table1[[#This Row],[poisson_likelihood]] - (1-Table1[[#This Row],[poisson_likelihood]])/(1/Table1[[#This Row],[99/pinn implied]]-1))/4</f>
        <v>#DIV/0!</v>
      </c>
      <c r="Q114" s="7" t="e">
        <f>Table1[[#This Row],[kelly/4 99]]*$W$2*$U$2</f>
        <v>#DIV/0!</v>
      </c>
      <c r="R114" s="2"/>
      <c r="S11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5" spans="1:19" x14ac:dyDescent="0.2">
      <c r="A115">
        <v>6808</v>
      </c>
      <c r="B115" t="s">
        <v>43</v>
      </c>
      <c r="C115" s="1">
        <v>45615</v>
      </c>
      <c r="D115" t="s">
        <v>13</v>
      </c>
      <c r="E115">
        <v>1.5</v>
      </c>
      <c r="F115" s="2">
        <v>0.40650406504065001</v>
      </c>
      <c r="G115" s="2">
        <v>0.32103597160226</v>
      </c>
      <c r="H115" s="2">
        <v>0.35871155981873198</v>
      </c>
      <c r="I115" s="2">
        <v>0.35838150289017301</v>
      </c>
      <c r="J115" s="2">
        <v>0.36860068259385598</v>
      </c>
      <c r="K115" s="2">
        <v>-2.01317744599172E-2</v>
      </c>
      <c r="L115" s="2"/>
      <c r="M115" s="2" t="e">
        <f>(Table1[[#This Row],[poisson_likelihood]] - (1-Table1[[#This Row],[poisson_likelihood]])/(1/Table1[[#This Row],[365 implied]]-1))/4</f>
        <v>#DIV/0!</v>
      </c>
      <c r="N115" s="7" t="e">
        <f>Table1[[#This Row],[kelly/4 365]]*$W$2*$U$2</f>
        <v>#DIV/0!</v>
      </c>
      <c r="O115" s="2"/>
      <c r="P115" s="2" t="e">
        <f>(Table1[[#This Row],[poisson_likelihood]] - (1-Table1[[#This Row],[poisson_likelihood]])/(1/Table1[[#This Row],[99/pinn implied]]-1))/4</f>
        <v>#DIV/0!</v>
      </c>
      <c r="Q115" s="7" t="e">
        <f>Table1[[#This Row],[kelly/4 99]]*$W$2*$U$2</f>
        <v>#DIV/0!</v>
      </c>
      <c r="R115" s="2"/>
      <c r="S11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6" spans="1:19" x14ac:dyDescent="0.2">
      <c r="A116">
        <v>6904</v>
      </c>
      <c r="B116" t="s">
        <v>91</v>
      </c>
      <c r="C116" s="1">
        <v>45615</v>
      </c>
      <c r="D116" t="s">
        <v>13</v>
      </c>
      <c r="E116">
        <v>2.5</v>
      </c>
      <c r="F116" s="2">
        <v>0.57471264367816</v>
      </c>
      <c r="G116" s="2">
        <v>0.49609969555894801</v>
      </c>
      <c r="H116" s="2">
        <v>0.53997934212203103</v>
      </c>
      <c r="I116" s="2">
        <v>0.54494382022471899</v>
      </c>
      <c r="J116" s="2">
        <v>0.52980132450331097</v>
      </c>
      <c r="K116" s="2">
        <v>-2.0417548887724599E-2</v>
      </c>
      <c r="L116" s="2"/>
      <c r="M116" s="2" t="e">
        <f>(Table1[[#This Row],[poisson_likelihood]] - (1-Table1[[#This Row],[poisson_likelihood]])/(1/Table1[[#This Row],[365 implied]]-1))/4</f>
        <v>#DIV/0!</v>
      </c>
      <c r="N116" s="7" t="e">
        <f>Table1[[#This Row],[kelly/4 365]]*$W$2*$U$2</f>
        <v>#DIV/0!</v>
      </c>
      <c r="O116" s="2"/>
      <c r="P116" s="2" t="e">
        <f>(Table1[[#This Row],[poisson_likelihood]] - (1-Table1[[#This Row],[poisson_likelihood]])/(1/Table1[[#This Row],[99/pinn implied]]-1))/4</f>
        <v>#DIV/0!</v>
      </c>
      <c r="Q116" s="7" t="e">
        <f>Table1[[#This Row],[kelly/4 99]]*$W$2*$U$2</f>
        <v>#DIV/0!</v>
      </c>
      <c r="R116" s="2"/>
      <c r="S11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7" spans="1:19" x14ac:dyDescent="0.2">
      <c r="A117">
        <v>6859</v>
      </c>
      <c r="B117" t="s">
        <v>69</v>
      </c>
      <c r="C117" s="1">
        <v>45615</v>
      </c>
      <c r="D117" t="s">
        <v>12</v>
      </c>
      <c r="E117">
        <v>1.5</v>
      </c>
      <c r="F117" s="2">
        <v>0.57471264367816</v>
      </c>
      <c r="G117" s="2">
        <v>0.59409687770062203</v>
      </c>
      <c r="H117" s="2">
        <v>0.53896653761550894</v>
      </c>
      <c r="I117" s="2">
        <v>0.54444444444444395</v>
      </c>
      <c r="J117" s="2">
        <v>0.56129032258064504</v>
      </c>
      <c r="K117" s="2">
        <v>-2.10129136989907E-2</v>
      </c>
      <c r="L117" s="2"/>
      <c r="M117" s="2" t="e">
        <f>(Table1[[#This Row],[poisson_likelihood]] - (1-Table1[[#This Row],[poisson_likelihood]])/(1/Table1[[#This Row],[365 implied]]-1))/4</f>
        <v>#DIV/0!</v>
      </c>
      <c r="N117" s="7" t="e">
        <f>Table1[[#This Row],[kelly/4 365]]*$W$2*$U$2</f>
        <v>#DIV/0!</v>
      </c>
      <c r="O117" s="2"/>
      <c r="P117" s="2" t="e">
        <f>(Table1[[#This Row],[poisson_likelihood]] - (1-Table1[[#This Row],[poisson_likelihood]])/(1/Table1[[#This Row],[99/pinn implied]]-1))/4</f>
        <v>#DIV/0!</v>
      </c>
      <c r="Q117" s="7" t="e">
        <f>Table1[[#This Row],[kelly/4 99]]*$W$2*$U$2</f>
        <v>#DIV/0!</v>
      </c>
      <c r="R117" s="2"/>
      <c r="S11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8" spans="1:19" x14ac:dyDescent="0.2">
      <c r="A118">
        <v>6826</v>
      </c>
      <c r="B118" t="s">
        <v>52</v>
      </c>
      <c r="C118" s="1">
        <v>45615</v>
      </c>
      <c r="D118" t="s">
        <v>13</v>
      </c>
      <c r="E118">
        <v>2.5</v>
      </c>
      <c r="F118" s="2">
        <v>0.66225165562913901</v>
      </c>
      <c r="G118" s="2">
        <v>0.58314295284376205</v>
      </c>
      <c r="H118" s="2">
        <v>0.63382745119346295</v>
      </c>
      <c r="I118" s="2">
        <v>0.578125</v>
      </c>
      <c r="J118" s="2">
        <v>0.53846153846153799</v>
      </c>
      <c r="K118" s="2">
        <v>-2.1039484655818699E-2</v>
      </c>
      <c r="L118" s="2"/>
      <c r="M118" s="2" t="e">
        <f>(Table1[[#This Row],[poisson_likelihood]] - (1-Table1[[#This Row],[poisson_likelihood]])/(1/Table1[[#This Row],[365 implied]]-1))/4</f>
        <v>#DIV/0!</v>
      </c>
      <c r="N118" s="7" t="e">
        <f>Table1[[#This Row],[kelly/4 365]]*$W$2*$U$2</f>
        <v>#DIV/0!</v>
      </c>
      <c r="O118" s="2"/>
      <c r="P118" s="2" t="e">
        <f>(Table1[[#This Row],[poisson_likelihood]] - (1-Table1[[#This Row],[poisson_likelihood]])/(1/Table1[[#This Row],[99/pinn implied]]-1))/4</f>
        <v>#DIV/0!</v>
      </c>
      <c r="Q118" s="7" t="e">
        <f>Table1[[#This Row],[kelly/4 99]]*$W$2*$U$2</f>
        <v>#DIV/0!</v>
      </c>
      <c r="R118" s="2"/>
      <c r="S11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9" spans="1:19" x14ac:dyDescent="0.2">
      <c r="A119">
        <v>6852</v>
      </c>
      <c r="B119" t="s">
        <v>65</v>
      </c>
      <c r="C119" s="1">
        <v>45615</v>
      </c>
      <c r="D119" t="s">
        <v>13</v>
      </c>
      <c r="E119">
        <v>2.5</v>
      </c>
      <c r="F119" s="2">
        <v>0.45045045045045001</v>
      </c>
      <c r="G119" s="2">
        <v>0.373930811968751</v>
      </c>
      <c r="H119" s="2">
        <v>0.404166190125405</v>
      </c>
      <c r="I119" s="2">
        <v>0.36111111111111099</v>
      </c>
      <c r="J119" s="2">
        <v>0.36774193548387002</v>
      </c>
      <c r="K119" s="2">
        <v>-2.1055544656065701E-2</v>
      </c>
      <c r="L119" s="2"/>
      <c r="M119" s="2" t="e">
        <f>(Table1[[#This Row],[poisson_likelihood]] - (1-Table1[[#This Row],[poisson_likelihood]])/(1/Table1[[#This Row],[365 implied]]-1))/4</f>
        <v>#DIV/0!</v>
      </c>
      <c r="N119" s="7" t="e">
        <f>Table1[[#This Row],[kelly/4 365]]*$W$2*$U$2</f>
        <v>#DIV/0!</v>
      </c>
      <c r="O119" s="2"/>
      <c r="P119" s="2" t="e">
        <f>(Table1[[#This Row],[poisson_likelihood]] - (1-Table1[[#This Row],[poisson_likelihood]])/(1/Table1[[#This Row],[99/pinn implied]]-1))/4</f>
        <v>#DIV/0!</v>
      </c>
      <c r="Q119" s="7" t="e">
        <f>Table1[[#This Row],[kelly/4 99]]*$W$2*$U$2</f>
        <v>#DIV/0!</v>
      </c>
      <c r="R119" s="2"/>
      <c r="S11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0" spans="1:19" x14ac:dyDescent="0.2">
      <c r="A120">
        <v>6790</v>
      </c>
      <c r="B120" t="s">
        <v>34</v>
      </c>
      <c r="C120" s="1">
        <v>45615</v>
      </c>
      <c r="D120" t="s">
        <v>13</v>
      </c>
      <c r="E120">
        <v>2.5</v>
      </c>
      <c r="F120" s="2">
        <v>0.58823529411764697</v>
      </c>
      <c r="G120" s="2">
        <v>0.50840003693385805</v>
      </c>
      <c r="H120" s="2">
        <v>0.55315471182985598</v>
      </c>
      <c r="I120" s="2">
        <v>0.53260869565217395</v>
      </c>
      <c r="J120" s="2">
        <v>0.563291139240506</v>
      </c>
      <c r="K120" s="2">
        <v>-2.12989249604442E-2</v>
      </c>
      <c r="L120" s="2"/>
      <c r="M120" s="2" t="e">
        <f>(Table1[[#This Row],[poisson_likelihood]] - (1-Table1[[#This Row],[poisson_likelihood]])/(1/Table1[[#This Row],[365 implied]]-1))/4</f>
        <v>#DIV/0!</v>
      </c>
      <c r="N120" s="7" t="e">
        <f>Table1[[#This Row],[kelly/4 365]]*$W$2*$U$2</f>
        <v>#DIV/0!</v>
      </c>
      <c r="O120" s="2"/>
      <c r="P120" s="2" t="e">
        <f>(Table1[[#This Row],[poisson_likelihood]] - (1-Table1[[#This Row],[poisson_likelihood]])/(1/Table1[[#This Row],[99/pinn implied]]-1))/4</f>
        <v>#DIV/0!</v>
      </c>
      <c r="Q120" s="7" t="e">
        <f>Table1[[#This Row],[kelly/4 99]]*$W$2*$U$2</f>
        <v>#DIV/0!</v>
      </c>
      <c r="R120" s="2"/>
      <c r="S12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1" spans="1:19" x14ac:dyDescent="0.2">
      <c r="A121">
        <v>6837</v>
      </c>
      <c r="B121" t="s">
        <v>58</v>
      </c>
      <c r="C121" s="1">
        <v>45615</v>
      </c>
      <c r="D121" t="s">
        <v>12</v>
      </c>
      <c r="E121">
        <v>2.5</v>
      </c>
      <c r="F121" s="2">
        <v>0.43103448275862</v>
      </c>
      <c r="G121" s="2">
        <v>0.42882085588587299</v>
      </c>
      <c r="H121" s="2">
        <v>0.38224963528002898</v>
      </c>
      <c r="I121" s="2">
        <v>0.38888888888888801</v>
      </c>
      <c r="J121" s="2">
        <v>0.403448275862068</v>
      </c>
      <c r="K121" s="2">
        <v>-2.1435766316350701E-2</v>
      </c>
      <c r="L121" s="2"/>
      <c r="M121" s="2" t="e">
        <f>(Table1[[#This Row],[poisson_likelihood]] - (1-Table1[[#This Row],[poisson_likelihood]])/(1/Table1[[#This Row],[365 implied]]-1))/4</f>
        <v>#DIV/0!</v>
      </c>
      <c r="N121" s="7" t="e">
        <f>Table1[[#This Row],[kelly/4 365]]*$W$2*$U$2</f>
        <v>#DIV/0!</v>
      </c>
      <c r="O121" s="2"/>
      <c r="P121" s="2" t="e">
        <f>(Table1[[#This Row],[poisson_likelihood]] - (1-Table1[[#This Row],[poisson_likelihood]])/(1/Table1[[#This Row],[99/pinn implied]]-1))/4</f>
        <v>#DIV/0!</v>
      </c>
      <c r="Q121" s="7" t="e">
        <f>Table1[[#This Row],[kelly/4 99]]*$W$2*$U$2</f>
        <v>#DIV/0!</v>
      </c>
      <c r="R121" s="2"/>
      <c r="S12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2" spans="1:19" x14ac:dyDescent="0.2">
      <c r="A122">
        <v>6842</v>
      </c>
      <c r="B122" t="s">
        <v>60</v>
      </c>
      <c r="C122" s="1">
        <v>45615</v>
      </c>
      <c r="D122" t="s">
        <v>13</v>
      </c>
      <c r="E122">
        <v>1.5</v>
      </c>
      <c r="F122" s="2">
        <v>0.5</v>
      </c>
      <c r="G122" s="2">
        <v>0.414697328194362</v>
      </c>
      <c r="H122" s="2">
        <v>0.45536688083041799</v>
      </c>
      <c r="I122" s="2">
        <v>0.47169811320754701</v>
      </c>
      <c r="J122" s="2">
        <v>0.46103896103896103</v>
      </c>
      <c r="K122" s="2">
        <v>-2.2316559584791E-2</v>
      </c>
      <c r="L122" s="2"/>
      <c r="M122" s="2" t="e">
        <f>(Table1[[#This Row],[poisson_likelihood]] - (1-Table1[[#This Row],[poisson_likelihood]])/(1/Table1[[#This Row],[365 implied]]-1))/4</f>
        <v>#DIV/0!</v>
      </c>
      <c r="N122" s="7" t="e">
        <f>Table1[[#This Row],[kelly/4 365]]*$W$2*$U$2</f>
        <v>#DIV/0!</v>
      </c>
      <c r="O122" s="2"/>
      <c r="P122" s="2" t="e">
        <f>(Table1[[#This Row],[poisson_likelihood]] - (1-Table1[[#This Row],[poisson_likelihood]])/(1/Table1[[#This Row],[99/pinn implied]]-1))/4</f>
        <v>#DIV/0!</v>
      </c>
      <c r="Q122" s="7" t="e">
        <f>Table1[[#This Row],[kelly/4 99]]*$W$2*$U$2</f>
        <v>#DIV/0!</v>
      </c>
      <c r="R122" s="2"/>
      <c r="S12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3" spans="1:19" x14ac:dyDescent="0.2">
      <c r="A123">
        <v>6751</v>
      </c>
      <c r="B123" t="s">
        <v>15</v>
      </c>
      <c r="C123" s="1">
        <v>45615</v>
      </c>
      <c r="D123" t="s">
        <v>12</v>
      </c>
      <c r="E123">
        <v>2.5</v>
      </c>
      <c r="F123" s="2">
        <v>0.434782608695652</v>
      </c>
      <c r="G123" s="2">
        <v>0.43376448706020898</v>
      </c>
      <c r="H123" s="2">
        <v>0.383378366722118</v>
      </c>
      <c r="I123" s="2">
        <v>0.48823529411764699</v>
      </c>
      <c r="J123" s="2">
        <v>0.45328719723183297</v>
      </c>
      <c r="K123" s="2">
        <v>-2.2736491642139901E-2</v>
      </c>
      <c r="L123" s="2"/>
      <c r="M123" s="2" t="e">
        <f>(Table1[[#This Row],[poisson_likelihood]] - (1-Table1[[#This Row],[poisson_likelihood]])/(1/Table1[[#This Row],[365 implied]]-1))/4</f>
        <v>#DIV/0!</v>
      </c>
      <c r="N123" s="7" t="e">
        <f>Table1[[#This Row],[kelly/4 365]]*$W$2*$U$2</f>
        <v>#DIV/0!</v>
      </c>
      <c r="O123" s="2"/>
      <c r="P123" s="2" t="e">
        <f>(Table1[[#This Row],[poisson_likelihood]] - (1-Table1[[#This Row],[poisson_likelihood]])/(1/Table1[[#This Row],[99/pinn implied]]-1))/4</f>
        <v>#DIV/0!</v>
      </c>
      <c r="Q123" s="7" t="e">
        <f>Table1[[#This Row],[kelly/4 99]]*$W$2*$U$2</f>
        <v>#DIV/0!</v>
      </c>
      <c r="R123" s="2"/>
      <c r="S12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4" spans="1:19" x14ac:dyDescent="0.2">
      <c r="A124">
        <v>6819</v>
      </c>
      <c r="B124" t="s">
        <v>49</v>
      </c>
      <c r="C124" s="1">
        <v>45615</v>
      </c>
      <c r="D124" t="s">
        <v>12</v>
      </c>
      <c r="E124">
        <v>2.5</v>
      </c>
      <c r="F124" s="2">
        <v>0.57471264367816</v>
      </c>
      <c r="G124" s="2">
        <v>0.58548441428508102</v>
      </c>
      <c r="H124" s="2">
        <v>0.534743301314068</v>
      </c>
      <c r="I124" s="2">
        <v>0.53296703296703296</v>
      </c>
      <c r="J124" s="2">
        <v>0.53870967741935405</v>
      </c>
      <c r="K124" s="2">
        <v>-2.3495491795108601E-2</v>
      </c>
      <c r="L124" s="2"/>
      <c r="M124" s="2" t="e">
        <f>(Table1[[#This Row],[poisson_likelihood]] - (1-Table1[[#This Row],[poisson_likelihood]])/(1/Table1[[#This Row],[365 implied]]-1))/4</f>
        <v>#DIV/0!</v>
      </c>
      <c r="N124" s="7" t="e">
        <f>Table1[[#This Row],[kelly/4 365]]*$W$2*$U$2</f>
        <v>#DIV/0!</v>
      </c>
      <c r="O124" s="2"/>
      <c r="P124" s="2" t="e">
        <f>(Table1[[#This Row],[poisson_likelihood]] - (1-Table1[[#This Row],[poisson_likelihood]])/(1/Table1[[#This Row],[99/pinn implied]]-1))/4</f>
        <v>#DIV/0!</v>
      </c>
      <c r="Q124" s="7" t="e">
        <f>Table1[[#This Row],[kelly/4 99]]*$W$2*$U$2</f>
        <v>#DIV/0!</v>
      </c>
      <c r="R124" s="2"/>
      <c r="S12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5" spans="1:19" x14ac:dyDescent="0.2">
      <c r="A125">
        <v>6900</v>
      </c>
      <c r="B125" t="s">
        <v>89</v>
      </c>
      <c r="C125" s="1">
        <v>45615</v>
      </c>
      <c r="D125" t="s">
        <v>13</v>
      </c>
      <c r="E125">
        <v>2.5</v>
      </c>
      <c r="F125" s="2">
        <v>0.53191489361702105</v>
      </c>
      <c r="G125" s="2">
        <v>0.446419870561166</v>
      </c>
      <c r="H125" s="2">
        <v>0.48720046210158802</v>
      </c>
      <c r="I125" s="2">
        <v>0.46153846153846101</v>
      </c>
      <c r="J125" s="2">
        <v>0.49032258064516099</v>
      </c>
      <c r="K125" s="2">
        <v>-2.38815713775609E-2</v>
      </c>
      <c r="L125" s="2"/>
      <c r="M125" s="2" t="e">
        <f>(Table1[[#This Row],[poisson_likelihood]] - (1-Table1[[#This Row],[poisson_likelihood]])/(1/Table1[[#This Row],[365 implied]]-1))/4</f>
        <v>#DIV/0!</v>
      </c>
      <c r="N125" s="7" t="e">
        <f>Table1[[#This Row],[kelly/4 365]]*$W$2*$U$2</f>
        <v>#DIV/0!</v>
      </c>
      <c r="O125" s="2"/>
      <c r="P125" s="2" t="e">
        <f>(Table1[[#This Row],[poisson_likelihood]] - (1-Table1[[#This Row],[poisson_likelihood]])/(1/Table1[[#This Row],[99/pinn implied]]-1))/4</f>
        <v>#DIV/0!</v>
      </c>
      <c r="Q125" s="7" t="e">
        <f>Table1[[#This Row],[kelly/4 99]]*$W$2*$U$2</f>
        <v>#DIV/0!</v>
      </c>
      <c r="R125" s="2"/>
      <c r="S12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6" spans="1:19" x14ac:dyDescent="0.2">
      <c r="A126">
        <v>6810</v>
      </c>
      <c r="B126" t="s">
        <v>44</v>
      </c>
      <c r="C126" s="1">
        <v>45615</v>
      </c>
      <c r="D126" t="s">
        <v>13</v>
      </c>
      <c r="E126">
        <v>1.5</v>
      </c>
      <c r="F126" s="2">
        <v>0.40983606557377</v>
      </c>
      <c r="G126" s="2">
        <v>0.31571957050239502</v>
      </c>
      <c r="H126" s="2">
        <v>0.35259556177153301</v>
      </c>
      <c r="I126" s="2">
        <v>0.39644970414201097</v>
      </c>
      <c r="J126" s="2">
        <v>0.39249146757679099</v>
      </c>
      <c r="K126" s="2">
        <v>-2.4247713416225301E-2</v>
      </c>
      <c r="L126" s="2"/>
      <c r="M126" s="2" t="e">
        <f>(Table1[[#This Row],[poisson_likelihood]] - (1-Table1[[#This Row],[poisson_likelihood]])/(1/Table1[[#This Row],[365 implied]]-1))/4</f>
        <v>#DIV/0!</v>
      </c>
      <c r="N126" s="7" t="e">
        <f>Table1[[#This Row],[kelly/4 365]]*$W$2*$U$2</f>
        <v>#DIV/0!</v>
      </c>
      <c r="O126" s="2"/>
      <c r="P126" s="2" t="e">
        <f>(Table1[[#This Row],[poisson_likelihood]] - (1-Table1[[#This Row],[poisson_likelihood]])/(1/Table1[[#This Row],[99/pinn implied]]-1))/4</f>
        <v>#DIV/0!</v>
      </c>
      <c r="Q126" s="7" t="e">
        <f>Table1[[#This Row],[kelly/4 99]]*$W$2*$U$2</f>
        <v>#DIV/0!</v>
      </c>
      <c r="R126" s="2"/>
      <c r="S12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7" spans="1:19" x14ac:dyDescent="0.2">
      <c r="A127">
        <v>6802</v>
      </c>
      <c r="B127" t="s">
        <v>40</v>
      </c>
      <c r="C127" s="1">
        <v>45615</v>
      </c>
      <c r="D127" t="s">
        <v>13</v>
      </c>
      <c r="E127">
        <v>1.5</v>
      </c>
      <c r="F127" s="2">
        <v>0.46296296296296202</v>
      </c>
      <c r="G127" s="2">
        <v>0.37901114155525201</v>
      </c>
      <c r="H127" s="2">
        <v>0.40883350512905797</v>
      </c>
      <c r="I127" s="2">
        <v>0.41758241758241699</v>
      </c>
      <c r="J127" s="2">
        <v>0.40836012861736298</v>
      </c>
      <c r="K127" s="2">
        <v>-2.5198195888196599E-2</v>
      </c>
      <c r="L127" s="2"/>
      <c r="M127" s="2" t="e">
        <f>(Table1[[#This Row],[poisson_likelihood]] - (1-Table1[[#This Row],[poisson_likelihood]])/(1/Table1[[#This Row],[365 implied]]-1))/4</f>
        <v>#DIV/0!</v>
      </c>
      <c r="N127" s="7" t="e">
        <f>Table1[[#This Row],[kelly/4 365]]*$W$2*$U$2</f>
        <v>#DIV/0!</v>
      </c>
      <c r="O127" s="2"/>
      <c r="P127" s="2" t="e">
        <f>(Table1[[#This Row],[poisson_likelihood]] - (1-Table1[[#This Row],[poisson_likelihood]])/(1/Table1[[#This Row],[99/pinn implied]]-1))/4</f>
        <v>#DIV/0!</v>
      </c>
      <c r="Q127" s="7" t="e">
        <f>Table1[[#This Row],[kelly/4 99]]*$W$2*$U$2</f>
        <v>#DIV/0!</v>
      </c>
      <c r="R127" s="2"/>
      <c r="S12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8" spans="1:19" x14ac:dyDescent="0.2">
      <c r="A128">
        <v>6887</v>
      </c>
      <c r="B128" t="s">
        <v>83</v>
      </c>
      <c r="C128" s="1">
        <v>45615</v>
      </c>
      <c r="D128" t="s">
        <v>12</v>
      </c>
      <c r="E128">
        <v>1.5</v>
      </c>
      <c r="F128" s="2">
        <v>0.60606060606060597</v>
      </c>
      <c r="G128" s="2">
        <v>0.61489254804391302</v>
      </c>
      <c r="H128" s="2">
        <v>0.56424622026402105</v>
      </c>
      <c r="I128" s="2">
        <v>0.41935483870967699</v>
      </c>
      <c r="J128" s="2">
        <v>0.43014705882352899</v>
      </c>
      <c r="K128" s="2">
        <v>-2.6536052524755299E-2</v>
      </c>
      <c r="L128" s="2"/>
      <c r="M128" s="2" t="e">
        <f>(Table1[[#This Row],[poisson_likelihood]] - (1-Table1[[#This Row],[poisson_likelihood]])/(1/Table1[[#This Row],[365 implied]]-1))/4</f>
        <v>#DIV/0!</v>
      </c>
      <c r="N128" s="7" t="e">
        <f>Table1[[#This Row],[kelly/4 365]]*$W$2*$U$2</f>
        <v>#DIV/0!</v>
      </c>
      <c r="O128" s="2"/>
      <c r="P128" s="2" t="e">
        <f>(Table1[[#This Row],[poisson_likelihood]] - (1-Table1[[#This Row],[poisson_likelihood]])/(1/Table1[[#This Row],[99/pinn implied]]-1))/4</f>
        <v>#DIV/0!</v>
      </c>
      <c r="Q128" s="7" t="e">
        <f>Table1[[#This Row],[kelly/4 99]]*$W$2*$U$2</f>
        <v>#DIV/0!</v>
      </c>
      <c r="R128" s="2"/>
      <c r="S12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9" spans="1:19" x14ac:dyDescent="0.2">
      <c r="A129">
        <v>6939</v>
      </c>
      <c r="B129" t="s">
        <v>109</v>
      </c>
      <c r="C129" s="1">
        <v>45615</v>
      </c>
      <c r="D129" t="s">
        <v>12</v>
      </c>
      <c r="E129">
        <v>1.5</v>
      </c>
      <c r="F129" s="2">
        <v>0.55555555555555503</v>
      </c>
      <c r="G129" s="2">
        <v>0.55928247158912103</v>
      </c>
      <c r="H129" s="2">
        <v>0.50823273251613099</v>
      </c>
      <c r="I129" s="2">
        <v>0.58235294117646996</v>
      </c>
      <c r="J129" s="2">
        <v>0.58098591549295697</v>
      </c>
      <c r="K129" s="2">
        <v>-2.6619087959676099E-2</v>
      </c>
      <c r="L129" s="2"/>
      <c r="M129" s="2" t="e">
        <f>(Table1[[#This Row],[poisson_likelihood]] - (1-Table1[[#This Row],[poisson_likelihood]])/(1/Table1[[#This Row],[365 implied]]-1))/4</f>
        <v>#DIV/0!</v>
      </c>
      <c r="N129" s="7" t="e">
        <f>Table1[[#This Row],[kelly/4 365]]*$W$2*$U$2</f>
        <v>#DIV/0!</v>
      </c>
      <c r="O129" s="2"/>
      <c r="P129" s="2" t="e">
        <f>(Table1[[#This Row],[poisson_likelihood]] - (1-Table1[[#This Row],[poisson_likelihood]])/(1/Table1[[#This Row],[99/pinn implied]]-1))/4</f>
        <v>#DIV/0!</v>
      </c>
      <c r="Q129" s="7" t="e">
        <f>Table1[[#This Row],[kelly/4 99]]*$W$2*$U$2</f>
        <v>#DIV/0!</v>
      </c>
      <c r="R129" s="2"/>
      <c r="S12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0" spans="1:19" x14ac:dyDescent="0.2">
      <c r="A130">
        <v>6765</v>
      </c>
      <c r="B130" t="s">
        <v>22</v>
      </c>
      <c r="C130" s="1">
        <v>45615</v>
      </c>
      <c r="D130" t="s">
        <v>12</v>
      </c>
      <c r="E130">
        <v>2.5</v>
      </c>
      <c r="F130" s="2">
        <v>0.63694267515923497</v>
      </c>
      <c r="G130" s="2">
        <v>0.62588700243747597</v>
      </c>
      <c r="H130" s="2">
        <v>0.597257841517988</v>
      </c>
      <c r="I130" s="2">
        <v>0.63483146067415697</v>
      </c>
      <c r="J130" s="2">
        <v>0.62091503267973802</v>
      </c>
      <c r="K130" s="2">
        <v>-2.7326837200332799E-2</v>
      </c>
      <c r="L130" s="2"/>
      <c r="M130" s="2" t="e">
        <f>(Table1[[#This Row],[poisson_likelihood]] - (1-Table1[[#This Row],[poisson_likelihood]])/(1/Table1[[#This Row],[365 implied]]-1))/4</f>
        <v>#DIV/0!</v>
      </c>
      <c r="N130" s="7" t="e">
        <f>Table1[[#This Row],[kelly/4 365]]*$W$2*$U$2</f>
        <v>#DIV/0!</v>
      </c>
      <c r="O130" s="2"/>
      <c r="P130" s="2" t="e">
        <f>(Table1[[#This Row],[poisson_likelihood]] - (1-Table1[[#This Row],[poisson_likelihood]])/(1/Table1[[#This Row],[99/pinn implied]]-1))/4</f>
        <v>#DIV/0!</v>
      </c>
      <c r="Q130" s="7" t="e">
        <f>Table1[[#This Row],[kelly/4 99]]*$W$2*$U$2</f>
        <v>#DIV/0!</v>
      </c>
      <c r="R130" s="2"/>
      <c r="S13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1" spans="1:19" x14ac:dyDescent="0.2">
      <c r="A131">
        <v>6884</v>
      </c>
      <c r="B131" t="s">
        <v>81</v>
      </c>
      <c r="C131" s="1">
        <v>45615</v>
      </c>
      <c r="D131" t="s">
        <v>13</v>
      </c>
      <c r="E131">
        <v>2.5</v>
      </c>
      <c r="F131" s="2">
        <v>0.625</v>
      </c>
      <c r="G131" s="2">
        <v>0.53768634079020905</v>
      </c>
      <c r="H131" s="2">
        <v>0.58195193343074003</v>
      </c>
      <c r="I131" s="2">
        <v>0.68243243243243201</v>
      </c>
      <c r="J131" s="2">
        <v>0.71167883211678795</v>
      </c>
      <c r="K131" s="2">
        <v>-2.8698711046172901E-2</v>
      </c>
      <c r="L131" s="2"/>
      <c r="M131" s="2" t="e">
        <f>(Table1[[#This Row],[poisson_likelihood]] - (1-Table1[[#This Row],[poisson_likelihood]])/(1/Table1[[#This Row],[365 implied]]-1))/4</f>
        <v>#DIV/0!</v>
      </c>
      <c r="N131" s="7" t="e">
        <f>Table1[[#This Row],[kelly/4 365]]*$W$2*$U$2</f>
        <v>#DIV/0!</v>
      </c>
      <c r="O131" s="2"/>
      <c r="P131" s="2" t="e">
        <f>(Table1[[#This Row],[poisson_likelihood]] - (1-Table1[[#This Row],[poisson_likelihood]])/(1/Table1[[#This Row],[99/pinn implied]]-1))/4</f>
        <v>#DIV/0!</v>
      </c>
      <c r="Q131" s="7" t="e">
        <f>Table1[[#This Row],[kelly/4 99]]*$W$2*$U$2</f>
        <v>#DIV/0!</v>
      </c>
      <c r="R131" s="2"/>
      <c r="S13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2" spans="1:19" x14ac:dyDescent="0.2">
      <c r="A132">
        <v>6771</v>
      </c>
      <c r="B132" t="s">
        <v>25</v>
      </c>
      <c r="C132" s="1">
        <v>45615</v>
      </c>
      <c r="D132" t="s">
        <v>12</v>
      </c>
      <c r="E132">
        <v>2.5</v>
      </c>
      <c r="F132" s="2">
        <v>0.42553191489361702</v>
      </c>
      <c r="G132" s="2">
        <v>0.40926976244579399</v>
      </c>
      <c r="H132" s="2">
        <v>0.35692642112553002</v>
      </c>
      <c r="I132" s="2">
        <v>0.44852941176470501</v>
      </c>
      <c r="J132" s="2">
        <v>0.46320346320346301</v>
      </c>
      <c r="K132" s="2">
        <v>-2.98560945101858E-2</v>
      </c>
      <c r="L132" s="2"/>
      <c r="M132" s="2" t="e">
        <f>(Table1[[#This Row],[poisson_likelihood]] - (1-Table1[[#This Row],[poisson_likelihood]])/(1/Table1[[#This Row],[365 implied]]-1))/4</f>
        <v>#DIV/0!</v>
      </c>
      <c r="N132" s="7" t="e">
        <f>Table1[[#This Row],[kelly/4 365]]*$W$2*$U$2</f>
        <v>#DIV/0!</v>
      </c>
      <c r="O132" s="2"/>
      <c r="P132" s="2" t="e">
        <f>(Table1[[#This Row],[poisson_likelihood]] - (1-Table1[[#This Row],[poisson_likelihood]])/(1/Table1[[#This Row],[99/pinn implied]]-1))/4</f>
        <v>#DIV/0!</v>
      </c>
      <c r="Q132" s="7" t="e">
        <f>Table1[[#This Row],[kelly/4 99]]*$W$2*$U$2</f>
        <v>#DIV/0!</v>
      </c>
      <c r="R132" s="2"/>
      <c r="S13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3" spans="1:19" x14ac:dyDescent="0.2">
      <c r="A133">
        <v>6926</v>
      </c>
      <c r="B133" t="s">
        <v>102</v>
      </c>
      <c r="C133" s="1">
        <v>45615</v>
      </c>
      <c r="D133" t="s">
        <v>13</v>
      </c>
      <c r="E133">
        <v>2.5</v>
      </c>
      <c r="F133" s="2">
        <v>0.54054054054054002</v>
      </c>
      <c r="G133" s="2">
        <v>0.444595401331011</v>
      </c>
      <c r="H133" s="2">
        <v>0.48530696465900502</v>
      </c>
      <c r="I133" s="2">
        <v>0.49152542372881303</v>
      </c>
      <c r="J133" s="2">
        <v>0.49833887043189301</v>
      </c>
      <c r="K133" s="2">
        <v>-3.0053563347305998E-2</v>
      </c>
      <c r="L133" s="2"/>
      <c r="M133" s="2" t="e">
        <f>(Table1[[#This Row],[poisson_likelihood]] - (1-Table1[[#This Row],[poisson_likelihood]])/(1/Table1[[#This Row],[365 implied]]-1))/4</f>
        <v>#DIV/0!</v>
      </c>
      <c r="N133" s="7" t="e">
        <f>Table1[[#This Row],[kelly/4 365]]*$W$2*$U$2</f>
        <v>#DIV/0!</v>
      </c>
      <c r="O133" s="2"/>
      <c r="P133" s="2" t="e">
        <f>(Table1[[#This Row],[poisson_likelihood]] - (1-Table1[[#This Row],[poisson_likelihood]])/(1/Table1[[#This Row],[99/pinn implied]]-1))/4</f>
        <v>#DIV/0!</v>
      </c>
      <c r="Q133" s="7" t="e">
        <f>Table1[[#This Row],[kelly/4 99]]*$W$2*$U$2</f>
        <v>#DIV/0!</v>
      </c>
      <c r="R133" s="2"/>
      <c r="S13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4" spans="1:19" x14ac:dyDescent="0.2">
      <c r="A134">
        <v>6782</v>
      </c>
      <c r="B134" t="s">
        <v>30</v>
      </c>
      <c r="C134" s="1">
        <v>45615</v>
      </c>
      <c r="D134" t="s">
        <v>13</v>
      </c>
      <c r="E134">
        <v>2.5</v>
      </c>
      <c r="F134" s="2">
        <v>0.57471264367816</v>
      </c>
      <c r="G134" s="2">
        <v>0.47525389022900899</v>
      </c>
      <c r="H134" s="2">
        <v>0.52181392609572796</v>
      </c>
      <c r="I134" s="2">
        <v>0.59776536312849105</v>
      </c>
      <c r="J134" s="2">
        <v>0.58415841584158401</v>
      </c>
      <c r="K134" s="2">
        <v>-3.1095867768051799E-2</v>
      </c>
      <c r="L134" s="2"/>
      <c r="M134" s="2" t="e">
        <f>(Table1[[#This Row],[poisson_likelihood]] - (1-Table1[[#This Row],[poisson_likelihood]])/(1/Table1[[#This Row],[365 implied]]-1))/4</f>
        <v>#DIV/0!</v>
      </c>
      <c r="N134" s="7" t="e">
        <f>Table1[[#This Row],[kelly/4 365]]*$W$2*$U$2</f>
        <v>#DIV/0!</v>
      </c>
      <c r="O134" s="2"/>
      <c r="P134" s="2" t="e">
        <f>(Table1[[#This Row],[poisson_likelihood]] - (1-Table1[[#This Row],[poisson_likelihood]])/(1/Table1[[#This Row],[99/pinn implied]]-1))/4</f>
        <v>#DIV/0!</v>
      </c>
      <c r="Q134" s="7" t="e">
        <f>Table1[[#This Row],[kelly/4 99]]*$W$2*$U$2</f>
        <v>#DIV/0!</v>
      </c>
      <c r="R134" s="2"/>
      <c r="S13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5" spans="1:19" x14ac:dyDescent="0.2">
      <c r="A135">
        <v>6924</v>
      </c>
      <c r="B135" t="s">
        <v>101</v>
      </c>
      <c r="C135" s="1">
        <v>45615</v>
      </c>
      <c r="D135" t="s">
        <v>13</v>
      </c>
      <c r="E135">
        <v>2.5</v>
      </c>
      <c r="F135" s="2">
        <v>0.56497175141242895</v>
      </c>
      <c r="G135" s="2">
        <v>0.46496857966763799</v>
      </c>
      <c r="H135" s="2">
        <v>0.51078706363336701</v>
      </c>
      <c r="I135" s="2">
        <v>0.51955307262569805</v>
      </c>
      <c r="J135" s="2">
        <v>0.55592105263157898</v>
      </c>
      <c r="K135" s="2">
        <v>-3.1138603041863399E-2</v>
      </c>
      <c r="L135" s="2"/>
      <c r="M135" s="2" t="e">
        <f>(Table1[[#This Row],[poisson_likelihood]] - (1-Table1[[#This Row],[poisson_likelihood]])/(1/Table1[[#This Row],[365 implied]]-1))/4</f>
        <v>#DIV/0!</v>
      </c>
      <c r="N135" s="7" t="e">
        <f>Table1[[#This Row],[kelly/4 365]]*$W$2*$U$2</f>
        <v>#DIV/0!</v>
      </c>
      <c r="O135" s="2"/>
      <c r="P135" s="2" t="e">
        <f>(Table1[[#This Row],[poisson_likelihood]] - (1-Table1[[#This Row],[poisson_likelihood]])/(1/Table1[[#This Row],[99/pinn implied]]-1))/4</f>
        <v>#DIV/0!</v>
      </c>
      <c r="Q135" s="7" t="e">
        <f>Table1[[#This Row],[kelly/4 99]]*$W$2*$U$2</f>
        <v>#DIV/0!</v>
      </c>
      <c r="R135" s="2"/>
      <c r="S13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6" spans="1:19" x14ac:dyDescent="0.2">
      <c r="A136">
        <v>6823</v>
      </c>
      <c r="B136" t="s">
        <v>51</v>
      </c>
      <c r="C136" s="1">
        <v>45615</v>
      </c>
      <c r="D136" t="s">
        <v>12</v>
      </c>
      <c r="E136">
        <v>2.5</v>
      </c>
      <c r="F136" s="2">
        <v>0.57471264367816</v>
      </c>
      <c r="G136" s="2">
        <v>0.56414886332844505</v>
      </c>
      <c r="H136" s="2">
        <v>0.52016286836885295</v>
      </c>
      <c r="I136" s="2">
        <v>0.56551724137931003</v>
      </c>
      <c r="J136" s="2">
        <v>0.56410256410256399</v>
      </c>
      <c r="K136" s="2">
        <v>-3.2066421972363299E-2</v>
      </c>
      <c r="L136" s="2"/>
      <c r="M136" s="2" t="e">
        <f>(Table1[[#This Row],[poisson_likelihood]] - (1-Table1[[#This Row],[poisson_likelihood]])/(1/Table1[[#This Row],[365 implied]]-1))/4</f>
        <v>#DIV/0!</v>
      </c>
      <c r="N136" s="7" t="e">
        <f>Table1[[#This Row],[kelly/4 365]]*$W$2*$U$2</f>
        <v>#DIV/0!</v>
      </c>
      <c r="O136" s="2"/>
      <c r="P136" s="2" t="e">
        <f>(Table1[[#This Row],[poisson_likelihood]] - (1-Table1[[#This Row],[poisson_likelihood]])/(1/Table1[[#This Row],[99/pinn implied]]-1))/4</f>
        <v>#DIV/0!</v>
      </c>
      <c r="Q136" s="7" t="e">
        <f>Table1[[#This Row],[kelly/4 99]]*$W$2*$U$2</f>
        <v>#DIV/0!</v>
      </c>
      <c r="R136" s="2"/>
      <c r="S13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7" spans="1:19" x14ac:dyDescent="0.2">
      <c r="A137">
        <v>6897</v>
      </c>
      <c r="B137" t="s">
        <v>88</v>
      </c>
      <c r="C137" s="1">
        <v>45615</v>
      </c>
      <c r="D137" t="s">
        <v>12</v>
      </c>
      <c r="E137">
        <v>2.5</v>
      </c>
      <c r="F137" s="2">
        <v>0.55555555555555503</v>
      </c>
      <c r="G137" s="2">
        <v>0.536039454325408</v>
      </c>
      <c r="H137" s="2">
        <v>0.49720206826552898</v>
      </c>
      <c r="I137" s="2">
        <v>0.44516129032258001</v>
      </c>
      <c r="J137" s="2">
        <v>0.45229681978798503</v>
      </c>
      <c r="K137" s="2">
        <v>-3.2823836600639499E-2</v>
      </c>
      <c r="L137" s="2"/>
      <c r="M137" s="2" t="e">
        <f>(Table1[[#This Row],[poisson_likelihood]] - (1-Table1[[#This Row],[poisson_likelihood]])/(1/Table1[[#This Row],[365 implied]]-1))/4</f>
        <v>#DIV/0!</v>
      </c>
      <c r="N137" s="7" t="e">
        <f>Table1[[#This Row],[kelly/4 365]]*$W$2*$U$2</f>
        <v>#DIV/0!</v>
      </c>
      <c r="O137" s="2"/>
      <c r="P137" s="2" t="e">
        <f>(Table1[[#This Row],[poisson_likelihood]] - (1-Table1[[#This Row],[poisson_likelihood]])/(1/Table1[[#This Row],[99/pinn implied]]-1))/4</f>
        <v>#DIV/0!</v>
      </c>
      <c r="Q137" s="7" t="e">
        <f>Table1[[#This Row],[kelly/4 99]]*$W$2*$U$2</f>
        <v>#DIV/0!</v>
      </c>
      <c r="R137" s="2"/>
      <c r="S13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8" spans="1:19" x14ac:dyDescent="0.2">
      <c r="A138">
        <v>6872</v>
      </c>
      <c r="B138" t="s">
        <v>75</v>
      </c>
      <c r="C138" s="1">
        <v>45615</v>
      </c>
      <c r="D138" t="s">
        <v>13</v>
      </c>
      <c r="E138">
        <v>1.5</v>
      </c>
      <c r="F138" s="2">
        <v>0.45454545454545398</v>
      </c>
      <c r="G138" s="2">
        <v>0.349116603527513</v>
      </c>
      <c r="H138" s="2">
        <v>0.38282435525110597</v>
      </c>
      <c r="I138" s="2">
        <v>0.55263157894736803</v>
      </c>
      <c r="J138" s="2">
        <v>0.52573529411764697</v>
      </c>
      <c r="K138" s="2">
        <v>-3.2872170509909301E-2</v>
      </c>
      <c r="L138" s="2"/>
      <c r="M138" s="2" t="e">
        <f>(Table1[[#This Row],[poisson_likelihood]] - (1-Table1[[#This Row],[poisson_likelihood]])/(1/Table1[[#This Row],[365 implied]]-1))/4</f>
        <v>#DIV/0!</v>
      </c>
      <c r="N138" s="7" t="e">
        <f>Table1[[#This Row],[kelly/4 365]]*$W$2*$U$2</f>
        <v>#DIV/0!</v>
      </c>
      <c r="O138" s="2"/>
      <c r="P138" s="2" t="e">
        <f>(Table1[[#This Row],[poisson_likelihood]] - (1-Table1[[#This Row],[poisson_likelihood]])/(1/Table1[[#This Row],[99/pinn implied]]-1))/4</f>
        <v>#DIV/0!</v>
      </c>
      <c r="Q138" s="7" t="e">
        <f>Table1[[#This Row],[kelly/4 99]]*$W$2*$U$2</f>
        <v>#DIV/0!</v>
      </c>
      <c r="R138" s="2"/>
      <c r="S13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9" spans="1:19" x14ac:dyDescent="0.2">
      <c r="A139">
        <v>6885</v>
      </c>
      <c r="B139" t="s">
        <v>82</v>
      </c>
      <c r="C139" s="1">
        <v>45615</v>
      </c>
      <c r="D139" t="s">
        <v>12</v>
      </c>
      <c r="E139">
        <v>1.5</v>
      </c>
      <c r="F139" s="2">
        <v>0.625</v>
      </c>
      <c r="G139" s="2">
        <v>0.62405791103310604</v>
      </c>
      <c r="H139" s="2">
        <v>0.57511338140743495</v>
      </c>
      <c r="I139" s="2">
        <v>0.51388888888888795</v>
      </c>
      <c r="J139" s="2">
        <v>0.49707602339181201</v>
      </c>
      <c r="K139" s="2">
        <v>-3.3257745728376503E-2</v>
      </c>
      <c r="L139" s="2"/>
      <c r="M139" s="2" t="e">
        <f>(Table1[[#This Row],[poisson_likelihood]] - (1-Table1[[#This Row],[poisson_likelihood]])/(1/Table1[[#This Row],[365 implied]]-1))/4</f>
        <v>#DIV/0!</v>
      </c>
      <c r="N139" s="7" t="e">
        <f>Table1[[#This Row],[kelly/4 365]]*$W$2*$U$2</f>
        <v>#DIV/0!</v>
      </c>
      <c r="O139" s="2"/>
      <c r="P139" s="2" t="e">
        <f>(Table1[[#This Row],[poisson_likelihood]] - (1-Table1[[#This Row],[poisson_likelihood]])/(1/Table1[[#This Row],[99/pinn implied]]-1))/4</f>
        <v>#DIV/0!</v>
      </c>
      <c r="Q139" s="7" t="e">
        <f>Table1[[#This Row],[kelly/4 99]]*$W$2*$U$2</f>
        <v>#DIV/0!</v>
      </c>
      <c r="R139" s="2"/>
      <c r="S13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0" spans="1:19" x14ac:dyDescent="0.2">
      <c r="A140">
        <v>6873</v>
      </c>
      <c r="B140" t="s">
        <v>76</v>
      </c>
      <c r="C140" s="1">
        <v>45615</v>
      </c>
      <c r="D140" t="s">
        <v>12</v>
      </c>
      <c r="E140">
        <v>2.5</v>
      </c>
      <c r="F140" s="2">
        <v>0.53191489361702105</v>
      </c>
      <c r="G140" s="2">
        <v>0.51287604639212403</v>
      </c>
      <c r="H140" s="2">
        <v>0.46956456275165598</v>
      </c>
      <c r="I140" s="2">
        <v>0.42944785276073599</v>
      </c>
      <c r="J140" s="2">
        <v>0.41342756183745499</v>
      </c>
      <c r="K140" s="2">
        <v>-3.33007448940019E-2</v>
      </c>
      <c r="L140" s="2"/>
      <c r="M140" s="2" t="e">
        <f>(Table1[[#This Row],[poisson_likelihood]] - (1-Table1[[#This Row],[poisson_likelihood]])/(1/Table1[[#This Row],[365 implied]]-1))/4</f>
        <v>#DIV/0!</v>
      </c>
      <c r="N140" s="7" t="e">
        <f>Table1[[#This Row],[kelly/4 365]]*$W$2*$U$2</f>
        <v>#DIV/0!</v>
      </c>
      <c r="O140" s="2"/>
      <c r="P140" s="2" t="e">
        <f>(Table1[[#This Row],[poisson_likelihood]] - (1-Table1[[#This Row],[poisson_likelihood]])/(1/Table1[[#This Row],[99/pinn implied]]-1))/4</f>
        <v>#DIV/0!</v>
      </c>
      <c r="Q140" s="7" t="e">
        <f>Table1[[#This Row],[kelly/4 99]]*$W$2*$U$2</f>
        <v>#DIV/0!</v>
      </c>
      <c r="R140" s="2"/>
      <c r="S14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1" spans="1:19" x14ac:dyDescent="0.2">
      <c r="A141">
        <v>6836</v>
      </c>
      <c r="B141" t="s">
        <v>57</v>
      </c>
      <c r="C141" s="1">
        <v>45615</v>
      </c>
      <c r="D141" t="s">
        <v>13</v>
      </c>
      <c r="E141">
        <v>1.5</v>
      </c>
      <c r="F141" s="2">
        <v>0.43103448275862</v>
      </c>
      <c r="G141" s="2">
        <v>0.332046212572361</v>
      </c>
      <c r="H141" s="2">
        <v>0.354464710518273</v>
      </c>
      <c r="I141" s="2">
        <v>0.36416184971098198</v>
      </c>
      <c r="J141" s="2">
        <v>0.35472972972972899</v>
      </c>
      <c r="K141" s="2">
        <v>-3.3644293863182802E-2</v>
      </c>
      <c r="L141" s="2"/>
      <c r="M141" s="2" t="e">
        <f>(Table1[[#This Row],[poisson_likelihood]] - (1-Table1[[#This Row],[poisson_likelihood]])/(1/Table1[[#This Row],[365 implied]]-1))/4</f>
        <v>#DIV/0!</v>
      </c>
      <c r="N141" s="7" t="e">
        <f>Table1[[#This Row],[kelly/4 365]]*$W$2*$U$2</f>
        <v>#DIV/0!</v>
      </c>
      <c r="O141" s="2"/>
      <c r="P141" s="2" t="e">
        <f>(Table1[[#This Row],[poisson_likelihood]] - (1-Table1[[#This Row],[poisson_likelihood]])/(1/Table1[[#This Row],[99/pinn implied]]-1))/4</f>
        <v>#DIV/0!</v>
      </c>
      <c r="Q141" s="7" t="e">
        <f>Table1[[#This Row],[kelly/4 99]]*$W$2*$U$2</f>
        <v>#DIV/0!</v>
      </c>
      <c r="R141" s="2"/>
      <c r="S14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2" spans="1:19" x14ac:dyDescent="0.2">
      <c r="A142">
        <v>6877</v>
      </c>
      <c r="B142" t="s">
        <v>78</v>
      </c>
      <c r="C142" s="1">
        <v>45615</v>
      </c>
      <c r="D142" t="s">
        <v>12</v>
      </c>
      <c r="E142">
        <v>1.5</v>
      </c>
      <c r="F142" s="2">
        <v>0.65359477124182996</v>
      </c>
      <c r="G142" s="2">
        <v>0.64091193270622704</v>
      </c>
      <c r="H142" s="2">
        <v>0.60568250297973503</v>
      </c>
      <c r="I142" s="2">
        <v>0.55555555555555503</v>
      </c>
      <c r="J142" s="2">
        <v>0.55390334572490696</v>
      </c>
      <c r="K142" s="2">
        <v>-3.4578193604247499E-2</v>
      </c>
      <c r="L142" s="2"/>
      <c r="M142" s="2" t="e">
        <f>(Table1[[#This Row],[poisson_likelihood]] - (1-Table1[[#This Row],[poisson_likelihood]])/(1/Table1[[#This Row],[365 implied]]-1))/4</f>
        <v>#DIV/0!</v>
      </c>
      <c r="N142" s="7" t="e">
        <f>Table1[[#This Row],[kelly/4 365]]*$W$2*$U$2</f>
        <v>#DIV/0!</v>
      </c>
      <c r="O142" s="2"/>
      <c r="P142" s="2" t="e">
        <f>(Table1[[#This Row],[poisson_likelihood]] - (1-Table1[[#This Row],[poisson_likelihood]])/(1/Table1[[#This Row],[99/pinn implied]]-1))/4</f>
        <v>#DIV/0!</v>
      </c>
      <c r="Q142" s="7" t="e">
        <f>Table1[[#This Row],[kelly/4 99]]*$W$2*$U$2</f>
        <v>#DIV/0!</v>
      </c>
      <c r="R142" s="2"/>
      <c r="S14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3" spans="1:19" x14ac:dyDescent="0.2">
      <c r="A143">
        <v>6918</v>
      </c>
      <c r="B143" t="s">
        <v>98</v>
      </c>
      <c r="C143" s="1">
        <v>45615</v>
      </c>
      <c r="D143" t="s">
        <v>13</v>
      </c>
      <c r="E143">
        <v>2.5</v>
      </c>
      <c r="F143" s="2">
        <v>0.46296296296296202</v>
      </c>
      <c r="G143" s="2">
        <v>0.34483262675827903</v>
      </c>
      <c r="H143" s="2">
        <v>0.38867372755781199</v>
      </c>
      <c r="I143" s="2">
        <v>0.426966292134831</v>
      </c>
      <c r="J143" s="2">
        <v>0.42622950819672101</v>
      </c>
      <c r="K143" s="2">
        <v>-3.4582919929984003E-2</v>
      </c>
      <c r="L143" s="2"/>
      <c r="M143" s="2" t="e">
        <f>(Table1[[#This Row],[poisson_likelihood]] - (1-Table1[[#This Row],[poisson_likelihood]])/(1/Table1[[#This Row],[365 implied]]-1))/4</f>
        <v>#DIV/0!</v>
      </c>
      <c r="N143" s="7" t="e">
        <f>Table1[[#This Row],[kelly/4 365]]*$W$2*$U$2</f>
        <v>#DIV/0!</v>
      </c>
      <c r="O143" s="2"/>
      <c r="P143" s="2" t="e">
        <f>(Table1[[#This Row],[poisson_likelihood]] - (1-Table1[[#This Row],[poisson_likelihood]])/(1/Table1[[#This Row],[99/pinn implied]]-1))/4</f>
        <v>#DIV/0!</v>
      </c>
      <c r="Q143" s="7" t="e">
        <f>Table1[[#This Row],[kelly/4 99]]*$W$2*$U$2</f>
        <v>#DIV/0!</v>
      </c>
      <c r="R143" s="2"/>
      <c r="S14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4" spans="1:19" x14ac:dyDescent="0.2">
      <c r="A144">
        <v>6865</v>
      </c>
      <c r="B144" t="s">
        <v>72</v>
      </c>
      <c r="C144" s="1">
        <v>45615</v>
      </c>
      <c r="D144" t="s">
        <v>12</v>
      </c>
      <c r="E144">
        <v>2.5</v>
      </c>
      <c r="F144" s="2">
        <v>0.50761421319796896</v>
      </c>
      <c r="G144" s="2">
        <v>0.482331270693794</v>
      </c>
      <c r="H144" s="2">
        <v>0.439309411532253</v>
      </c>
      <c r="I144" s="2">
        <v>0.48965517241379303</v>
      </c>
      <c r="J144" s="2">
        <v>0.47430830039525601</v>
      </c>
      <c r="K144" s="2">
        <v>-3.4680530742644301E-2</v>
      </c>
      <c r="L144" s="2"/>
      <c r="M144" s="2" t="e">
        <f>(Table1[[#This Row],[poisson_likelihood]] - (1-Table1[[#This Row],[poisson_likelihood]])/(1/Table1[[#This Row],[365 implied]]-1))/4</f>
        <v>#DIV/0!</v>
      </c>
      <c r="N144" s="7" t="e">
        <f>Table1[[#This Row],[kelly/4 365]]*$W$2*$U$2</f>
        <v>#DIV/0!</v>
      </c>
      <c r="O144" s="2"/>
      <c r="P144" s="2" t="e">
        <f>(Table1[[#This Row],[poisson_likelihood]] - (1-Table1[[#This Row],[poisson_likelihood]])/(1/Table1[[#This Row],[99/pinn implied]]-1))/4</f>
        <v>#DIV/0!</v>
      </c>
      <c r="Q144" s="7" t="e">
        <f>Table1[[#This Row],[kelly/4 99]]*$W$2*$U$2</f>
        <v>#DIV/0!</v>
      </c>
      <c r="R144" s="2"/>
      <c r="S14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5" spans="1:19" x14ac:dyDescent="0.2">
      <c r="A145">
        <v>6785</v>
      </c>
      <c r="B145" t="s">
        <v>32</v>
      </c>
      <c r="C145" s="1">
        <v>45615</v>
      </c>
      <c r="D145" t="s">
        <v>12</v>
      </c>
      <c r="E145">
        <v>2.5</v>
      </c>
      <c r="F145" s="2">
        <v>0.58823529411764697</v>
      </c>
      <c r="G145" s="2">
        <v>0.56547902586986898</v>
      </c>
      <c r="H145" s="2">
        <v>0.53012418653968596</v>
      </c>
      <c r="I145" s="2">
        <v>0.48076923076923</v>
      </c>
      <c r="J145" s="2">
        <v>0.49212598425196802</v>
      </c>
      <c r="K145" s="2">
        <v>-3.5281743886619102E-2</v>
      </c>
      <c r="L145" s="2"/>
      <c r="M145" s="2" t="e">
        <f>(Table1[[#This Row],[poisson_likelihood]] - (1-Table1[[#This Row],[poisson_likelihood]])/(1/Table1[[#This Row],[365 implied]]-1))/4</f>
        <v>#DIV/0!</v>
      </c>
      <c r="N145" s="7" t="e">
        <f>Table1[[#This Row],[kelly/4 365]]*$W$2*$U$2</f>
        <v>#DIV/0!</v>
      </c>
      <c r="O145" s="2"/>
      <c r="P145" s="2" t="e">
        <f>(Table1[[#This Row],[poisson_likelihood]] - (1-Table1[[#This Row],[poisson_likelihood]])/(1/Table1[[#This Row],[99/pinn implied]]-1))/4</f>
        <v>#DIV/0!</v>
      </c>
      <c r="Q145" s="7" t="e">
        <f>Table1[[#This Row],[kelly/4 99]]*$W$2*$U$2</f>
        <v>#DIV/0!</v>
      </c>
      <c r="R145" s="2"/>
      <c r="S14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6" spans="1:19" x14ac:dyDescent="0.2">
      <c r="A146">
        <v>6755</v>
      </c>
      <c r="B146" t="s">
        <v>17</v>
      </c>
      <c r="C146" s="1">
        <v>45615</v>
      </c>
      <c r="D146" t="s">
        <v>12</v>
      </c>
      <c r="E146">
        <v>2.5</v>
      </c>
      <c r="F146" s="2">
        <v>0.53191489361702105</v>
      </c>
      <c r="G146" s="2">
        <v>0.50874611378842105</v>
      </c>
      <c r="H146" s="2">
        <v>0.46585263377344299</v>
      </c>
      <c r="I146" s="2">
        <v>0.55555555555555503</v>
      </c>
      <c r="J146" s="2">
        <v>0.53074433656957898</v>
      </c>
      <c r="K146" s="2">
        <v>-3.5283252416456301E-2</v>
      </c>
      <c r="L146" s="2"/>
      <c r="M146" s="2" t="e">
        <f>(Table1[[#This Row],[poisson_likelihood]] - (1-Table1[[#This Row],[poisson_likelihood]])/(1/Table1[[#This Row],[365 implied]]-1))/4</f>
        <v>#DIV/0!</v>
      </c>
      <c r="N146" s="7" t="e">
        <f>Table1[[#This Row],[kelly/4 365]]*$W$2*$U$2</f>
        <v>#DIV/0!</v>
      </c>
      <c r="O146" s="2"/>
      <c r="P146" s="2" t="e">
        <f>(Table1[[#This Row],[poisson_likelihood]] - (1-Table1[[#This Row],[poisson_likelihood]])/(1/Table1[[#This Row],[99/pinn implied]]-1))/4</f>
        <v>#DIV/0!</v>
      </c>
      <c r="Q146" s="7" t="e">
        <f>Table1[[#This Row],[kelly/4 99]]*$W$2*$U$2</f>
        <v>#DIV/0!</v>
      </c>
      <c r="R146" s="2"/>
      <c r="S14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7" spans="1:19" x14ac:dyDescent="0.2">
      <c r="A147">
        <v>6942</v>
      </c>
      <c r="B147" t="s">
        <v>110</v>
      </c>
      <c r="C147" s="1">
        <v>45615</v>
      </c>
      <c r="D147" t="s">
        <v>13</v>
      </c>
      <c r="E147">
        <v>2.5</v>
      </c>
      <c r="F147" s="2">
        <v>0.59523809523809501</v>
      </c>
      <c r="G147" s="2">
        <v>0.49446695598266999</v>
      </c>
      <c r="H147" s="2">
        <v>0.53740394054669505</v>
      </c>
      <c r="I147" s="2">
        <v>0.44134078212290501</v>
      </c>
      <c r="J147" s="2">
        <v>0.47350993377483402</v>
      </c>
      <c r="K147" s="2">
        <v>-3.5721095544688101E-2</v>
      </c>
      <c r="L147" s="2"/>
      <c r="M147" s="2" t="e">
        <f>(Table1[[#This Row],[poisson_likelihood]] - (1-Table1[[#This Row],[poisson_likelihood]])/(1/Table1[[#This Row],[365 implied]]-1))/4</f>
        <v>#DIV/0!</v>
      </c>
      <c r="N147" s="7" t="e">
        <f>Table1[[#This Row],[kelly/4 365]]*$W$2*$U$2</f>
        <v>#DIV/0!</v>
      </c>
      <c r="O147" s="2"/>
      <c r="P147" s="2" t="e">
        <f>(Table1[[#This Row],[poisson_likelihood]] - (1-Table1[[#This Row],[poisson_likelihood]])/(1/Table1[[#This Row],[99/pinn implied]]-1))/4</f>
        <v>#DIV/0!</v>
      </c>
      <c r="Q147" s="7" t="e">
        <f>Table1[[#This Row],[kelly/4 99]]*$W$2*$U$2</f>
        <v>#DIV/0!</v>
      </c>
      <c r="R147" s="2"/>
      <c r="S14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8" spans="1:19" x14ac:dyDescent="0.2">
      <c r="A148">
        <v>6880</v>
      </c>
      <c r="B148" t="s">
        <v>79</v>
      </c>
      <c r="C148" s="1">
        <v>45615</v>
      </c>
      <c r="D148" t="s">
        <v>13</v>
      </c>
      <c r="E148">
        <v>1.5</v>
      </c>
      <c r="F148" s="2">
        <v>0.40816326530612201</v>
      </c>
      <c r="G148" s="2">
        <v>0.29996003717571801</v>
      </c>
      <c r="H148" s="2">
        <v>0.32213418562524199</v>
      </c>
      <c r="I148" s="2">
        <v>0.46296296296296202</v>
      </c>
      <c r="J148" s="2">
        <v>0.48239436619718301</v>
      </c>
      <c r="K148" s="2">
        <v>-3.6339869865199201E-2</v>
      </c>
      <c r="L148" s="2"/>
      <c r="M148" s="2" t="e">
        <f>(Table1[[#This Row],[poisson_likelihood]] - (1-Table1[[#This Row],[poisson_likelihood]])/(1/Table1[[#This Row],[365 implied]]-1))/4</f>
        <v>#DIV/0!</v>
      </c>
      <c r="N148" s="7" t="e">
        <f>Table1[[#This Row],[kelly/4 365]]*$W$2*$U$2</f>
        <v>#DIV/0!</v>
      </c>
      <c r="O148" s="2"/>
      <c r="P148" s="2" t="e">
        <f>(Table1[[#This Row],[poisson_likelihood]] - (1-Table1[[#This Row],[poisson_likelihood]])/(1/Table1[[#This Row],[99/pinn implied]]-1))/4</f>
        <v>#DIV/0!</v>
      </c>
      <c r="Q148" s="7" t="e">
        <f>Table1[[#This Row],[kelly/4 99]]*$W$2*$U$2</f>
        <v>#DIV/0!</v>
      </c>
      <c r="R148" s="2"/>
      <c r="S14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9" spans="1:19" x14ac:dyDescent="0.2">
      <c r="A149">
        <v>6919</v>
      </c>
      <c r="B149" t="s">
        <v>99</v>
      </c>
      <c r="C149" s="1">
        <v>45615</v>
      </c>
      <c r="D149" t="s">
        <v>12</v>
      </c>
      <c r="E149">
        <v>2.5</v>
      </c>
      <c r="F149" s="2">
        <v>0.51813471502590602</v>
      </c>
      <c r="G149" s="2">
        <v>0.49012898421927598</v>
      </c>
      <c r="H149" s="2">
        <v>0.44682052233755098</v>
      </c>
      <c r="I149" s="2">
        <v>0.35</v>
      </c>
      <c r="J149" s="2">
        <v>0.35294117647058798</v>
      </c>
      <c r="K149" s="2">
        <v>-3.69990300775608E-2</v>
      </c>
      <c r="L149" s="2"/>
      <c r="M149" s="2" t="e">
        <f>(Table1[[#This Row],[poisson_likelihood]] - (1-Table1[[#This Row],[poisson_likelihood]])/(1/Table1[[#This Row],[365 implied]]-1))/4</f>
        <v>#DIV/0!</v>
      </c>
      <c r="N149" s="7" t="e">
        <f>Table1[[#This Row],[kelly/4 365]]*$W$2*$U$2</f>
        <v>#DIV/0!</v>
      </c>
      <c r="O149" s="2"/>
      <c r="P149" s="2" t="e">
        <f>(Table1[[#This Row],[poisson_likelihood]] - (1-Table1[[#This Row],[poisson_likelihood]])/(1/Table1[[#This Row],[99/pinn implied]]-1))/4</f>
        <v>#DIV/0!</v>
      </c>
      <c r="Q149" s="7" t="e">
        <f>Table1[[#This Row],[kelly/4 99]]*$W$2*$U$2</f>
        <v>#DIV/0!</v>
      </c>
      <c r="R149" s="2"/>
      <c r="S14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0" spans="1:19" x14ac:dyDescent="0.2">
      <c r="A150">
        <v>6806</v>
      </c>
      <c r="B150" t="s">
        <v>42</v>
      </c>
      <c r="C150" s="1">
        <v>45615</v>
      </c>
      <c r="D150" t="s">
        <v>13</v>
      </c>
      <c r="E150">
        <v>2.5</v>
      </c>
      <c r="F150" s="2">
        <v>0.56497175141242895</v>
      </c>
      <c r="G150" s="2">
        <v>0.45612773532858902</v>
      </c>
      <c r="H150" s="2">
        <v>0.50017080970919903</v>
      </c>
      <c r="I150" s="2">
        <v>0.47019867549668798</v>
      </c>
      <c r="J150" s="2">
        <v>0.48414376321352998</v>
      </c>
      <c r="K150" s="2">
        <v>-3.7239502212570302E-2</v>
      </c>
      <c r="L150" s="2"/>
      <c r="M150" s="2" t="e">
        <f>(Table1[[#This Row],[poisson_likelihood]] - (1-Table1[[#This Row],[poisson_likelihood]])/(1/Table1[[#This Row],[365 implied]]-1))/4</f>
        <v>#DIV/0!</v>
      </c>
      <c r="N150" s="7" t="e">
        <f>Table1[[#This Row],[kelly/4 365]]*$W$2*$U$2</f>
        <v>#DIV/0!</v>
      </c>
      <c r="O150" s="2"/>
      <c r="P150" s="2" t="e">
        <f>(Table1[[#This Row],[poisson_likelihood]] - (1-Table1[[#This Row],[poisson_likelihood]])/(1/Table1[[#This Row],[99/pinn implied]]-1))/4</f>
        <v>#DIV/0!</v>
      </c>
      <c r="Q150" s="7" t="e">
        <f>Table1[[#This Row],[kelly/4 99]]*$W$2*$U$2</f>
        <v>#DIV/0!</v>
      </c>
      <c r="R150" s="2"/>
      <c r="S15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1" spans="1:19" x14ac:dyDescent="0.2">
      <c r="A151">
        <v>6788</v>
      </c>
      <c r="B151" t="s">
        <v>33</v>
      </c>
      <c r="C151" s="1">
        <v>45615</v>
      </c>
      <c r="D151" t="s">
        <v>13</v>
      </c>
      <c r="E151">
        <v>2.5</v>
      </c>
      <c r="F151" s="2">
        <v>0.5</v>
      </c>
      <c r="G151" s="2">
        <v>0.38137486310768798</v>
      </c>
      <c r="H151" s="2">
        <v>0.42528821718589499</v>
      </c>
      <c r="I151" s="2">
        <v>0.48</v>
      </c>
      <c r="J151" s="2">
        <v>0.48965517241379303</v>
      </c>
      <c r="K151" s="2">
        <v>-3.7355891407052103E-2</v>
      </c>
      <c r="L151" s="2"/>
      <c r="M151" s="2" t="e">
        <f>(Table1[[#This Row],[poisson_likelihood]] - (1-Table1[[#This Row],[poisson_likelihood]])/(1/Table1[[#This Row],[365 implied]]-1))/4</f>
        <v>#DIV/0!</v>
      </c>
      <c r="N151" s="7" t="e">
        <f>Table1[[#This Row],[kelly/4 365]]*$W$2*$U$2</f>
        <v>#DIV/0!</v>
      </c>
      <c r="O151" s="2"/>
      <c r="P151" s="2" t="e">
        <f>(Table1[[#This Row],[poisson_likelihood]] - (1-Table1[[#This Row],[poisson_likelihood]])/(1/Table1[[#This Row],[99/pinn implied]]-1))/4</f>
        <v>#DIV/0!</v>
      </c>
      <c r="Q151" s="7" t="e">
        <f>Table1[[#This Row],[kelly/4 99]]*$W$2*$U$2</f>
        <v>#DIV/0!</v>
      </c>
      <c r="R151" s="2"/>
      <c r="S15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2" spans="1:19" x14ac:dyDescent="0.2">
      <c r="A152">
        <v>6895</v>
      </c>
      <c r="B152" t="s">
        <v>87</v>
      </c>
      <c r="C152" s="1">
        <v>45615</v>
      </c>
      <c r="D152" t="s">
        <v>12</v>
      </c>
      <c r="E152">
        <v>1.5</v>
      </c>
      <c r="F152" s="2">
        <v>0.65789473684210498</v>
      </c>
      <c r="G152" s="2">
        <v>0.65312551643615102</v>
      </c>
      <c r="H152" s="2">
        <v>0.60624900040395302</v>
      </c>
      <c r="I152" s="2">
        <v>0.58857142857142797</v>
      </c>
      <c r="J152" s="2">
        <v>0.58862876254180596</v>
      </c>
      <c r="K152" s="2">
        <v>-3.77411150894187E-2</v>
      </c>
      <c r="L152" s="2"/>
      <c r="M152" s="2" t="e">
        <f>(Table1[[#This Row],[poisson_likelihood]] - (1-Table1[[#This Row],[poisson_likelihood]])/(1/Table1[[#This Row],[365 implied]]-1))/4</f>
        <v>#DIV/0!</v>
      </c>
      <c r="N152" s="7" t="e">
        <f>Table1[[#This Row],[kelly/4 365]]*$W$2*$U$2</f>
        <v>#DIV/0!</v>
      </c>
      <c r="O152" s="2"/>
      <c r="P152" s="2" t="e">
        <f>(Table1[[#This Row],[poisson_likelihood]] - (1-Table1[[#This Row],[poisson_likelihood]])/(1/Table1[[#This Row],[99/pinn implied]]-1))/4</f>
        <v>#DIV/0!</v>
      </c>
      <c r="Q152" s="7" t="e">
        <f>Table1[[#This Row],[kelly/4 99]]*$W$2*$U$2</f>
        <v>#DIV/0!</v>
      </c>
      <c r="R152" s="2"/>
      <c r="S15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3" spans="1:19" x14ac:dyDescent="0.2">
      <c r="A153">
        <v>6818</v>
      </c>
      <c r="B153" t="s">
        <v>48</v>
      </c>
      <c r="C153" s="1">
        <v>45615</v>
      </c>
      <c r="D153" t="s">
        <v>13</v>
      </c>
      <c r="E153">
        <v>2.5</v>
      </c>
      <c r="F153" s="2">
        <v>0.42194092827004198</v>
      </c>
      <c r="G153" s="2">
        <v>0.30636660063029297</v>
      </c>
      <c r="H153" s="2">
        <v>0.33398742946500098</v>
      </c>
      <c r="I153" s="2">
        <v>0.34285714285714203</v>
      </c>
      <c r="J153" s="2">
        <v>0.32996632996632902</v>
      </c>
      <c r="K153" s="2">
        <v>-3.8038283242325999E-2</v>
      </c>
      <c r="L153" s="2"/>
      <c r="M153" s="2" t="e">
        <f>(Table1[[#This Row],[poisson_likelihood]] - (1-Table1[[#This Row],[poisson_likelihood]])/(1/Table1[[#This Row],[365 implied]]-1))/4</f>
        <v>#DIV/0!</v>
      </c>
      <c r="N153" s="7" t="e">
        <f>Table1[[#This Row],[kelly/4 365]]*$W$2*$U$2</f>
        <v>#DIV/0!</v>
      </c>
      <c r="O153" s="2"/>
      <c r="P153" s="2" t="e">
        <f>(Table1[[#This Row],[poisson_likelihood]] - (1-Table1[[#This Row],[poisson_likelihood]])/(1/Table1[[#This Row],[99/pinn implied]]-1))/4</f>
        <v>#DIV/0!</v>
      </c>
      <c r="Q153" s="7" t="e">
        <f>Table1[[#This Row],[kelly/4 99]]*$W$2*$U$2</f>
        <v>#DIV/0!</v>
      </c>
      <c r="R153" s="2"/>
      <c r="S15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4" spans="1:19" x14ac:dyDescent="0.2">
      <c r="A154">
        <v>6834</v>
      </c>
      <c r="B154" t="s">
        <v>56</v>
      </c>
      <c r="C154" s="1">
        <v>45615</v>
      </c>
      <c r="D154" t="s">
        <v>13</v>
      </c>
      <c r="E154">
        <v>1.5</v>
      </c>
      <c r="F154" s="2">
        <v>0.45045045045045001</v>
      </c>
      <c r="G154" s="2">
        <v>0.330249037785602</v>
      </c>
      <c r="H154" s="2">
        <v>0.36236168001849201</v>
      </c>
      <c r="I154" s="2">
        <v>0.34078212290502702</v>
      </c>
      <c r="J154" s="2">
        <v>0.36184210526315702</v>
      </c>
      <c r="K154" s="2">
        <v>-4.0073170155521698E-2</v>
      </c>
      <c r="L154" s="2"/>
      <c r="M154" s="2" t="e">
        <f>(Table1[[#This Row],[poisson_likelihood]] - (1-Table1[[#This Row],[poisson_likelihood]])/(1/Table1[[#This Row],[365 implied]]-1))/4</f>
        <v>#DIV/0!</v>
      </c>
      <c r="N154" s="7" t="e">
        <f>Table1[[#This Row],[kelly/4 365]]*$W$2*$U$2</f>
        <v>#DIV/0!</v>
      </c>
      <c r="O154" s="2"/>
      <c r="P154" s="2" t="e">
        <f>(Table1[[#This Row],[poisson_likelihood]] - (1-Table1[[#This Row],[poisson_likelihood]])/(1/Table1[[#This Row],[99/pinn implied]]-1))/4</f>
        <v>#DIV/0!</v>
      </c>
      <c r="Q154" s="7" t="e">
        <f>Table1[[#This Row],[kelly/4 99]]*$W$2*$U$2</f>
        <v>#DIV/0!</v>
      </c>
      <c r="R154" s="2"/>
      <c r="S15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5" spans="1:19" x14ac:dyDescent="0.2">
      <c r="A155">
        <v>6761</v>
      </c>
      <c r="B155" t="s">
        <v>20</v>
      </c>
      <c r="C155" s="1">
        <v>45615</v>
      </c>
      <c r="D155" t="s">
        <v>12</v>
      </c>
      <c r="E155">
        <v>2.5</v>
      </c>
      <c r="F155" s="2">
        <v>0.46511627906976699</v>
      </c>
      <c r="G155" s="2">
        <v>0.43377969892665202</v>
      </c>
      <c r="H155" s="2">
        <v>0.37812950477349</v>
      </c>
      <c r="I155" s="2">
        <v>0.475138121546961</v>
      </c>
      <c r="J155" s="2">
        <v>0.436482084690553</v>
      </c>
      <c r="K155" s="2">
        <v>-4.0656861899346697E-2</v>
      </c>
      <c r="L155" s="2"/>
      <c r="M155" s="2" t="e">
        <f>(Table1[[#This Row],[poisson_likelihood]] - (1-Table1[[#This Row],[poisson_likelihood]])/(1/Table1[[#This Row],[365 implied]]-1))/4</f>
        <v>#DIV/0!</v>
      </c>
      <c r="N155" s="7" t="e">
        <f>Table1[[#This Row],[kelly/4 365]]*$W$2*$U$2</f>
        <v>#DIV/0!</v>
      </c>
      <c r="O155" s="2"/>
      <c r="P155" s="2" t="e">
        <f>(Table1[[#This Row],[poisson_likelihood]] - (1-Table1[[#This Row],[poisson_likelihood]])/(1/Table1[[#This Row],[99/pinn implied]]-1))/4</f>
        <v>#DIV/0!</v>
      </c>
      <c r="Q155" s="7" t="e">
        <f>Table1[[#This Row],[kelly/4 99]]*$W$2*$U$2</f>
        <v>#DIV/0!</v>
      </c>
      <c r="R155" s="2"/>
      <c r="S15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6" spans="1:19" x14ac:dyDescent="0.2">
      <c r="A156">
        <v>6757</v>
      </c>
      <c r="B156" t="s">
        <v>18</v>
      </c>
      <c r="C156" s="1">
        <v>45615</v>
      </c>
      <c r="D156" t="s">
        <v>12</v>
      </c>
      <c r="E156">
        <v>2.5</v>
      </c>
      <c r="F156" s="2">
        <v>0.418410041841004</v>
      </c>
      <c r="G156" s="2">
        <v>0.37343866095363298</v>
      </c>
      <c r="H156" s="2">
        <v>0.32362795968111702</v>
      </c>
      <c r="I156" s="2">
        <v>0.33522727272727199</v>
      </c>
      <c r="J156" s="2">
        <v>0.35643564356435598</v>
      </c>
      <c r="K156" s="2">
        <v>-4.0742657619087901E-2</v>
      </c>
      <c r="L156" s="2"/>
      <c r="M156" s="2" t="e">
        <f>(Table1[[#This Row],[poisson_likelihood]] - (1-Table1[[#This Row],[poisson_likelihood]])/(1/Table1[[#This Row],[365 implied]]-1))/4</f>
        <v>#DIV/0!</v>
      </c>
      <c r="N156" s="7" t="e">
        <f>Table1[[#This Row],[kelly/4 365]]*$W$2*$U$2</f>
        <v>#DIV/0!</v>
      </c>
      <c r="O156" s="2"/>
      <c r="P156" s="2" t="e">
        <f>(Table1[[#This Row],[poisson_likelihood]] - (1-Table1[[#This Row],[poisson_likelihood]])/(1/Table1[[#This Row],[99/pinn implied]]-1))/4</f>
        <v>#DIV/0!</v>
      </c>
      <c r="Q156" s="7" t="e">
        <f>Table1[[#This Row],[kelly/4 99]]*$W$2*$U$2</f>
        <v>#DIV/0!</v>
      </c>
      <c r="R156" s="2"/>
      <c r="S15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7" spans="1:19" x14ac:dyDescent="0.2">
      <c r="A157">
        <v>6855</v>
      </c>
      <c r="B157" t="s">
        <v>67</v>
      </c>
      <c r="C157" s="1">
        <v>45615</v>
      </c>
      <c r="D157" t="s">
        <v>12</v>
      </c>
      <c r="E157">
        <v>3.5</v>
      </c>
      <c r="F157" s="2">
        <v>0.49261083743842299</v>
      </c>
      <c r="G157" s="2">
        <v>0.44386686032245098</v>
      </c>
      <c r="H157" s="2">
        <v>0.406897648789389</v>
      </c>
      <c r="I157" s="2">
        <v>0.39306358381502798</v>
      </c>
      <c r="J157" s="2">
        <v>0.40068493150684897</v>
      </c>
      <c r="K157" s="2">
        <v>-4.2232469164451003E-2</v>
      </c>
      <c r="L157" s="2"/>
      <c r="M157" s="2" t="e">
        <f>(Table1[[#This Row],[poisson_likelihood]] - (1-Table1[[#This Row],[poisson_likelihood]])/(1/Table1[[#This Row],[365 implied]]-1))/4</f>
        <v>#DIV/0!</v>
      </c>
      <c r="N157" s="7" t="e">
        <f>Table1[[#This Row],[kelly/4 365]]*$W$2*$U$2</f>
        <v>#DIV/0!</v>
      </c>
      <c r="O157" s="2"/>
      <c r="P157" s="2" t="e">
        <f>(Table1[[#This Row],[poisson_likelihood]] - (1-Table1[[#This Row],[poisson_likelihood]])/(1/Table1[[#This Row],[99/pinn implied]]-1))/4</f>
        <v>#DIV/0!</v>
      </c>
      <c r="Q157" s="7" t="e">
        <f>Table1[[#This Row],[kelly/4 99]]*$W$2*$U$2</f>
        <v>#DIV/0!</v>
      </c>
      <c r="R157" s="2"/>
      <c r="S15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8" spans="1:19" x14ac:dyDescent="0.2">
      <c r="A158">
        <v>6848</v>
      </c>
      <c r="B158" t="s">
        <v>63</v>
      </c>
      <c r="C158" s="1">
        <v>45615</v>
      </c>
      <c r="D158" t="s">
        <v>13</v>
      </c>
      <c r="E158">
        <v>2.5</v>
      </c>
      <c r="F158" s="2">
        <v>0.46511627906976699</v>
      </c>
      <c r="G158" s="2">
        <v>0.34278731179592298</v>
      </c>
      <c r="H158" s="2">
        <v>0.37439975776089301</v>
      </c>
      <c r="I158" s="2">
        <v>0.378698224852071</v>
      </c>
      <c r="J158" s="2">
        <v>0.37676056338028102</v>
      </c>
      <c r="K158" s="2">
        <v>-4.2400113220451799E-2</v>
      </c>
      <c r="L158" s="2"/>
      <c r="M158" s="2" t="e">
        <f>(Table1[[#This Row],[poisson_likelihood]] - (1-Table1[[#This Row],[poisson_likelihood]])/(1/Table1[[#This Row],[365 implied]]-1))/4</f>
        <v>#DIV/0!</v>
      </c>
      <c r="N158" s="7" t="e">
        <f>Table1[[#This Row],[kelly/4 365]]*$W$2*$U$2</f>
        <v>#DIV/0!</v>
      </c>
      <c r="O158" s="2"/>
      <c r="P158" s="2" t="e">
        <f>(Table1[[#This Row],[poisson_likelihood]] - (1-Table1[[#This Row],[poisson_likelihood]])/(1/Table1[[#This Row],[99/pinn implied]]-1))/4</f>
        <v>#DIV/0!</v>
      </c>
      <c r="Q158" s="7" t="e">
        <f>Table1[[#This Row],[kelly/4 99]]*$W$2*$U$2</f>
        <v>#DIV/0!</v>
      </c>
      <c r="R158" s="2"/>
      <c r="S15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9" spans="1:19" x14ac:dyDescent="0.2">
      <c r="A159">
        <v>6914</v>
      </c>
      <c r="B159" t="s">
        <v>96</v>
      </c>
      <c r="C159" s="1">
        <v>45615</v>
      </c>
      <c r="D159" t="s">
        <v>13</v>
      </c>
      <c r="E159">
        <v>2.5</v>
      </c>
      <c r="F159" s="2">
        <v>0.485436893203883</v>
      </c>
      <c r="G159" s="2">
        <v>0.36368123758823301</v>
      </c>
      <c r="H159" s="2">
        <v>0.39664250134343698</v>
      </c>
      <c r="I159" s="2">
        <v>0.45054945054945</v>
      </c>
      <c r="J159" s="2">
        <v>0.41612903225806402</v>
      </c>
      <c r="K159" s="2">
        <v>-4.3140671517103601E-2</v>
      </c>
      <c r="L159" s="2"/>
      <c r="M159" s="2" t="e">
        <f>(Table1[[#This Row],[poisson_likelihood]] - (1-Table1[[#This Row],[poisson_likelihood]])/(1/Table1[[#This Row],[365 implied]]-1))/4</f>
        <v>#DIV/0!</v>
      </c>
      <c r="N159" s="7" t="e">
        <f>Table1[[#This Row],[kelly/4 365]]*$W$2*$U$2</f>
        <v>#DIV/0!</v>
      </c>
      <c r="O159" s="2"/>
      <c r="P159" s="2" t="e">
        <f>(Table1[[#This Row],[poisson_likelihood]] - (1-Table1[[#This Row],[poisson_likelihood]])/(1/Table1[[#This Row],[99/pinn implied]]-1))/4</f>
        <v>#DIV/0!</v>
      </c>
      <c r="Q159" s="7" t="e">
        <f>Table1[[#This Row],[kelly/4 99]]*$W$2*$U$2</f>
        <v>#DIV/0!</v>
      </c>
      <c r="R159" s="2"/>
      <c r="S15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0" spans="1:19" x14ac:dyDescent="0.2">
      <c r="A160">
        <v>6889</v>
      </c>
      <c r="B160" t="s">
        <v>84</v>
      </c>
      <c r="C160" s="1">
        <v>45615</v>
      </c>
      <c r="D160" t="s">
        <v>12</v>
      </c>
      <c r="E160">
        <v>1.5</v>
      </c>
      <c r="F160" s="2">
        <v>0.61728395061728303</v>
      </c>
      <c r="G160" s="2">
        <v>0.59115017930654501</v>
      </c>
      <c r="H160" s="2">
        <v>0.55118441760191506</v>
      </c>
      <c r="I160" s="2">
        <v>0.47752808988764001</v>
      </c>
      <c r="J160" s="2">
        <v>0.46511627906976699</v>
      </c>
      <c r="K160" s="2">
        <v>-4.3177920760039103E-2</v>
      </c>
      <c r="L160" s="2"/>
      <c r="M160" s="2" t="e">
        <f>(Table1[[#This Row],[poisson_likelihood]] - (1-Table1[[#This Row],[poisson_likelihood]])/(1/Table1[[#This Row],[365 implied]]-1))/4</f>
        <v>#DIV/0!</v>
      </c>
      <c r="N160" s="7" t="e">
        <f>Table1[[#This Row],[kelly/4 365]]*$W$2*$U$2</f>
        <v>#DIV/0!</v>
      </c>
      <c r="O160" s="2"/>
      <c r="P160" s="2" t="e">
        <f>(Table1[[#This Row],[poisson_likelihood]] - (1-Table1[[#This Row],[poisson_likelihood]])/(1/Table1[[#This Row],[99/pinn implied]]-1))/4</f>
        <v>#DIV/0!</v>
      </c>
      <c r="Q160" s="7" t="e">
        <f>Table1[[#This Row],[kelly/4 99]]*$W$2*$U$2</f>
        <v>#DIV/0!</v>
      </c>
      <c r="R160" s="2"/>
      <c r="S16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1" spans="1:19" x14ac:dyDescent="0.2">
      <c r="A161">
        <v>6753</v>
      </c>
      <c r="B161" t="s">
        <v>16</v>
      </c>
      <c r="C161" s="1">
        <v>45615</v>
      </c>
      <c r="D161" t="s">
        <v>12</v>
      </c>
      <c r="E161">
        <v>3.5</v>
      </c>
      <c r="F161" s="2">
        <v>0.59523809523809501</v>
      </c>
      <c r="G161" s="2">
        <v>0.54938511264362899</v>
      </c>
      <c r="H161" s="2">
        <v>0.52491740333197501</v>
      </c>
      <c r="I161" s="2">
        <v>0.655555555555555</v>
      </c>
      <c r="J161" s="2">
        <v>0.65901639344262297</v>
      </c>
      <c r="K161" s="2">
        <v>-4.3433368530250697E-2</v>
      </c>
      <c r="L161" s="2"/>
      <c r="M161" s="2" t="e">
        <f>(Table1[[#This Row],[poisson_likelihood]] - (1-Table1[[#This Row],[poisson_likelihood]])/(1/Table1[[#This Row],[365 implied]]-1))/4</f>
        <v>#DIV/0!</v>
      </c>
      <c r="N161" s="7" t="e">
        <f>Table1[[#This Row],[kelly/4 365]]*$W$2*$U$2</f>
        <v>#DIV/0!</v>
      </c>
      <c r="O161" s="2"/>
      <c r="P161" s="2" t="e">
        <f>(Table1[[#This Row],[poisson_likelihood]] - (1-Table1[[#This Row],[poisson_likelihood]])/(1/Table1[[#This Row],[99/pinn implied]]-1))/4</f>
        <v>#DIV/0!</v>
      </c>
      <c r="Q161" s="7" t="e">
        <f>Table1[[#This Row],[kelly/4 99]]*$W$2*$U$2</f>
        <v>#DIV/0!</v>
      </c>
      <c r="R161" s="2"/>
      <c r="S16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2" spans="1:19" x14ac:dyDescent="0.2">
      <c r="A162">
        <v>6759</v>
      </c>
      <c r="B162" t="s">
        <v>19</v>
      </c>
      <c r="C162" s="1">
        <v>45615</v>
      </c>
      <c r="D162" t="s">
        <v>12</v>
      </c>
      <c r="E162">
        <v>1.5</v>
      </c>
      <c r="F162" s="2">
        <v>0.67567567567567499</v>
      </c>
      <c r="G162" s="2">
        <v>0.64571735249908402</v>
      </c>
      <c r="H162" s="2">
        <v>0.61870636368730003</v>
      </c>
      <c r="I162" s="2">
        <v>0.66850828729281697</v>
      </c>
      <c r="J162" s="2">
        <v>0.653721682847896</v>
      </c>
      <c r="K162" s="2">
        <v>-4.3913844657706202E-2</v>
      </c>
      <c r="L162" s="2"/>
      <c r="M162" s="2" t="e">
        <f>(Table1[[#This Row],[poisson_likelihood]] - (1-Table1[[#This Row],[poisson_likelihood]])/(1/Table1[[#This Row],[365 implied]]-1))/4</f>
        <v>#DIV/0!</v>
      </c>
      <c r="N162" s="7" t="e">
        <f>Table1[[#This Row],[kelly/4 365]]*$W$2*$U$2</f>
        <v>#DIV/0!</v>
      </c>
      <c r="O162" s="2"/>
      <c r="P162" s="2" t="e">
        <f>(Table1[[#This Row],[poisson_likelihood]] - (1-Table1[[#This Row],[poisson_likelihood]])/(1/Table1[[#This Row],[99/pinn implied]]-1))/4</f>
        <v>#DIV/0!</v>
      </c>
      <c r="Q162" s="7" t="e">
        <f>Table1[[#This Row],[kelly/4 99]]*$W$2*$U$2</f>
        <v>#DIV/0!</v>
      </c>
      <c r="R162" s="2"/>
      <c r="S16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3" spans="1:19" x14ac:dyDescent="0.2">
      <c r="A163">
        <v>6853</v>
      </c>
      <c r="B163" t="s">
        <v>66</v>
      </c>
      <c r="C163" s="1">
        <v>45615</v>
      </c>
      <c r="D163" t="s">
        <v>12</v>
      </c>
      <c r="E163">
        <v>1.5</v>
      </c>
      <c r="F163" s="2">
        <v>0.66225165562913901</v>
      </c>
      <c r="G163" s="2">
        <v>0.635109125765981</v>
      </c>
      <c r="H163" s="2">
        <v>0.60215950406164098</v>
      </c>
      <c r="I163" s="2">
        <v>0.54098360655737698</v>
      </c>
      <c r="J163" s="2">
        <v>0.56230031948881698</v>
      </c>
      <c r="K163" s="2">
        <v>-4.4479974934765402E-2</v>
      </c>
      <c r="L163" s="2"/>
      <c r="M163" s="2" t="e">
        <f>(Table1[[#This Row],[poisson_likelihood]] - (1-Table1[[#This Row],[poisson_likelihood]])/(1/Table1[[#This Row],[365 implied]]-1))/4</f>
        <v>#DIV/0!</v>
      </c>
      <c r="N163" s="7" t="e">
        <f>Table1[[#This Row],[kelly/4 365]]*$W$2*$U$2</f>
        <v>#DIV/0!</v>
      </c>
      <c r="O163" s="2"/>
      <c r="P163" s="2" t="e">
        <f>(Table1[[#This Row],[poisson_likelihood]] - (1-Table1[[#This Row],[poisson_likelihood]])/(1/Table1[[#This Row],[99/pinn implied]]-1))/4</f>
        <v>#DIV/0!</v>
      </c>
      <c r="Q163" s="7" t="e">
        <f>Table1[[#This Row],[kelly/4 99]]*$W$2*$U$2</f>
        <v>#DIV/0!</v>
      </c>
      <c r="R163" s="2"/>
      <c r="S16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4" spans="1:19" x14ac:dyDescent="0.2">
      <c r="A164">
        <v>6839</v>
      </c>
      <c r="B164" t="s">
        <v>59</v>
      </c>
      <c r="C164" s="1">
        <v>45615</v>
      </c>
      <c r="D164" t="s">
        <v>12</v>
      </c>
      <c r="E164">
        <v>1.5</v>
      </c>
      <c r="F164" s="2">
        <v>0.63694267515923497</v>
      </c>
      <c r="G164" s="2">
        <v>0.60512516579687103</v>
      </c>
      <c r="H164" s="2">
        <v>0.57229812896142196</v>
      </c>
      <c r="I164" s="2">
        <v>0.5</v>
      </c>
      <c r="J164" s="2">
        <v>0.52459016393442603</v>
      </c>
      <c r="K164" s="2">
        <v>-4.4514007688845302E-2</v>
      </c>
      <c r="L164" s="2"/>
      <c r="M164" s="2" t="e">
        <f>(Table1[[#This Row],[poisson_likelihood]] - (1-Table1[[#This Row],[poisson_likelihood]])/(1/Table1[[#This Row],[365 implied]]-1))/4</f>
        <v>#DIV/0!</v>
      </c>
      <c r="N164" s="7" t="e">
        <f>Table1[[#This Row],[kelly/4 365]]*$W$2*$U$2</f>
        <v>#DIV/0!</v>
      </c>
      <c r="O164" s="2"/>
      <c r="P164" s="2" t="e">
        <f>(Table1[[#This Row],[poisson_likelihood]] - (1-Table1[[#This Row],[poisson_likelihood]])/(1/Table1[[#This Row],[99/pinn implied]]-1))/4</f>
        <v>#DIV/0!</v>
      </c>
      <c r="Q164" s="7" t="e">
        <f>Table1[[#This Row],[kelly/4 99]]*$W$2*$U$2</f>
        <v>#DIV/0!</v>
      </c>
      <c r="R164" s="2"/>
      <c r="S16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5" spans="1:19" x14ac:dyDescent="0.2">
      <c r="A165">
        <v>6812</v>
      </c>
      <c r="B165" t="s">
        <v>45</v>
      </c>
      <c r="C165" s="1">
        <v>45615</v>
      </c>
      <c r="D165" t="s">
        <v>13</v>
      </c>
      <c r="E165">
        <v>3.5</v>
      </c>
      <c r="F165" s="2">
        <v>0.63694267515923497</v>
      </c>
      <c r="G165" s="2">
        <v>0.53095357958501099</v>
      </c>
      <c r="H165" s="2">
        <v>0.56907583205490198</v>
      </c>
      <c r="I165" s="2">
        <v>0.587878787878787</v>
      </c>
      <c r="J165" s="2">
        <v>0.56884057971014401</v>
      </c>
      <c r="K165" s="2">
        <v>-4.6732870032369499E-2</v>
      </c>
      <c r="L165" s="2"/>
      <c r="M165" s="2" t="e">
        <f>(Table1[[#This Row],[poisson_likelihood]] - (1-Table1[[#This Row],[poisson_likelihood]])/(1/Table1[[#This Row],[365 implied]]-1))/4</f>
        <v>#DIV/0!</v>
      </c>
      <c r="N165" s="7" t="e">
        <f>Table1[[#This Row],[kelly/4 365]]*$W$2*$U$2</f>
        <v>#DIV/0!</v>
      </c>
      <c r="O165" s="2"/>
      <c r="P165" s="2" t="e">
        <f>(Table1[[#This Row],[poisson_likelihood]] - (1-Table1[[#This Row],[poisson_likelihood]])/(1/Table1[[#This Row],[99/pinn implied]]-1))/4</f>
        <v>#DIV/0!</v>
      </c>
      <c r="Q165" s="7" t="e">
        <f>Table1[[#This Row],[kelly/4 99]]*$W$2*$U$2</f>
        <v>#DIV/0!</v>
      </c>
      <c r="R165" s="2"/>
      <c r="S16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6" spans="1:19" x14ac:dyDescent="0.2">
      <c r="A166">
        <v>6796</v>
      </c>
      <c r="B166" t="s">
        <v>37</v>
      </c>
      <c r="C166" s="1">
        <v>45615</v>
      </c>
      <c r="D166" t="s">
        <v>13</v>
      </c>
      <c r="E166">
        <v>2.5</v>
      </c>
      <c r="F166" s="2">
        <v>0.58823529411764697</v>
      </c>
      <c r="G166" s="2">
        <v>0.464452938844928</v>
      </c>
      <c r="H166" s="2">
        <v>0.51032779120134697</v>
      </c>
      <c r="I166" s="2">
        <v>0.60588235294117598</v>
      </c>
      <c r="J166" s="2">
        <v>0.60689655172413703</v>
      </c>
      <c r="K166" s="2">
        <v>-4.7300983913467397E-2</v>
      </c>
      <c r="L166" s="2"/>
      <c r="M166" s="2" t="e">
        <f>(Table1[[#This Row],[poisson_likelihood]] - (1-Table1[[#This Row],[poisson_likelihood]])/(1/Table1[[#This Row],[365 implied]]-1))/4</f>
        <v>#DIV/0!</v>
      </c>
      <c r="N166" s="7" t="e">
        <f>Table1[[#This Row],[kelly/4 365]]*$W$2*$U$2</f>
        <v>#DIV/0!</v>
      </c>
      <c r="O166" s="2"/>
      <c r="P166" s="2" t="e">
        <f>(Table1[[#This Row],[poisson_likelihood]] - (1-Table1[[#This Row],[poisson_likelihood]])/(1/Table1[[#This Row],[99/pinn implied]]-1))/4</f>
        <v>#DIV/0!</v>
      </c>
      <c r="Q166" s="7" t="e">
        <f>Table1[[#This Row],[kelly/4 99]]*$W$2*$U$2</f>
        <v>#DIV/0!</v>
      </c>
      <c r="R166" s="2"/>
      <c r="S16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7" spans="1:19" x14ac:dyDescent="0.2">
      <c r="A167">
        <v>6937</v>
      </c>
      <c r="B167" t="s">
        <v>108</v>
      </c>
      <c r="C167" s="1">
        <v>45615</v>
      </c>
      <c r="D167" t="s">
        <v>12</v>
      </c>
      <c r="E167">
        <v>2.5</v>
      </c>
      <c r="F167" s="2">
        <v>0.45454545454545398</v>
      </c>
      <c r="G167" s="2">
        <v>0.39473198179470398</v>
      </c>
      <c r="H167" s="2">
        <v>0.34934915431689001</v>
      </c>
      <c r="I167" s="2">
        <v>0.38547486033519501</v>
      </c>
      <c r="J167" s="2">
        <v>0.41254125412541198</v>
      </c>
      <c r="K167" s="2">
        <v>-4.8214970938091802E-2</v>
      </c>
      <c r="L167" s="2"/>
      <c r="M167" s="2" t="e">
        <f>(Table1[[#This Row],[poisson_likelihood]] - (1-Table1[[#This Row],[poisson_likelihood]])/(1/Table1[[#This Row],[365 implied]]-1))/4</f>
        <v>#DIV/0!</v>
      </c>
      <c r="N167" s="7" t="e">
        <f>Table1[[#This Row],[kelly/4 365]]*$W$2*$U$2</f>
        <v>#DIV/0!</v>
      </c>
      <c r="O167" s="2"/>
      <c r="P167" s="2" t="e">
        <f>(Table1[[#This Row],[poisson_likelihood]] - (1-Table1[[#This Row],[poisson_likelihood]])/(1/Table1[[#This Row],[99/pinn implied]]-1))/4</f>
        <v>#DIV/0!</v>
      </c>
      <c r="Q167" s="7" t="e">
        <f>Table1[[#This Row],[kelly/4 99]]*$W$2*$U$2</f>
        <v>#DIV/0!</v>
      </c>
      <c r="R167" s="2"/>
      <c r="S16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8" spans="1:19" x14ac:dyDescent="0.2">
      <c r="A168">
        <v>6845</v>
      </c>
      <c r="B168" t="s">
        <v>62</v>
      </c>
      <c r="C168" s="1">
        <v>45615</v>
      </c>
      <c r="D168" t="s">
        <v>12</v>
      </c>
      <c r="E168">
        <v>3.5</v>
      </c>
      <c r="F168" s="2">
        <v>0.58479532163742598</v>
      </c>
      <c r="G168" s="2">
        <v>0.54056077477615405</v>
      </c>
      <c r="H168" s="2">
        <v>0.50459667453691404</v>
      </c>
      <c r="I168" s="2">
        <v>0.49685534591194902</v>
      </c>
      <c r="J168" s="2">
        <v>0.5</v>
      </c>
      <c r="K168" s="2">
        <v>-4.8288622021787603E-2</v>
      </c>
      <c r="L168" s="2"/>
      <c r="M168" s="2" t="e">
        <f>(Table1[[#This Row],[poisson_likelihood]] - (1-Table1[[#This Row],[poisson_likelihood]])/(1/Table1[[#This Row],[365 implied]]-1))/4</f>
        <v>#DIV/0!</v>
      </c>
      <c r="N168" s="7" t="e">
        <f>Table1[[#This Row],[kelly/4 365]]*$W$2*$U$2</f>
        <v>#DIV/0!</v>
      </c>
      <c r="O168" s="2"/>
      <c r="P168" s="2" t="e">
        <f>(Table1[[#This Row],[poisson_likelihood]] - (1-Table1[[#This Row],[poisson_likelihood]])/(1/Table1[[#This Row],[99/pinn implied]]-1))/4</f>
        <v>#DIV/0!</v>
      </c>
      <c r="Q168" s="7" t="e">
        <f>Table1[[#This Row],[kelly/4 99]]*$W$2*$U$2</f>
        <v>#DIV/0!</v>
      </c>
      <c r="R168" s="2"/>
      <c r="S16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9" spans="1:19" x14ac:dyDescent="0.2">
      <c r="A169">
        <v>6905</v>
      </c>
      <c r="B169" t="s">
        <v>92</v>
      </c>
      <c r="C169" s="1">
        <v>45615</v>
      </c>
      <c r="D169" t="s">
        <v>12</v>
      </c>
      <c r="E169">
        <v>2.5</v>
      </c>
      <c r="F169" s="2">
        <v>0.52910052910052896</v>
      </c>
      <c r="G169" s="2">
        <v>0.481959569343268</v>
      </c>
      <c r="H169" s="2">
        <v>0.43680952092351499</v>
      </c>
      <c r="I169" s="2">
        <v>0.386740331491712</v>
      </c>
      <c r="J169" s="2">
        <v>0.39805825242718401</v>
      </c>
      <c r="K169" s="2">
        <v>-4.8997192543414503E-2</v>
      </c>
      <c r="L169" s="2"/>
      <c r="M169" s="2" t="e">
        <f>(Table1[[#This Row],[poisson_likelihood]] - (1-Table1[[#This Row],[poisson_likelihood]])/(1/Table1[[#This Row],[365 implied]]-1))/4</f>
        <v>#DIV/0!</v>
      </c>
      <c r="N169" s="7" t="e">
        <f>Table1[[#This Row],[kelly/4 365]]*$W$2*$U$2</f>
        <v>#DIV/0!</v>
      </c>
      <c r="O169" s="2"/>
      <c r="P169" s="2" t="e">
        <f>(Table1[[#This Row],[poisson_likelihood]] - (1-Table1[[#This Row],[poisson_likelihood]])/(1/Table1[[#This Row],[99/pinn implied]]-1))/4</f>
        <v>#DIV/0!</v>
      </c>
      <c r="Q169" s="7" t="e">
        <f>Table1[[#This Row],[kelly/4 99]]*$W$2*$U$2</f>
        <v>#DIV/0!</v>
      </c>
      <c r="R169" s="2"/>
      <c r="S16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0" spans="1:19" x14ac:dyDescent="0.2">
      <c r="A170">
        <v>6882</v>
      </c>
      <c r="B170" t="s">
        <v>80</v>
      </c>
      <c r="C170" s="1">
        <v>45615</v>
      </c>
      <c r="D170" t="s">
        <v>13</v>
      </c>
      <c r="E170">
        <v>3.5</v>
      </c>
      <c r="F170" s="2">
        <v>0.59523809523809501</v>
      </c>
      <c r="G170" s="2">
        <v>0.47863508487350298</v>
      </c>
      <c r="H170" s="2">
        <v>0.51458154466450101</v>
      </c>
      <c r="I170" s="2">
        <v>0.63953488372093004</v>
      </c>
      <c r="J170" s="2">
        <v>0.65</v>
      </c>
      <c r="K170" s="2">
        <v>-4.98172812366314E-2</v>
      </c>
      <c r="L170" s="2"/>
      <c r="M170" s="2" t="e">
        <f>(Table1[[#This Row],[poisson_likelihood]] - (1-Table1[[#This Row],[poisson_likelihood]])/(1/Table1[[#This Row],[365 implied]]-1))/4</f>
        <v>#DIV/0!</v>
      </c>
      <c r="N170" s="7" t="e">
        <f>Table1[[#This Row],[kelly/4 365]]*$W$2*$U$2</f>
        <v>#DIV/0!</v>
      </c>
      <c r="O170" s="2"/>
      <c r="P170" s="2" t="e">
        <f>(Table1[[#This Row],[poisson_likelihood]] - (1-Table1[[#This Row],[poisson_likelihood]])/(1/Table1[[#This Row],[99/pinn implied]]-1))/4</f>
        <v>#DIV/0!</v>
      </c>
      <c r="Q170" s="7" t="e">
        <f>Table1[[#This Row],[kelly/4 99]]*$W$2*$U$2</f>
        <v>#DIV/0!</v>
      </c>
      <c r="R170" s="2"/>
      <c r="S17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1" spans="1:19" x14ac:dyDescent="0.2">
      <c r="A171">
        <v>6931</v>
      </c>
      <c r="B171" t="s">
        <v>105</v>
      </c>
      <c r="C171" s="1">
        <v>45615</v>
      </c>
      <c r="D171" t="s">
        <v>12</v>
      </c>
      <c r="E171">
        <v>3.5</v>
      </c>
      <c r="F171" s="2">
        <v>0.48780487804877998</v>
      </c>
      <c r="G171" s="2">
        <v>0.42769750455222599</v>
      </c>
      <c r="H171" s="2">
        <v>0.38241228131930799</v>
      </c>
      <c r="I171" s="2">
        <v>0.38888888888888801</v>
      </c>
      <c r="J171" s="2">
        <v>0.43092105263157798</v>
      </c>
      <c r="K171" s="2">
        <v>-5.1441624594147098E-2</v>
      </c>
      <c r="L171" s="2"/>
      <c r="M171" s="2" t="e">
        <f>(Table1[[#This Row],[poisson_likelihood]] - (1-Table1[[#This Row],[poisson_likelihood]])/(1/Table1[[#This Row],[365 implied]]-1))/4</f>
        <v>#DIV/0!</v>
      </c>
      <c r="N171" s="7" t="e">
        <f>Table1[[#This Row],[kelly/4 365]]*$W$2*$U$2</f>
        <v>#DIV/0!</v>
      </c>
      <c r="O171" s="2"/>
      <c r="P171" s="2" t="e">
        <f>(Table1[[#This Row],[poisson_likelihood]] - (1-Table1[[#This Row],[poisson_likelihood]])/(1/Table1[[#This Row],[99/pinn implied]]-1))/4</f>
        <v>#DIV/0!</v>
      </c>
      <c r="Q171" s="7" t="e">
        <f>Table1[[#This Row],[kelly/4 99]]*$W$2*$U$2</f>
        <v>#DIV/0!</v>
      </c>
      <c r="R171" s="2"/>
      <c r="S17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2" spans="1:19" x14ac:dyDescent="0.2">
      <c r="A172">
        <v>6936</v>
      </c>
      <c r="B172" t="s">
        <v>107</v>
      </c>
      <c r="C172" s="1">
        <v>45615</v>
      </c>
      <c r="D172" t="s">
        <v>13</v>
      </c>
      <c r="E172">
        <v>1.5</v>
      </c>
      <c r="F172" s="2">
        <v>0.40650406504065001</v>
      </c>
      <c r="G172" s="2">
        <v>0.25691494484920802</v>
      </c>
      <c r="H172" s="2">
        <v>0.28036422729288801</v>
      </c>
      <c r="I172" s="2">
        <v>0.27950310559006197</v>
      </c>
      <c r="J172" s="2">
        <v>0.31578947368421001</v>
      </c>
      <c r="K172" s="2">
        <v>-5.3134246722516203E-2</v>
      </c>
      <c r="L172" s="2"/>
      <c r="M172" s="2" t="e">
        <f>(Table1[[#This Row],[poisson_likelihood]] - (1-Table1[[#This Row],[poisson_likelihood]])/(1/Table1[[#This Row],[365 implied]]-1))/4</f>
        <v>#DIV/0!</v>
      </c>
      <c r="N172" s="7" t="e">
        <f>Table1[[#This Row],[kelly/4 365]]*$W$2*$U$2</f>
        <v>#DIV/0!</v>
      </c>
      <c r="O172" s="2"/>
      <c r="P172" s="2" t="e">
        <f>(Table1[[#This Row],[poisson_likelihood]] - (1-Table1[[#This Row],[poisson_likelihood]])/(1/Table1[[#This Row],[99/pinn implied]]-1))/4</f>
        <v>#DIV/0!</v>
      </c>
      <c r="Q172" s="7" t="e">
        <f>Table1[[#This Row],[kelly/4 99]]*$W$2*$U$2</f>
        <v>#DIV/0!</v>
      </c>
      <c r="R172" s="2"/>
      <c r="S17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3" spans="1:19" x14ac:dyDescent="0.2">
      <c r="A173">
        <v>6909</v>
      </c>
      <c r="B173" t="s">
        <v>94</v>
      </c>
      <c r="C173" s="1">
        <v>45615</v>
      </c>
      <c r="D173" t="s">
        <v>12</v>
      </c>
      <c r="E173">
        <v>1.5</v>
      </c>
      <c r="F173" s="2">
        <v>0.58823529411764697</v>
      </c>
      <c r="G173" s="2">
        <v>0.55355521165267196</v>
      </c>
      <c r="H173" s="2">
        <v>0.500353769261353</v>
      </c>
      <c r="I173" s="2">
        <v>0.55555555555555503</v>
      </c>
      <c r="J173" s="2">
        <v>0.56842105263157805</v>
      </c>
      <c r="K173" s="2">
        <v>-5.33566400913211E-2</v>
      </c>
      <c r="L173" s="2"/>
      <c r="M173" s="2" t="e">
        <f>(Table1[[#This Row],[poisson_likelihood]] - (1-Table1[[#This Row],[poisson_likelihood]])/(1/Table1[[#This Row],[365 implied]]-1))/4</f>
        <v>#DIV/0!</v>
      </c>
      <c r="N173" s="7" t="e">
        <f>Table1[[#This Row],[kelly/4 365]]*$W$2*$U$2</f>
        <v>#DIV/0!</v>
      </c>
      <c r="O173" s="2"/>
      <c r="P173" s="2" t="e">
        <f>(Table1[[#This Row],[poisson_likelihood]] - (1-Table1[[#This Row],[poisson_likelihood]])/(1/Table1[[#This Row],[99/pinn implied]]-1))/4</f>
        <v>#DIV/0!</v>
      </c>
      <c r="Q173" s="7" t="e">
        <f>Table1[[#This Row],[kelly/4 99]]*$W$2*$U$2</f>
        <v>#DIV/0!</v>
      </c>
      <c r="R173" s="2"/>
      <c r="S17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4" spans="1:19" x14ac:dyDescent="0.2">
      <c r="A174">
        <v>6775</v>
      </c>
      <c r="B174" t="s">
        <v>27</v>
      </c>
      <c r="C174" s="1">
        <v>45615</v>
      </c>
      <c r="D174" t="s">
        <v>12</v>
      </c>
      <c r="E174">
        <v>2.5</v>
      </c>
      <c r="F174" s="2">
        <v>0.55555555555555503</v>
      </c>
      <c r="G174" s="2">
        <v>0.50227185357000104</v>
      </c>
      <c r="H174" s="2">
        <v>0.45866675707372301</v>
      </c>
      <c r="I174" s="2">
        <v>0.45652173913043398</v>
      </c>
      <c r="J174" s="2">
        <v>0.462025316455696</v>
      </c>
      <c r="K174" s="2">
        <v>-5.44999491460307E-2</v>
      </c>
      <c r="L174" s="2"/>
      <c r="M174" s="2" t="e">
        <f>(Table1[[#This Row],[poisson_likelihood]] - (1-Table1[[#This Row],[poisson_likelihood]])/(1/Table1[[#This Row],[365 implied]]-1))/4</f>
        <v>#DIV/0!</v>
      </c>
      <c r="N174" s="7" t="e">
        <f>Table1[[#This Row],[kelly/4 365]]*$W$2*$U$2</f>
        <v>#DIV/0!</v>
      </c>
      <c r="O174" s="2"/>
      <c r="P174" s="2" t="e">
        <f>(Table1[[#This Row],[poisson_likelihood]] - (1-Table1[[#This Row],[poisson_likelihood]])/(1/Table1[[#This Row],[99/pinn implied]]-1))/4</f>
        <v>#DIV/0!</v>
      </c>
      <c r="Q174" s="7" t="e">
        <f>Table1[[#This Row],[kelly/4 99]]*$W$2*$U$2</f>
        <v>#DIV/0!</v>
      </c>
      <c r="R174" s="2"/>
      <c r="S17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5" spans="1:19" x14ac:dyDescent="0.2">
      <c r="A175">
        <v>6921</v>
      </c>
      <c r="B175" t="s">
        <v>100</v>
      </c>
      <c r="C175" s="1">
        <v>45615</v>
      </c>
      <c r="D175" t="s">
        <v>12</v>
      </c>
      <c r="E175">
        <v>2.5</v>
      </c>
      <c r="F175" s="2">
        <v>0.60606060606060597</v>
      </c>
      <c r="G175" s="2">
        <v>0.55717797305149497</v>
      </c>
      <c r="H175" s="2">
        <v>0.51787856215821904</v>
      </c>
      <c r="I175" s="2">
        <v>0.40112994350282399</v>
      </c>
      <c r="J175" s="2">
        <v>0.448844884488448</v>
      </c>
      <c r="K175" s="2">
        <v>-5.5961681707283599E-2</v>
      </c>
      <c r="L175" s="2"/>
      <c r="M175" s="2" t="e">
        <f>(Table1[[#This Row],[poisson_likelihood]] - (1-Table1[[#This Row],[poisson_likelihood]])/(1/Table1[[#This Row],[365 implied]]-1))/4</f>
        <v>#DIV/0!</v>
      </c>
      <c r="N175" s="7" t="e">
        <f>Table1[[#This Row],[kelly/4 365]]*$W$2*$U$2</f>
        <v>#DIV/0!</v>
      </c>
      <c r="O175" s="2"/>
      <c r="P175" s="2" t="e">
        <f>(Table1[[#This Row],[poisson_likelihood]] - (1-Table1[[#This Row],[poisson_likelihood]])/(1/Table1[[#This Row],[99/pinn implied]]-1))/4</f>
        <v>#DIV/0!</v>
      </c>
      <c r="Q175" s="7" t="e">
        <f>Table1[[#This Row],[kelly/4 99]]*$W$2*$U$2</f>
        <v>#DIV/0!</v>
      </c>
      <c r="R175" s="2"/>
      <c r="S17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6" spans="1:19" x14ac:dyDescent="0.2">
      <c r="A176">
        <v>6822</v>
      </c>
      <c r="B176" t="s">
        <v>50</v>
      </c>
      <c r="C176" s="1">
        <v>45615</v>
      </c>
      <c r="D176" t="s">
        <v>13</v>
      </c>
      <c r="E176">
        <v>1.5</v>
      </c>
      <c r="F176" s="2">
        <v>0.45248868778280499</v>
      </c>
      <c r="G176" s="2">
        <v>0.31039249185483098</v>
      </c>
      <c r="H176" s="2">
        <v>0.32966185393660202</v>
      </c>
      <c r="I176" s="2">
        <v>0.34730538922155602</v>
      </c>
      <c r="J176" s="2">
        <v>0.36518771331057998</v>
      </c>
      <c r="K176" s="2">
        <v>-5.60841534710965E-2</v>
      </c>
      <c r="L176" s="2"/>
      <c r="M176" s="2" t="e">
        <f>(Table1[[#This Row],[poisson_likelihood]] - (1-Table1[[#This Row],[poisson_likelihood]])/(1/Table1[[#This Row],[365 implied]]-1))/4</f>
        <v>#DIV/0!</v>
      </c>
      <c r="N176" s="7" t="e">
        <f>Table1[[#This Row],[kelly/4 365]]*$W$2*$U$2</f>
        <v>#DIV/0!</v>
      </c>
      <c r="O176" s="2"/>
      <c r="P176" s="2" t="e">
        <f>(Table1[[#This Row],[poisson_likelihood]] - (1-Table1[[#This Row],[poisson_likelihood]])/(1/Table1[[#This Row],[99/pinn implied]]-1))/4</f>
        <v>#DIV/0!</v>
      </c>
      <c r="Q176" s="7" t="e">
        <f>Table1[[#This Row],[kelly/4 99]]*$W$2*$U$2</f>
        <v>#DIV/0!</v>
      </c>
      <c r="R176" s="2"/>
      <c r="S17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7" spans="1:19" x14ac:dyDescent="0.2">
      <c r="A177">
        <v>6912</v>
      </c>
      <c r="B177" t="s">
        <v>95</v>
      </c>
      <c r="C177" s="1">
        <v>45615</v>
      </c>
      <c r="D177" t="s">
        <v>13</v>
      </c>
      <c r="E177">
        <v>2.5</v>
      </c>
      <c r="F177" s="2">
        <v>0.60606060606060597</v>
      </c>
      <c r="G177" s="2">
        <v>0.474436315466157</v>
      </c>
      <c r="H177" s="2">
        <v>0.515869955489203</v>
      </c>
      <c r="I177" s="2">
        <v>0.56571428571428495</v>
      </c>
      <c r="J177" s="2">
        <v>0.56666666666666599</v>
      </c>
      <c r="K177" s="2">
        <v>-5.7236374401082701E-2</v>
      </c>
      <c r="L177" s="2"/>
      <c r="M177" s="2" t="e">
        <f>(Table1[[#This Row],[poisson_likelihood]] - (1-Table1[[#This Row],[poisson_likelihood]])/(1/Table1[[#This Row],[365 implied]]-1))/4</f>
        <v>#DIV/0!</v>
      </c>
      <c r="N177" s="7" t="e">
        <f>Table1[[#This Row],[kelly/4 365]]*$W$2*$U$2</f>
        <v>#DIV/0!</v>
      </c>
      <c r="O177" s="2"/>
      <c r="P177" s="2" t="e">
        <f>(Table1[[#This Row],[poisson_likelihood]] - (1-Table1[[#This Row],[poisson_likelihood]])/(1/Table1[[#This Row],[99/pinn implied]]-1))/4</f>
        <v>#DIV/0!</v>
      </c>
      <c r="Q177" s="7" t="e">
        <f>Table1[[#This Row],[kelly/4 99]]*$W$2*$U$2</f>
        <v>#DIV/0!</v>
      </c>
      <c r="R177" s="2"/>
      <c r="S17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8" spans="1:19" x14ac:dyDescent="0.2">
      <c r="A178">
        <v>6933</v>
      </c>
      <c r="B178" t="s">
        <v>106</v>
      </c>
      <c r="C178" s="1">
        <v>45615</v>
      </c>
      <c r="D178" t="s">
        <v>12</v>
      </c>
      <c r="E178">
        <v>2.5</v>
      </c>
      <c r="F178" s="2">
        <v>0.54644808743169304</v>
      </c>
      <c r="G178" s="2">
        <v>0.48378125457025001</v>
      </c>
      <c r="H178" s="2">
        <v>0.43913015269986699</v>
      </c>
      <c r="I178" s="2">
        <v>0.46666666666666601</v>
      </c>
      <c r="J178" s="2">
        <v>0.46381578947368401</v>
      </c>
      <c r="K178" s="2">
        <v>-5.9154162819048797E-2</v>
      </c>
      <c r="L178" s="2"/>
      <c r="M178" s="2" t="e">
        <f>(Table1[[#This Row],[poisson_likelihood]] - (1-Table1[[#This Row],[poisson_likelihood]])/(1/Table1[[#This Row],[365 implied]]-1))/4</f>
        <v>#DIV/0!</v>
      </c>
      <c r="N178" s="7" t="e">
        <f>Table1[[#This Row],[kelly/4 365]]*$W$2*$U$2</f>
        <v>#DIV/0!</v>
      </c>
      <c r="O178" s="2"/>
      <c r="P178" s="2" t="e">
        <f>(Table1[[#This Row],[poisson_likelihood]] - (1-Table1[[#This Row],[poisson_likelihood]])/(1/Table1[[#This Row],[99/pinn implied]]-1))/4</f>
        <v>#DIV/0!</v>
      </c>
      <c r="Q178" s="7" t="e">
        <f>Table1[[#This Row],[kelly/4 99]]*$W$2*$U$2</f>
        <v>#DIV/0!</v>
      </c>
      <c r="R178" s="2"/>
      <c r="S17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9" spans="1:19" x14ac:dyDescent="0.2">
      <c r="A179">
        <v>6857</v>
      </c>
      <c r="B179" t="s">
        <v>68</v>
      </c>
      <c r="C179" s="1">
        <v>45615</v>
      </c>
      <c r="D179" t="s">
        <v>12</v>
      </c>
      <c r="E179">
        <v>1.5</v>
      </c>
      <c r="F179" s="2">
        <v>0.57471264367816</v>
      </c>
      <c r="G179" s="2">
        <v>0.53088258723503001</v>
      </c>
      <c r="H179" s="2">
        <v>0.47374302162417498</v>
      </c>
      <c r="I179" s="2">
        <v>0.49504950495049499</v>
      </c>
      <c r="J179" s="2">
        <v>0.48458149779735599</v>
      </c>
      <c r="K179" s="2">
        <v>-5.9353764315518399E-2</v>
      </c>
      <c r="L179" s="2"/>
      <c r="M179" s="2" t="e">
        <f>(Table1[[#This Row],[poisson_likelihood]] - (1-Table1[[#This Row],[poisson_likelihood]])/(1/Table1[[#This Row],[365 implied]]-1))/4</f>
        <v>#DIV/0!</v>
      </c>
      <c r="N179" s="7" t="e">
        <f>Table1[[#This Row],[kelly/4 365]]*$W$2*$U$2</f>
        <v>#DIV/0!</v>
      </c>
      <c r="O179" s="2"/>
      <c r="P179" s="2" t="e">
        <f>(Table1[[#This Row],[poisson_likelihood]] - (1-Table1[[#This Row],[poisson_likelihood]])/(1/Table1[[#This Row],[99/pinn implied]]-1))/4</f>
        <v>#DIV/0!</v>
      </c>
      <c r="Q179" s="7" t="e">
        <f>Table1[[#This Row],[kelly/4 99]]*$W$2*$U$2</f>
        <v>#DIV/0!</v>
      </c>
      <c r="R179" s="2"/>
      <c r="S17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0" spans="1:19" x14ac:dyDescent="0.2">
      <c r="A180">
        <v>6893</v>
      </c>
      <c r="B180" t="s">
        <v>86</v>
      </c>
      <c r="C180" s="1">
        <v>45615</v>
      </c>
      <c r="D180" t="s">
        <v>12</v>
      </c>
      <c r="E180">
        <v>1.5</v>
      </c>
      <c r="F180" s="2">
        <v>0.60240963855421603</v>
      </c>
      <c r="G180" s="2">
        <v>0.55887039065508803</v>
      </c>
      <c r="H180" s="2">
        <v>0.50718266763703301</v>
      </c>
      <c r="I180" s="2">
        <v>0.47191011235954999</v>
      </c>
      <c r="J180" s="2">
        <v>0.468852459016393</v>
      </c>
      <c r="K180" s="2">
        <v>-5.9877565046411001E-2</v>
      </c>
      <c r="L180" s="2"/>
      <c r="M180" s="2" t="e">
        <f>(Table1[[#This Row],[poisson_likelihood]] - (1-Table1[[#This Row],[poisson_likelihood]])/(1/Table1[[#This Row],[365 implied]]-1))/4</f>
        <v>#DIV/0!</v>
      </c>
      <c r="N180" s="7" t="e">
        <f>Table1[[#This Row],[kelly/4 365]]*$W$2*$U$2</f>
        <v>#DIV/0!</v>
      </c>
      <c r="O180" s="2"/>
      <c r="P180" s="2" t="e">
        <f>(Table1[[#This Row],[poisson_likelihood]] - (1-Table1[[#This Row],[poisson_likelihood]])/(1/Table1[[#This Row],[99/pinn implied]]-1))/4</f>
        <v>#DIV/0!</v>
      </c>
      <c r="Q180" s="7" t="e">
        <f>Table1[[#This Row],[kelly/4 99]]*$W$2*$U$2</f>
        <v>#DIV/0!</v>
      </c>
      <c r="R180" s="2"/>
      <c r="S18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1" spans="1:19" x14ac:dyDescent="0.2">
      <c r="A181">
        <v>6944</v>
      </c>
      <c r="B181" t="s">
        <v>111</v>
      </c>
      <c r="C181" s="1">
        <v>45615</v>
      </c>
      <c r="D181" t="s">
        <v>13</v>
      </c>
      <c r="E181">
        <v>2.5</v>
      </c>
      <c r="F181" s="2">
        <v>0.55248618784530301</v>
      </c>
      <c r="G181" s="2">
        <v>0.41187760992494599</v>
      </c>
      <c r="H181" s="2">
        <v>0.444920809290407</v>
      </c>
      <c r="I181" s="2">
        <v>0.51955307262569805</v>
      </c>
      <c r="J181" s="2">
        <v>0.55737704918032704</v>
      </c>
      <c r="K181" s="2">
        <v>-6.00905355507289E-2</v>
      </c>
      <c r="L181" s="2"/>
      <c r="M181" s="2" t="e">
        <f>(Table1[[#This Row],[poisson_likelihood]] - (1-Table1[[#This Row],[poisson_likelihood]])/(1/Table1[[#This Row],[365 implied]]-1))/4</f>
        <v>#DIV/0!</v>
      </c>
      <c r="N181" s="7" t="e">
        <f>Table1[[#This Row],[kelly/4 365]]*$W$2*$U$2</f>
        <v>#DIV/0!</v>
      </c>
      <c r="O181" s="2"/>
      <c r="P181" s="2" t="e">
        <f>(Table1[[#This Row],[poisson_likelihood]] - (1-Table1[[#This Row],[poisson_likelihood]])/(1/Table1[[#This Row],[99/pinn implied]]-1))/4</f>
        <v>#DIV/0!</v>
      </c>
      <c r="Q181" s="7" t="e">
        <f>Table1[[#This Row],[kelly/4 99]]*$W$2*$U$2</f>
        <v>#DIV/0!</v>
      </c>
      <c r="R181" s="2"/>
      <c r="S18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2" spans="1:19" x14ac:dyDescent="0.2">
      <c r="A182">
        <v>6849</v>
      </c>
      <c r="B182" t="s">
        <v>64</v>
      </c>
      <c r="C182" s="1">
        <v>45615</v>
      </c>
      <c r="D182" t="s">
        <v>12</v>
      </c>
      <c r="E182">
        <v>1.5</v>
      </c>
      <c r="F182" s="2">
        <v>0.60606060606060597</v>
      </c>
      <c r="G182" s="2">
        <v>0.55981160742399205</v>
      </c>
      <c r="H182" s="2">
        <v>0.50916446459600495</v>
      </c>
      <c r="I182" s="2">
        <v>0.47482014388489202</v>
      </c>
      <c r="J182" s="2">
        <v>0.50757575757575701</v>
      </c>
      <c r="K182" s="2">
        <v>-6.1491782083304303E-2</v>
      </c>
      <c r="L182" s="2"/>
      <c r="M182" s="2" t="e">
        <f>(Table1[[#This Row],[poisson_likelihood]] - (1-Table1[[#This Row],[poisson_likelihood]])/(1/Table1[[#This Row],[365 implied]]-1))/4</f>
        <v>#DIV/0!</v>
      </c>
      <c r="N182" s="7" t="e">
        <f>Table1[[#This Row],[kelly/4 365]]*$W$2*$U$2</f>
        <v>#DIV/0!</v>
      </c>
      <c r="O182" s="2"/>
      <c r="P182" s="2" t="e">
        <f>(Table1[[#This Row],[poisson_likelihood]] - (1-Table1[[#This Row],[poisson_likelihood]])/(1/Table1[[#This Row],[99/pinn implied]]-1))/4</f>
        <v>#DIV/0!</v>
      </c>
      <c r="Q182" s="7" t="e">
        <f>Table1[[#This Row],[kelly/4 99]]*$W$2*$U$2</f>
        <v>#DIV/0!</v>
      </c>
      <c r="R182" s="2"/>
      <c r="S18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3" spans="1:19" x14ac:dyDescent="0.2">
      <c r="A183">
        <v>6929</v>
      </c>
      <c r="B183" t="s">
        <v>104</v>
      </c>
      <c r="C183" s="1">
        <v>45615</v>
      </c>
      <c r="D183" t="s">
        <v>12</v>
      </c>
      <c r="E183">
        <v>1.5</v>
      </c>
      <c r="F183" s="2">
        <v>0.63694267515923497</v>
      </c>
      <c r="G183" s="2">
        <v>0.60066392435286597</v>
      </c>
      <c r="H183" s="2">
        <v>0.54725518544201401</v>
      </c>
      <c r="I183" s="2">
        <v>0.50427350427350404</v>
      </c>
      <c r="J183" s="2">
        <v>0.50218340611353696</v>
      </c>
      <c r="K183" s="2">
        <v>-6.1758490726331799E-2</v>
      </c>
      <c r="L183" s="2"/>
      <c r="M183" s="2" t="e">
        <f>(Table1[[#This Row],[poisson_likelihood]] - (1-Table1[[#This Row],[poisson_likelihood]])/(1/Table1[[#This Row],[365 implied]]-1))/4</f>
        <v>#DIV/0!</v>
      </c>
      <c r="N183" s="7" t="e">
        <f>Table1[[#This Row],[kelly/4 365]]*$W$2*$U$2</f>
        <v>#DIV/0!</v>
      </c>
      <c r="O183" s="2"/>
      <c r="P183" s="2" t="e">
        <f>(Table1[[#This Row],[poisson_likelihood]] - (1-Table1[[#This Row],[poisson_likelihood]])/(1/Table1[[#This Row],[99/pinn implied]]-1))/4</f>
        <v>#DIV/0!</v>
      </c>
      <c r="Q183" s="7" t="e">
        <f>Table1[[#This Row],[kelly/4 99]]*$W$2*$U$2</f>
        <v>#DIV/0!</v>
      </c>
      <c r="R183" s="2"/>
      <c r="S18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4" spans="1:19" x14ac:dyDescent="0.2">
      <c r="A184">
        <v>6797</v>
      </c>
      <c r="B184" t="s">
        <v>38</v>
      </c>
      <c r="C184" s="1">
        <v>45615</v>
      </c>
      <c r="D184" t="s">
        <v>12</v>
      </c>
      <c r="E184">
        <v>1.5</v>
      </c>
      <c r="F184" s="2">
        <v>0.625</v>
      </c>
      <c r="G184" s="2">
        <v>0.57681521899813903</v>
      </c>
      <c r="H184" s="2">
        <v>0.53047053855137005</v>
      </c>
      <c r="I184" s="2">
        <v>0.50344827586206897</v>
      </c>
      <c r="J184" s="2">
        <v>0.52189781021897796</v>
      </c>
      <c r="K184" s="2">
        <v>-6.3019640965752605E-2</v>
      </c>
      <c r="L184" s="2"/>
      <c r="M184" s="2" t="e">
        <f>(Table1[[#This Row],[poisson_likelihood]] - (1-Table1[[#This Row],[poisson_likelihood]])/(1/Table1[[#This Row],[365 implied]]-1))/4</f>
        <v>#DIV/0!</v>
      </c>
      <c r="N184" s="7" t="e">
        <f>Table1[[#This Row],[kelly/4 365]]*$W$2*$U$2</f>
        <v>#DIV/0!</v>
      </c>
      <c r="O184" s="2"/>
      <c r="P184" s="2" t="e">
        <f>(Table1[[#This Row],[poisson_likelihood]] - (1-Table1[[#This Row],[poisson_likelihood]])/(1/Table1[[#This Row],[99/pinn implied]]-1))/4</f>
        <v>#DIV/0!</v>
      </c>
      <c r="Q184" s="7" t="e">
        <f>Table1[[#This Row],[kelly/4 99]]*$W$2*$U$2</f>
        <v>#DIV/0!</v>
      </c>
      <c r="R184" s="2"/>
      <c r="S18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5" spans="1:19" x14ac:dyDescent="0.2">
      <c r="A185">
        <v>6792</v>
      </c>
      <c r="B185" t="s">
        <v>35</v>
      </c>
      <c r="C185" s="1">
        <v>45615</v>
      </c>
      <c r="D185" t="s">
        <v>13</v>
      </c>
      <c r="E185">
        <v>3.5</v>
      </c>
      <c r="F185" s="2">
        <v>0.53191489361702105</v>
      </c>
      <c r="G185" s="2">
        <v>0.38158324910580899</v>
      </c>
      <c r="H185" s="2">
        <v>0.41307841288581099</v>
      </c>
      <c r="I185" s="2">
        <v>0.51396648044692705</v>
      </c>
      <c r="J185" s="2">
        <v>0.49668874172185401</v>
      </c>
      <c r="K185" s="2">
        <v>-6.3469484026896103E-2</v>
      </c>
      <c r="L185" s="2"/>
      <c r="M185" s="2" t="e">
        <f>(Table1[[#This Row],[poisson_likelihood]] - (1-Table1[[#This Row],[poisson_likelihood]])/(1/Table1[[#This Row],[365 implied]]-1))/4</f>
        <v>#DIV/0!</v>
      </c>
      <c r="N185" s="7" t="e">
        <f>Table1[[#This Row],[kelly/4 365]]*$W$2*$U$2</f>
        <v>#DIV/0!</v>
      </c>
      <c r="O185" s="2"/>
      <c r="P185" s="2" t="e">
        <f>(Table1[[#This Row],[poisson_likelihood]] - (1-Table1[[#This Row],[poisson_likelihood]])/(1/Table1[[#This Row],[99/pinn implied]]-1))/4</f>
        <v>#DIV/0!</v>
      </c>
      <c r="Q185" s="7" t="e">
        <f>Table1[[#This Row],[kelly/4 99]]*$W$2*$U$2</f>
        <v>#DIV/0!</v>
      </c>
      <c r="R185" s="2"/>
      <c r="S18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6" spans="1:19" x14ac:dyDescent="0.2">
      <c r="A186">
        <v>6843</v>
      </c>
      <c r="B186" t="s">
        <v>61</v>
      </c>
      <c r="C186" s="1">
        <v>45615</v>
      </c>
      <c r="D186" t="s">
        <v>12</v>
      </c>
      <c r="E186">
        <v>1.5</v>
      </c>
      <c r="F186" s="2">
        <v>0.60975609756097504</v>
      </c>
      <c r="G186" s="2">
        <v>0.56160085636482404</v>
      </c>
      <c r="H186" s="2">
        <v>0.50664833374938301</v>
      </c>
      <c r="I186" s="2">
        <v>0.52071005917159696</v>
      </c>
      <c r="J186" s="2">
        <v>0.51194539249146698</v>
      </c>
      <c r="K186" s="2">
        <v>-6.6053411191800901E-2</v>
      </c>
      <c r="L186" s="2"/>
      <c r="M186" s="2" t="e">
        <f>(Table1[[#This Row],[poisson_likelihood]] - (1-Table1[[#This Row],[poisson_likelihood]])/(1/Table1[[#This Row],[365 implied]]-1))/4</f>
        <v>#DIV/0!</v>
      </c>
      <c r="N186" s="7" t="e">
        <f>Table1[[#This Row],[kelly/4 365]]*$W$2*$U$2</f>
        <v>#DIV/0!</v>
      </c>
      <c r="O186" s="2"/>
      <c r="P186" s="2" t="e">
        <f>(Table1[[#This Row],[poisson_likelihood]] - (1-Table1[[#This Row],[poisson_likelihood]])/(1/Table1[[#This Row],[99/pinn implied]]-1))/4</f>
        <v>#DIV/0!</v>
      </c>
      <c r="Q186" s="7" t="e">
        <f>Table1[[#This Row],[kelly/4 99]]*$W$2*$U$2</f>
        <v>#DIV/0!</v>
      </c>
      <c r="R186" s="2"/>
      <c r="S18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7" spans="1:19" x14ac:dyDescent="0.2">
      <c r="A187">
        <v>6768</v>
      </c>
      <c r="B187" t="s">
        <v>23</v>
      </c>
      <c r="C187" s="1">
        <v>45615</v>
      </c>
      <c r="D187" t="s">
        <v>13</v>
      </c>
      <c r="E187">
        <v>1.5</v>
      </c>
      <c r="F187" s="2">
        <v>0.414937759336099</v>
      </c>
      <c r="G187" s="2">
        <v>0.26689497442327598</v>
      </c>
      <c r="H187" s="2">
        <v>0.25933465097514102</v>
      </c>
      <c r="I187" s="2">
        <v>0.25581395348837199</v>
      </c>
      <c r="J187" s="2">
        <v>0.28231292517006801</v>
      </c>
      <c r="K187" s="2">
        <v>-6.6489980700338305E-2</v>
      </c>
      <c r="L187" s="2"/>
      <c r="M187" s="2" t="e">
        <f>(Table1[[#This Row],[poisson_likelihood]] - (1-Table1[[#This Row],[poisson_likelihood]])/(1/Table1[[#This Row],[365 implied]]-1))/4</f>
        <v>#DIV/0!</v>
      </c>
      <c r="N187" s="7" t="e">
        <f>Table1[[#This Row],[kelly/4 365]]*$W$2*$U$2</f>
        <v>#DIV/0!</v>
      </c>
      <c r="O187" s="2"/>
      <c r="P187" s="2" t="e">
        <f>(Table1[[#This Row],[poisson_likelihood]] - (1-Table1[[#This Row],[poisson_likelihood]])/(1/Table1[[#This Row],[99/pinn implied]]-1))/4</f>
        <v>#DIV/0!</v>
      </c>
      <c r="Q187" s="7" t="e">
        <f>Table1[[#This Row],[kelly/4 99]]*$W$2*$U$2</f>
        <v>#DIV/0!</v>
      </c>
      <c r="R187" s="2"/>
      <c r="S18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8" spans="1:19" x14ac:dyDescent="0.2">
      <c r="A188">
        <v>6783</v>
      </c>
      <c r="B188" t="s">
        <v>31</v>
      </c>
      <c r="C188" s="1">
        <v>45615</v>
      </c>
      <c r="D188" t="s">
        <v>12</v>
      </c>
      <c r="E188">
        <v>2.5</v>
      </c>
      <c r="F188" s="2">
        <v>0.57471264367816</v>
      </c>
      <c r="G188" s="2">
        <v>0.500860473052822</v>
      </c>
      <c r="H188" s="2">
        <v>0.45713979491864298</v>
      </c>
      <c r="I188" s="2">
        <v>0.47674418604651098</v>
      </c>
      <c r="J188" s="2">
        <v>0.45890410958904099</v>
      </c>
      <c r="K188" s="2">
        <v>-6.9113769203229897E-2</v>
      </c>
      <c r="L188" s="2"/>
      <c r="M188" s="2" t="e">
        <f>(Table1[[#This Row],[poisson_likelihood]] - (1-Table1[[#This Row],[poisson_likelihood]])/(1/Table1[[#This Row],[365 implied]]-1))/4</f>
        <v>#DIV/0!</v>
      </c>
      <c r="N188" s="7" t="e">
        <f>Table1[[#This Row],[kelly/4 365]]*$W$2*$U$2</f>
        <v>#DIV/0!</v>
      </c>
      <c r="O188" s="2"/>
      <c r="P188" s="2" t="e">
        <f>(Table1[[#This Row],[poisson_likelihood]] - (1-Table1[[#This Row],[poisson_likelihood]])/(1/Table1[[#This Row],[99/pinn implied]]-1))/4</f>
        <v>#DIV/0!</v>
      </c>
      <c r="Q188" s="7" t="e">
        <f>Table1[[#This Row],[kelly/4 99]]*$W$2*$U$2</f>
        <v>#DIV/0!</v>
      </c>
      <c r="R188" s="2"/>
      <c r="S18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9" spans="1:19" x14ac:dyDescent="0.2">
      <c r="A189">
        <v>6794</v>
      </c>
      <c r="B189" t="s">
        <v>36</v>
      </c>
      <c r="C189" s="1">
        <v>45615</v>
      </c>
      <c r="D189" t="s">
        <v>13</v>
      </c>
      <c r="E189">
        <v>2.5</v>
      </c>
      <c r="F189" s="2">
        <v>0.44843049327354201</v>
      </c>
      <c r="G189" s="2">
        <v>0.28659357302253202</v>
      </c>
      <c r="H189" s="2">
        <v>0.28872710792053602</v>
      </c>
      <c r="I189" s="2">
        <v>0.42236024844720499</v>
      </c>
      <c r="J189" s="2">
        <v>0.41851851851851801</v>
      </c>
      <c r="K189" s="2">
        <v>-7.2385884011626697E-2</v>
      </c>
      <c r="L189" s="2"/>
      <c r="M189" s="2" t="e">
        <f>(Table1[[#This Row],[poisson_likelihood]] - (1-Table1[[#This Row],[poisson_likelihood]])/(1/Table1[[#This Row],[365 implied]]-1))/4</f>
        <v>#DIV/0!</v>
      </c>
      <c r="N189" s="7" t="e">
        <f>Table1[[#This Row],[kelly/4 365]]*$W$2*$U$2</f>
        <v>#DIV/0!</v>
      </c>
      <c r="O189" s="2"/>
      <c r="P189" s="2" t="e">
        <f>(Table1[[#This Row],[poisson_likelihood]] - (1-Table1[[#This Row],[poisson_likelihood]])/(1/Table1[[#This Row],[99/pinn implied]]-1))/4</f>
        <v>#DIV/0!</v>
      </c>
      <c r="Q189" s="7" t="e">
        <f>Table1[[#This Row],[kelly/4 99]]*$W$2*$U$2</f>
        <v>#DIV/0!</v>
      </c>
      <c r="R189" s="2"/>
      <c r="S18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90" spans="1:19" x14ac:dyDescent="0.2">
      <c r="A190">
        <v>6749</v>
      </c>
      <c r="B190" t="s">
        <v>14</v>
      </c>
      <c r="C190" s="1">
        <v>45615</v>
      </c>
      <c r="D190" t="s">
        <v>12</v>
      </c>
      <c r="E190">
        <v>1.5</v>
      </c>
      <c r="F190" s="2">
        <v>0.65359477124182996</v>
      </c>
      <c r="G190" s="2">
        <v>0.591848572815871</v>
      </c>
      <c r="H190" s="2">
        <v>0.55231498057876105</v>
      </c>
      <c r="I190" s="2">
        <v>0.65333333333333299</v>
      </c>
      <c r="J190" s="2">
        <v>0.62130177514792895</v>
      </c>
      <c r="K190" s="2">
        <v>-7.3093433827591606E-2</v>
      </c>
      <c r="L190" s="2"/>
      <c r="M190" s="2" t="e">
        <f>(Table1[[#This Row],[poisson_likelihood]] - (1-Table1[[#This Row],[poisson_likelihood]])/(1/Table1[[#This Row],[365 implied]]-1))/4</f>
        <v>#DIV/0!</v>
      </c>
      <c r="N190" s="7" t="e">
        <f>Table1[[#This Row],[kelly/4 365]]*$W$2*$U$2</f>
        <v>#DIV/0!</v>
      </c>
      <c r="O190" s="2"/>
      <c r="P190" s="2" t="e">
        <f>(Table1[[#This Row],[poisson_likelihood]] - (1-Table1[[#This Row],[poisson_likelihood]])/(1/Table1[[#This Row],[99/pinn implied]]-1))/4</f>
        <v>#DIV/0!</v>
      </c>
      <c r="Q190" s="7" t="e">
        <f>Table1[[#This Row],[kelly/4 99]]*$W$2*$U$2</f>
        <v>#DIV/0!</v>
      </c>
      <c r="R190" s="2"/>
      <c r="S19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91" spans="1:19" x14ac:dyDescent="0.2">
      <c r="A191">
        <v>6891</v>
      </c>
      <c r="B191" t="s">
        <v>85</v>
      </c>
      <c r="C191" s="1">
        <v>45615</v>
      </c>
      <c r="D191" t="s">
        <v>12</v>
      </c>
      <c r="E191">
        <v>2.5</v>
      </c>
      <c r="F191" s="2">
        <v>0.51813471502590602</v>
      </c>
      <c r="G191" s="2">
        <v>0.41896786447610102</v>
      </c>
      <c r="H191" s="2">
        <v>0.37385330498336999</v>
      </c>
      <c r="I191" s="2">
        <v>0.33928571428571402</v>
      </c>
      <c r="J191" s="2">
        <v>0.379432624113475</v>
      </c>
      <c r="K191" s="2">
        <v>-7.4855677790885797E-2</v>
      </c>
      <c r="L191" s="2"/>
      <c r="M191" s="2" t="e">
        <f>(Table1[[#This Row],[poisson_likelihood]] - (1-Table1[[#This Row],[poisson_likelihood]])/(1/Table1[[#This Row],[365 implied]]-1))/4</f>
        <v>#DIV/0!</v>
      </c>
      <c r="N191" s="7" t="e">
        <f>Table1[[#This Row],[kelly/4 365]]*$W$2*$U$2</f>
        <v>#DIV/0!</v>
      </c>
      <c r="O191" s="2"/>
      <c r="P191" s="2" t="e">
        <f>(Table1[[#This Row],[poisson_likelihood]] - (1-Table1[[#This Row],[poisson_likelihood]])/(1/Table1[[#This Row],[99/pinn implied]]-1))/4</f>
        <v>#DIV/0!</v>
      </c>
      <c r="Q191" s="7" t="e">
        <f>Table1[[#This Row],[kelly/4 99]]*$W$2*$U$2</f>
        <v>#DIV/0!</v>
      </c>
      <c r="R191" s="2"/>
      <c r="S19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92" spans="1:19" x14ac:dyDescent="0.2">
      <c r="A192">
        <v>6799</v>
      </c>
      <c r="B192" t="s">
        <v>39</v>
      </c>
      <c r="C192" s="1">
        <v>45615</v>
      </c>
      <c r="D192" t="s">
        <v>12</v>
      </c>
      <c r="E192">
        <v>1.5</v>
      </c>
      <c r="F192" s="2">
        <v>0.57471264367816</v>
      </c>
      <c r="G192" s="2">
        <v>0.50382174253267598</v>
      </c>
      <c r="H192" s="2">
        <v>0.44607033854643202</v>
      </c>
      <c r="I192" s="2">
        <v>0.5</v>
      </c>
      <c r="J192" s="2">
        <v>0.5</v>
      </c>
      <c r="K192" s="2">
        <v>-7.5620814503110798E-2</v>
      </c>
      <c r="L192" s="2"/>
      <c r="M192" s="2" t="e">
        <f>(Table1[[#This Row],[poisson_likelihood]] - (1-Table1[[#This Row],[poisson_likelihood]])/(1/Table1[[#This Row],[365 implied]]-1))/4</f>
        <v>#DIV/0!</v>
      </c>
      <c r="N192" s="7" t="e">
        <f>Table1[[#This Row],[kelly/4 365]]*$W$2*$U$2</f>
        <v>#DIV/0!</v>
      </c>
      <c r="O192" s="2"/>
      <c r="P192" s="2" t="e">
        <f>(Table1[[#This Row],[poisson_likelihood]] - (1-Table1[[#This Row],[poisson_likelihood]])/(1/Table1[[#This Row],[99/pinn implied]]-1))/4</f>
        <v>#DIV/0!</v>
      </c>
      <c r="Q192" s="7" t="e">
        <f>Table1[[#This Row],[kelly/4 99]]*$W$2*$U$2</f>
        <v>#DIV/0!</v>
      </c>
      <c r="R192" s="2"/>
      <c r="S19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93" spans="1:19" x14ac:dyDescent="0.2">
      <c r="A193">
        <v>6828</v>
      </c>
      <c r="B193" t="s">
        <v>53</v>
      </c>
      <c r="C193" s="1">
        <v>45615</v>
      </c>
      <c r="D193" t="s">
        <v>13</v>
      </c>
      <c r="E193">
        <v>2.5</v>
      </c>
      <c r="F193" s="2">
        <v>0.47169811320754701</v>
      </c>
      <c r="G193" s="2">
        <v>0.31288818376949601</v>
      </c>
      <c r="H193" s="2">
        <v>0.30765278137556901</v>
      </c>
      <c r="I193" s="2">
        <v>0.32558139534883701</v>
      </c>
      <c r="J193" s="2">
        <v>0.37152777777777701</v>
      </c>
      <c r="K193" s="2">
        <v>-7.7628594527632405E-2</v>
      </c>
      <c r="L193" s="2"/>
      <c r="M193" s="2" t="e">
        <f>(Table1[[#This Row],[poisson_likelihood]] - (1-Table1[[#This Row],[poisson_likelihood]])/(1/Table1[[#This Row],[365 implied]]-1))/4</f>
        <v>#DIV/0!</v>
      </c>
      <c r="N193" s="7" t="e">
        <f>Table1[[#This Row],[kelly/4 365]]*$W$2*$U$2</f>
        <v>#DIV/0!</v>
      </c>
      <c r="O193" s="2"/>
      <c r="P193" s="2" t="e">
        <f>(Table1[[#This Row],[poisson_likelihood]] - (1-Table1[[#This Row],[poisson_likelihood]])/(1/Table1[[#This Row],[99/pinn implied]]-1))/4</f>
        <v>#DIV/0!</v>
      </c>
      <c r="Q193" s="7" t="e">
        <f>Table1[[#This Row],[kelly/4 99]]*$W$2*$U$2</f>
        <v>#DIV/0!</v>
      </c>
      <c r="R193" s="2"/>
      <c r="S19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94" spans="1:19" x14ac:dyDescent="0.2">
      <c r="A194">
        <v>6830</v>
      </c>
      <c r="B194" t="s">
        <v>54</v>
      </c>
      <c r="C194" s="1">
        <v>45615</v>
      </c>
      <c r="D194" t="s">
        <v>13</v>
      </c>
      <c r="E194">
        <v>1.5</v>
      </c>
      <c r="F194" s="2">
        <v>0.52356020942408299</v>
      </c>
      <c r="G194" s="2">
        <v>0.35276422396822898</v>
      </c>
      <c r="H194" s="2">
        <v>0.36982218116063797</v>
      </c>
      <c r="I194" s="2">
        <v>0.35714285714285698</v>
      </c>
      <c r="J194" s="2">
        <v>0.42616033755274202</v>
      </c>
      <c r="K194" s="2">
        <v>-8.0670229116258305E-2</v>
      </c>
      <c r="L194" s="2"/>
      <c r="M194" s="2" t="e">
        <f>(Table1[[#This Row],[poisson_likelihood]] - (1-Table1[[#This Row],[poisson_likelihood]])/(1/Table1[[#This Row],[365 implied]]-1))/4</f>
        <v>#DIV/0!</v>
      </c>
      <c r="N194" s="7" t="e">
        <f>Table1[[#This Row],[kelly/4 365]]*$W$2*$U$2</f>
        <v>#DIV/0!</v>
      </c>
      <c r="O194" s="2"/>
      <c r="P194" s="2" t="e">
        <f>(Table1[[#This Row],[poisson_likelihood]] - (1-Table1[[#This Row],[poisson_likelihood]])/(1/Table1[[#This Row],[99/pinn implied]]-1))/4</f>
        <v>#DIV/0!</v>
      </c>
      <c r="Q194" s="7" t="e">
        <f>Table1[[#This Row],[kelly/4 99]]*$W$2*$U$2</f>
        <v>#DIV/0!</v>
      </c>
      <c r="R194" s="2"/>
      <c r="S19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95" spans="1:19" x14ac:dyDescent="0.2">
      <c r="A195">
        <v>6867</v>
      </c>
      <c r="B195" t="s">
        <v>73</v>
      </c>
      <c r="C195" s="1">
        <v>45615</v>
      </c>
      <c r="D195" t="s">
        <v>12</v>
      </c>
      <c r="E195">
        <v>2.5</v>
      </c>
      <c r="F195" s="2">
        <v>0.58823529411764697</v>
      </c>
      <c r="G195" s="2">
        <v>0.49318981605811602</v>
      </c>
      <c r="H195" s="2">
        <v>0.44938135042573502</v>
      </c>
      <c r="I195" s="2">
        <v>0.321212121212121</v>
      </c>
      <c r="J195" s="2">
        <v>0.371929824561403</v>
      </c>
      <c r="K195" s="2">
        <v>-8.4304180098660406E-2</v>
      </c>
      <c r="L195" s="2"/>
      <c r="M195" s="2" t="e">
        <f>(Table1[[#This Row],[poisson_likelihood]] - (1-Table1[[#This Row],[poisson_likelihood]])/(1/Table1[[#This Row],[365 implied]]-1))/4</f>
        <v>#DIV/0!</v>
      </c>
      <c r="N195" s="7" t="e">
        <f>Table1[[#This Row],[kelly/4 365]]*$W$2*$U$2</f>
        <v>#DIV/0!</v>
      </c>
      <c r="O195" s="2"/>
      <c r="P195" s="2" t="e">
        <f>(Table1[[#This Row],[poisson_likelihood]] - (1-Table1[[#This Row],[poisson_likelihood]])/(1/Table1[[#This Row],[99/pinn implied]]-1))/4</f>
        <v>#DIV/0!</v>
      </c>
      <c r="Q195" s="7" t="e">
        <f>Table1[[#This Row],[kelly/4 99]]*$W$2*$U$2</f>
        <v>#DIV/0!</v>
      </c>
      <c r="R195" s="2"/>
      <c r="S19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96" spans="1:19" x14ac:dyDescent="0.2">
      <c r="A196">
        <v>6816</v>
      </c>
      <c r="B196" t="s">
        <v>47</v>
      </c>
      <c r="C196" s="1">
        <v>45615</v>
      </c>
      <c r="D196" t="s">
        <v>13</v>
      </c>
      <c r="E196">
        <v>2.5</v>
      </c>
      <c r="F196" s="2">
        <v>0.61728395061728303</v>
      </c>
      <c r="G196" s="2">
        <v>0.43580465253181599</v>
      </c>
      <c r="H196" s="2">
        <v>0.47807795462603597</v>
      </c>
      <c r="I196" s="2">
        <v>0.44295302013422799</v>
      </c>
      <c r="J196" s="2">
        <v>0.45419847328244201</v>
      </c>
      <c r="K196" s="2">
        <v>-9.0932948994282198E-2</v>
      </c>
      <c r="L196" s="2"/>
      <c r="M196" s="2" t="e">
        <f>(Table1[[#This Row],[poisson_likelihood]] - (1-Table1[[#This Row],[poisson_likelihood]])/(1/Table1[[#This Row],[365 implied]]-1))/4</f>
        <v>#DIV/0!</v>
      </c>
      <c r="N196" s="7" t="e">
        <f>Table1[[#This Row],[kelly/4 365]]*$W$2*$U$2</f>
        <v>#DIV/0!</v>
      </c>
      <c r="O196" s="2"/>
      <c r="P196" s="2" t="e">
        <f>(Table1[[#This Row],[poisson_likelihood]] - (1-Table1[[#This Row],[poisson_likelihood]])/(1/Table1[[#This Row],[99/pinn implied]]-1))/4</f>
        <v>#DIV/0!</v>
      </c>
      <c r="Q196" s="7" t="e">
        <f>Table1[[#This Row],[kelly/4 99]]*$W$2*$U$2</f>
        <v>#DIV/0!</v>
      </c>
      <c r="R196" s="2"/>
      <c r="S19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97" spans="1:19" x14ac:dyDescent="0.2">
      <c r="A197">
        <v>6773</v>
      </c>
      <c r="B197" t="s">
        <v>26</v>
      </c>
      <c r="C197" s="1">
        <v>45615</v>
      </c>
      <c r="D197" t="s">
        <v>12</v>
      </c>
      <c r="E197">
        <v>1.5</v>
      </c>
      <c r="F197" s="2">
        <v>0.63694267515923497</v>
      </c>
      <c r="G197" s="2">
        <v>0.54631573147770995</v>
      </c>
      <c r="H197" s="2">
        <v>0.49910251994745802</v>
      </c>
      <c r="I197" s="2">
        <v>0.49710982658959502</v>
      </c>
      <c r="J197" s="2">
        <v>0.52702702702702697</v>
      </c>
      <c r="K197" s="2">
        <v>-9.4916247229162004E-2</v>
      </c>
      <c r="L197" s="2"/>
      <c r="M197" s="2" t="e">
        <f>(Table1[[#This Row],[poisson_likelihood]] - (1-Table1[[#This Row],[poisson_likelihood]])/(1/Table1[[#This Row],[365 implied]]-1))/4</f>
        <v>#DIV/0!</v>
      </c>
      <c r="N197" s="7" t="e">
        <f>Table1[[#This Row],[kelly/4 365]]*$W$2*$U$2</f>
        <v>#DIV/0!</v>
      </c>
      <c r="O197" s="2"/>
      <c r="P197" s="2" t="e">
        <f>(Table1[[#This Row],[poisson_likelihood]] - (1-Table1[[#This Row],[poisson_likelihood]])/(1/Table1[[#This Row],[99/pinn implied]]-1))/4</f>
        <v>#DIV/0!</v>
      </c>
      <c r="Q197" s="7" t="e">
        <f>Table1[[#This Row],[kelly/4 99]]*$W$2*$U$2</f>
        <v>#DIV/0!</v>
      </c>
      <c r="R197" s="2"/>
      <c r="S19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98" spans="1:19" x14ac:dyDescent="0.2">
      <c r="A198">
        <v>6861</v>
      </c>
      <c r="B198" t="s">
        <v>70</v>
      </c>
      <c r="C198" s="1">
        <v>45615</v>
      </c>
      <c r="D198" t="s">
        <v>12</v>
      </c>
      <c r="E198">
        <v>1.5</v>
      </c>
      <c r="F198" s="2">
        <v>0.61728395061728303</v>
      </c>
      <c r="G198" s="2">
        <v>0.49963573006663797</v>
      </c>
      <c r="H198" s="2">
        <v>0.44173539646754401</v>
      </c>
      <c r="I198" s="2">
        <v>0.32407407407407401</v>
      </c>
      <c r="J198" s="2">
        <v>0.39690721649484501</v>
      </c>
      <c r="K198" s="2">
        <v>-0.114672845855878</v>
      </c>
      <c r="L198" s="2"/>
      <c r="M198" s="2" t="e">
        <f>(Table1[[#This Row],[poisson_likelihood]] - (1-Table1[[#This Row],[poisson_likelihood]])/(1/Table1[[#This Row],[365 implied]]-1))/4</f>
        <v>#DIV/0!</v>
      </c>
      <c r="N198" s="7" t="e">
        <f>Table1[[#This Row],[kelly/4 365]]*$W$2*$U$2</f>
        <v>#DIV/0!</v>
      </c>
      <c r="O198" s="2"/>
      <c r="P198" s="2" t="e">
        <f>(Table1[[#This Row],[poisson_likelihood]] - (1-Table1[[#This Row],[poisson_likelihood]])/(1/Table1[[#This Row],[99/pinn implied]]-1))/4</f>
        <v>#DIV/0!</v>
      </c>
      <c r="Q198" s="7" t="e">
        <f>Table1[[#This Row],[kelly/4 99]]*$W$2*$U$2</f>
        <v>#DIV/0!</v>
      </c>
      <c r="R198" s="2"/>
      <c r="S19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99" spans="1:19" x14ac:dyDescent="0.2">
      <c r="A199">
        <v>6769</v>
      </c>
      <c r="B199" t="s">
        <v>24</v>
      </c>
      <c r="C199" s="1">
        <v>45615</v>
      </c>
      <c r="D199" t="s">
        <v>12</v>
      </c>
      <c r="E199">
        <v>2.5</v>
      </c>
      <c r="F199" s="2">
        <v>0.59523809523809501</v>
      </c>
      <c r="G199" s="2">
        <v>0.454514767725964</v>
      </c>
      <c r="H199" s="2">
        <v>0.403770681541054</v>
      </c>
      <c r="I199" s="2">
        <v>0.41208791208791201</v>
      </c>
      <c r="J199" s="2">
        <v>0.44694533762057798</v>
      </c>
      <c r="K199" s="2">
        <v>-0.118259284930524</v>
      </c>
      <c r="L199" s="2"/>
      <c r="M199" s="2" t="e">
        <f>(Table1[[#This Row],[poisson_likelihood]] - (1-Table1[[#This Row],[poisson_likelihood]])/(1/Table1[[#This Row],[365 implied]]-1))/4</f>
        <v>#DIV/0!</v>
      </c>
      <c r="N199" s="7" t="e">
        <f>Table1[[#This Row],[kelly/4 365]]*$W$2*$U$2</f>
        <v>#DIV/0!</v>
      </c>
      <c r="O199" s="2"/>
      <c r="P199" s="2" t="e">
        <f>(Table1[[#This Row],[poisson_likelihood]] - (1-Table1[[#This Row],[poisson_likelihood]])/(1/Table1[[#This Row],[99/pinn implied]]-1))/4</f>
        <v>#DIV/0!</v>
      </c>
      <c r="Q199" s="7" t="e">
        <f>Table1[[#This Row],[kelly/4 99]]*$W$2*$U$2</f>
        <v>#DIV/0!</v>
      </c>
      <c r="R199" s="2"/>
      <c r="S19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modelled_likelihoods_weight4_te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2024-11-19T12:29:26Z</dcterms:created>
  <dcterms:modified xsi:type="dcterms:W3CDTF">2024-11-20T13:20:35Z</dcterms:modified>
</cp:coreProperties>
</file>