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daily_odds/"/>
    </mc:Choice>
  </mc:AlternateContent>
  <xr:revisionPtr revIDLastSave="0" documentId="13_ncr:1_{6BB5E405-9033-344D-BA0F-637EA4789CD0}" xr6:coauthVersionLast="47" xr6:coauthVersionMax="47" xr10:uidLastSave="{00000000-0000-0000-0000-000000000000}"/>
  <bookViews>
    <workbookView xWindow="0" yWindow="500" windowWidth="38400" windowHeight="19580" xr2:uid="{00000000-000D-0000-FFFF-FFFF00000000}"/>
  </bookViews>
  <sheets>
    <sheet name="modelled_likelihoods_weight4_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Q2" i="1"/>
  <c r="P2" i="1"/>
  <c r="Y1" i="1" s="1"/>
  <c r="N2" i="1"/>
  <c r="M2" i="1"/>
  <c r="O16" i="1"/>
  <c r="O14" i="1"/>
  <c r="L16" i="1"/>
  <c r="M16" i="1" s="1"/>
  <c r="N16" i="1" s="1"/>
  <c r="L15" i="1"/>
  <c r="N14" i="1"/>
  <c r="L14" i="1"/>
  <c r="N13" i="1"/>
  <c r="O13" i="1"/>
  <c r="L13" i="1"/>
  <c r="O9" i="1"/>
  <c r="L9" i="1"/>
  <c r="O7" i="1"/>
  <c r="L7" i="1"/>
  <c r="O4" i="1"/>
  <c r="L4" i="1"/>
  <c r="O3" i="1"/>
  <c r="L3" i="1"/>
  <c r="O12" i="1"/>
  <c r="L12" i="1"/>
  <c r="O11" i="1"/>
  <c r="L11" i="1"/>
  <c r="M11" i="1" s="1"/>
  <c r="N11" i="1" s="1"/>
  <c r="O10" i="1"/>
  <c r="L10" i="1"/>
  <c r="O8" i="1"/>
  <c r="L8" i="1"/>
  <c r="O6" i="1"/>
  <c r="L6" i="1"/>
  <c r="O5" i="1"/>
  <c r="L5" i="1"/>
  <c r="O2" i="1"/>
  <c r="P8" i="1"/>
  <c r="Q8" i="1" s="1"/>
  <c r="P9" i="1"/>
  <c r="Q9" i="1" s="1"/>
  <c r="P16" i="1"/>
  <c r="Q16" i="1" s="1"/>
  <c r="P17" i="1"/>
  <c r="Q17" i="1" s="1"/>
  <c r="P19" i="1"/>
  <c r="Q19" i="1" s="1"/>
  <c r="P24" i="1"/>
  <c r="Q24" i="1" s="1"/>
  <c r="P25" i="1"/>
  <c r="Q25" i="1" s="1"/>
  <c r="P33" i="1"/>
  <c r="Q33" i="1" s="1"/>
  <c r="P35" i="1"/>
  <c r="Q35" i="1" s="1"/>
  <c r="P40" i="1"/>
  <c r="Q40" i="1" s="1"/>
  <c r="P41" i="1"/>
  <c r="Q41" i="1" s="1"/>
  <c r="P48" i="1"/>
  <c r="Q48" i="1" s="1"/>
  <c r="P49" i="1"/>
  <c r="Q49" i="1" s="1"/>
  <c r="P51" i="1"/>
  <c r="Q51" i="1" s="1"/>
  <c r="P10" i="1"/>
  <c r="Q10" i="1" s="1"/>
  <c r="P11" i="1"/>
  <c r="Q11" i="1" s="1"/>
  <c r="P18" i="1"/>
  <c r="Q18" i="1" s="1"/>
  <c r="P27" i="1"/>
  <c r="Q27" i="1" s="1"/>
  <c r="P34" i="1"/>
  <c r="Q34" i="1" s="1"/>
  <c r="P42" i="1"/>
  <c r="Q42" i="1" s="1"/>
  <c r="P43" i="1"/>
  <c r="Q43" i="1" s="1"/>
  <c r="P50" i="1"/>
  <c r="Q50" i="1" s="1"/>
  <c r="L2" i="1"/>
  <c r="M9" i="1"/>
  <c r="N9" i="1" s="1"/>
  <c r="M17" i="1"/>
  <c r="N17" i="1" s="1"/>
  <c r="M24" i="1"/>
  <c r="N24" i="1" s="1"/>
  <c r="M25" i="1"/>
  <c r="N25" i="1" s="1"/>
  <c r="M32" i="1"/>
  <c r="N32" i="1" s="1"/>
  <c r="M33" i="1"/>
  <c r="N33" i="1" s="1"/>
  <c r="M40" i="1"/>
  <c r="N40" i="1" s="1"/>
  <c r="M41" i="1"/>
  <c r="N41" i="1" s="1"/>
  <c r="M48" i="1"/>
  <c r="N48" i="1" s="1"/>
  <c r="M49" i="1"/>
  <c r="N49" i="1" s="1"/>
  <c r="V1" i="1"/>
  <c r="S27" i="1"/>
  <c r="S30" i="1"/>
  <c r="S35" i="1"/>
  <c r="S19" i="1"/>
  <c r="S36" i="1"/>
  <c r="S22" i="1"/>
  <c r="S45" i="1"/>
  <c r="S7" i="1"/>
  <c r="S4" i="1"/>
  <c r="S47" i="1"/>
  <c r="S15" i="1"/>
  <c r="S37" i="1"/>
  <c r="S13" i="1"/>
  <c r="S50" i="1"/>
  <c r="S14" i="1"/>
  <c r="S46" i="1"/>
  <c r="S43" i="1"/>
  <c r="S3" i="1"/>
  <c r="S41" i="1"/>
  <c r="S16" i="1"/>
  <c r="S51" i="1"/>
  <c r="S9" i="1"/>
  <c r="S18" i="1"/>
  <c r="S34" i="1"/>
  <c r="S29" i="1"/>
  <c r="S25" i="1"/>
  <c r="S48" i="1"/>
  <c r="S11" i="1"/>
  <c r="S20" i="1"/>
  <c r="S32" i="1"/>
  <c r="S42" i="1"/>
  <c r="S6" i="1"/>
  <c r="S44" i="1"/>
  <c r="S12" i="1"/>
  <c r="S53" i="1"/>
  <c r="S5" i="1"/>
  <c r="S28" i="1"/>
  <c r="S24" i="1"/>
  <c r="S49" i="1"/>
  <c r="S39" i="1"/>
  <c r="S17" i="1"/>
  <c r="S33" i="1"/>
  <c r="S21" i="1"/>
  <c r="S38" i="1"/>
  <c r="S23" i="1"/>
  <c r="S52" i="1"/>
  <c r="S8" i="1"/>
  <c r="S31" i="1"/>
  <c r="S26" i="1"/>
  <c r="S10" i="1"/>
  <c r="S40" i="1"/>
  <c r="P30" i="1"/>
  <c r="Q30" i="1" s="1"/>
  <c r="P36" i="1"/>
  <c r="Q36" i="1" s="1"/>
  <c r="P22" i="1"/>
  <c r="Q22" i="1" s="1"/>
  <c r="P45" i="1"/>
  <c r="Q45" i="1" s="1"/>
  <c r="P7" i="1"/>
  <c r="Q7" i="1" s="1"/>
  <c r="P4" i="1"/>
  <c r="Q4" i="1" s="1"/>
  <c r="P47" i="1"/>
  <c r="Q47" i="1" s="1"/>
  <c r="P15" i="1"/>
  <c r="Q15" i="1" s="1"/>
  <c r="P37" i="1"/>
  <c r="Q37" i="1" s="1"/>
  <c r="P13" i="1"/>
  <c r="Q13" i="1" s="1"/>
  <c r="P14" i="1"/>
  <c r="Q14" i="1" s="1"/>
  <c r="P46" i="1"/>
  <c r="Q46" i="1" s="1"/>
  <c r="P3" i="1"/>
  <c r="Q3" i="1" s="1"/>
  <c r="P29" i="1"/>
  <c r="Q29" i="1" s="1"/>
  <c r="P20" i="1"/>
  <c r="Q20" i="1" s="1"/>
  <c r="P32" i="1"/>
  <c r="Q32" i="1" s="1"/>
  <c r="P6" i="1"/>
  <c r="Q6" i="1" s="1"/>
  <c r="P44" i="1"/>
  <c r="Q44" i="1" s="1"/>
  <c r="P12" i="1"/>
  <c r="Q12" i="1" s="1"/>
  <c r="P53" i="1"/>
  <c r="Q53" i="1" s="1"/>
  <c r="P5" i="1"/>
  <c r="Q5" i="1" s="1"/>
  <c r="P28" i="1"/>
  <c r="Q28" i="1" s="1"/>
  <c r="P39" i="1"/>
  <c r="Q39" i="1" s="1"/>
  <c r="P21" i="1"/>
  <c r="Q21" i="1" s="1"/>
  <c r="P38" i="1"/>
  <c r="Q38" i="1" s="1"/>
  <c r="P23" i="1"/>
  <c r="Q23" i="1" s="1"/>
  <c r="P52" i="1"/>
  <c r="Q52" i="1" s="1"/>
  <c r="P31" i="1"/>
  <c r="Q31" i="1" s="1"/>
  <c r="P26" i="1"/>
  <c r="Q26" i="1" s="1"/>
  <c r="N35" i="1"/>
  <c r="N19" i="1"/>
  <c r="M27" i="1"/>
  <c r="N27" i="1" s="1"/>
  <c r="M30" i="1"/>
  <c r="N30" i="1" s="1"/>
  <c r="M35" i="1"/>
  <c r="M19" i="1"/>
  <c r="M36" i="1"/>
  <c r="N36" i="1" s="1"/>
  <c r="M22" i="1"/>
  <c r="N22" i="1" s="1"/>
  <c r="M45" i="1"/>
  <c r="N45" i="1" s="1"/>
  <c r="M7" i="1"/>
  <c r="N7" i="1" s="1"/>
  <c r="M4" i="1"/>
  <c r="N4" i="1" s="1"/>
  <c r="M47" i="1"/>
  <c r="N47" i="1" s="1"/>
  <c r="M15" i="1"/>
  <c r="N15" i="1" s="1"/>
  <c r="M37" i="1"/>
  <c r="N37" i="1" s="1"/>
  <c r="M13" i="1"/>
  <c r="M50" i="1"/>
  <c r="N50" i="1" s="1"/>
  <c r="M14" i="1"/>
  <c r="M46" i="1"/>
  <c r="N46" i="1" s="1"/>
  <c r="M43" i="1"/>
  <c r="N43" i="1" s="1"/>
  <c r="M3" i="1"/>
  <c r="N3" i="1" s="1"/>
  <c r="M51" i="1"/>
  <c r="N51" i="1" s="1"/>
  <c r="M18" i="1"/>
  <c r="N18" i="1" s="1"/>
  <c r="M34" i="1"/>
  <c r="N34" i="1" s="1"/>
  <c r="M29" i="1"/>
  <c r="N29" i="1" s="1"/>
  <c r="M20" i="1"/>
  <c r="N20" i="1" s="1"/>
  <c r="M42" i="1"/>
  <c r="N42" i="1" s="1"/>
  <c r="M6" i="1"/>
  <c r="N6" i="1" s="1"/>
  <c r="M44" i="1"/>
  <c r="N44" i="1" s="1"/>
  <c r="M12" i="1"/>
  <c r="N12" i="1" s="1"/>
  <c r="M53" i="1"/>
  <c r="N53" i="1" s="1"/>
  <c r="M5" i="1"/>
  <c r="N5" i="1" s="1"/>
  <c r="M28" i="1"/>
  <c r="N28" i="1" s="1"/>
  <c r="M39" i="1"/>
  <c r="N39" i="1" s="1"/>
  <c r="M21" i="1"/>
  <c r="N21" i="1" s="1"/>
  <c r="M38" i="1"/>
  <c r="N38" i="1" s="1"/>
  <c r="M23" i="1"/>
  <c r="N23" i="1" s="1"/>
  <c r="M52" i="1"/>
  <c r="N52" i="1" s="1"/>
  <c r="M8" i="1"/>
  <c r="N8" i="1" s="1"/>
  <c r="M31" i="1"/>
  <c r="N31" i="1" s="1"/>
  <c r="M26" i="1"/>
  <c r="N26" i="1" s="1"/>
  <c r="M10" i="1"/>
  <c r="N10" i="1" s="1"/>
  <c r="V4" i="1" l="1"/>
</calcChain>
</file>

<file path=xl/sharedStrings.xml><?xml version="1.0" encoding="utf-8"?>
<sst xmlns="http://schemas.openxmlformats.org/spreadsheetml/2006/main" count="141" uniqueCount="53">
  <si>
    <t>id</t>
  </si>
  <si>
    <t>player_name</t>
  </si>
  <si>
    <t>date</t>
  </si>
  <si>
    <t>over_under</t>
  </si>
  <si>
    <t>points</t>
  </si>
  <si>
    <t>implied_likelihood</t>
  </si>
  <si>
    <t>normal_likelihood</t>
  </si>
  <si>
    <t>poisson_likelihood</t>
  </si>
  <si>
    <t>raw_data_likelihood</t>
  </si>
  <si>
    <t>weighted_likelihood</t>
  </si>
  <si>
    <t>poisson_kelly</t>
  </si>
  <si>
    <t>Brad Marchand</t>
  </si>
  <si>
    <t>Over</t>
  </si>
  <si>
    <t>Under</t>
  </si>
  <si>
    <t>Brock Boeser</t>
  </si>
  <si>
    <t>Charlie McAvoy</t>
  </si>
  <si>
    <t>Conor Garland</t>
  </si>
  <si>
    <t>David Pastrnak</t>
  </si>
  <si>
    <t>Elias Lindholm</t>
  </si>
  <si>
    <t>Elias Pettersson</t>
  </si>
  <si>
    <t>Jake DeBrusk</t>
  </si>
  <si>
    <t>Kiefer Sherwood</t>
  </si>
  <si>
    <t>Pavel Zacha</t>
  </si>
  <si>
    <t>Quinn Hughes</t>
  </si>
  <si>
    <t>Barrett Hayton</t>
  </si>
  <si>
    <t>Clayton Keller</t>
  </si>
  <si>
    <t>Dylan Guenther</t>
  </si>
  <si>
    <t>Lawson Crouse</t>
  </si>
  <si>
    <t>Logan Cooley</t>
  </si>
  <si>
    <t>Matias Maccelli</t>
  </si>
  <si>
    <t>Michael Kesselring</t>
  </si>
  <si>
    <t>Mike Matheson</t>
  </si>
  <si>
    <t>Mikhail Sergachev</t>
  </si>
  <si>
    <t>Nick Schmaltz</t>
  </si>
  <si>
    <t>Nick Suzuki</t>
  </si>
  <si>
    <t>Brendan Gallagher</t>
  </si>
  <si>
    <t>Juraj Slafkovsky</t>
  </si>
  <si>
    <t>Kirby Dach</t>
  </si>
  <si>
    <t>Cole Caufield</t>
  </si>
  <si>
    <t>365 implied</t>
  </si>
  <si>
    <t>kelly/4 365</t>
  </si>
  <si>
    <t>bet</t>
  </si>
  <si>
    <t>99/pinn implied</t>
  </si>
  <si>
    <t>kelly/4 99</t>
  </si>
  <si>
    <t>bet99/pinn</t>
  </si>
  <si>
    <t>W/L:</t>
  </si>
  <si>
    <t>del$</t>
  </si>
  <si>
    <t>bankroll</t>
  </si>
  <si>
    <t>FACTOR:</t>
  </si>
  <si>
    <t>wagered:</t>
  </si>
  <si>
    <t>delta:</t>
  </si>
  <si>
    <t>W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</si>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</sst>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44" fontId="0" fillId="0" borderId="0" xfId="1" applyFont="1"/>
    <xf numFmtId="0" fontId="0" fillId="0" borderId="0" xfId="0" applyAlignment="1">
      <alignment horizontal="left"/>
    </xf>
    <xf numFmtId="164" fontId="0" fillId="0" borderId="0" xfId="2" applyNumberFormat="1" applyFont="1"/>
    <xf numFmtId="10" fontId="0" fillId="0" borderId="0" xfId="0" applyNumberFormat="1"/>
    <xf numFmtId="44" fontId="0" fillId="0" borderId="0" xfId="0" applyNumberFormat="1"/>
    <xf numFmtId="44" fontId="0" fillId="33" borderId="0" xfId="1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1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53" totalsRowShown="0">
  <autoFilter ref="A1:S53" xr:uid="{00000000-0009-0000-0100-000001000000}"/>
  <sortState xmlns:xlrd2="http://schemas.microsoft.com/office/spreadsheetml/2017/richdata2" ref="A2:S53">
    <sortCondition descending="1" ref="K1:K53"/>
  </sortState>
  <tableColumns count="19">
    <tableColumn id="1" xr3:uid="{00000000-0010-0000-0000-000001000000}" name="id"/>
    <tableColumn id="2" xr3:uid="{00000000-0010-0000-0000-000002000000}" name="player_name"/>
    <tableColumn id="3" xr3:uid="{00000000-0010-0000-0000-000003000000}" name="date" dataDxfId="10"/>
    <tableColumn id="4" xr3:uid="{00000000-0010-0000-0000-000004000000}" name="over_under"/>
    <tableColumn id="5" xr3:uid="{00000000-0010-0000-0000-000005000000}" name="points"/>
    <tableColumn id="6" xr3:uid="{00000000-0010-0000-0000-000006000000}" name="implied_likelihood" dataDxfId="9" dataCellStyle="Percent"/>
    <tableColumn id="7" xr3:uid="{00000000-0010-0000-0000-000007000000}" name="normal_likelihood" dataDxfId="8" dataCellStyle="Percent"/>
    <tableColumn id="8" xr3:uid="{00000000-0010-0000-0000-000008000000}" name="poisson_likelihood" dataDxfId="7" dataCellStyle="Percent"/>
    <tableColumn id="9" xr3:uid="{00000000-0010-0000-0000-000009000000}" name="raw_data_likelihood" dataDxfId="6" dataCellStyle="Percent"/>
    <tableColumn id="10" xr3:uid="{00000000-0010-0000-0000-00000A000000}" name="weighted_likelihood" dataDxfId="5" dataCellStyle="Percent"/>
    <tableColumn id="11" xr3:uid="{00000000-0010-0000-0000-00000B000000}" name="poisson_kelly" dataDxfId="4" dataCellStyle="Percent"/>
    <tableColumn id="12" xr3:uid="{00000000-0010-0000-0000-00000C000000}" name="365 implied" dataDxfId="3" dataCellStyle="Percent">
      <calculatedColumnFormula>1/1.52</calculatedColumnFormula>
    </tableColumn>
    <tableColumn id="13" xr3:uid="{00000000-0010-0000-0000-00000D000000}" name="kelly/4 365" dataDxfId="2" dataCellStyle="Percent">
      <calculatedColumnFormula>(Table1[[#This Row],[poisson_likelihood]] - (1-Table1[[#This Row],[poisson_likelihood]])/(1/Table1[[#This Row],[365 implied]]-1))/4</calculatedColumnFormula>
    </tableColumn>
    <tableColumn id="14" xr3:uid="{00000000-0010-0000-0000-00000E000000}" name="bet" dataCellStyle="Currency">
      <calculatedColumnFormula>Table1[[#This Row],[kelly/4 365]]*$W$2*$U$2</calculatedColumnFormula>
    </tableColumn>
    <tableColumn id="15" xr3:uid="{00000000-0010-0000-0000-00000F000000}" name="99/pinn implied" dataDxfId="1" dataCellStyle="Percent">
      <calculatedColumnFormula>1/1.55</calculatedColumnFormula>
    </tableColumn>
    <tableColumn id="16" xr3:uid="{00000000-0010-0000-0000-000010000000}" name="kelly/4 99" dataDxfId="0" dataCellStyle="Percent">
      <calculatedColumnFormula>(Table1[[#This Row],[poisson_likelihood]] - (1-Table1[[#This Row],[poisson_likelihood]])/(1/Table1[[#This Row],[99/pinn implied]]-1))/4</calculatedColumnFormula>
    </tableColumn>
    <tableColumn id="17" xr3:uid="{00000000-0010-0000-0000-000011000000}" name="bet99/pinn" dataCellStyle="Currency">
      <calculatedColumnFormula>Table1[[#This Row],[kelly/4 99]]*$W$2*$U$2</calculatedColumnFormula>
    </tableColumn>
    <tableColumn id="18" xr3:uid="{00000000-0010-0000-0000-000012000000}" name="W/L:"/>
    <tableColumn id="19" xr3:uid="{00000000-0010-0000-0000-000013000000}" name="del$" dataCellStyle="Currency">
      <calculatedColumnFormula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"/>
  <sheetViews>
    <sheetView tabSelected="1" topLeftCell="B1" workbookViewId="0">
      <selection activeCell="U1" sqref="U1:Y4"/>
    </sheetView>
  </sheetViews>
  <sheetFormatPr baseColWidth="10" defaultRowHeight="16" x14ac:dyDescent="0.2"/>
  <cols>
    <col min="2" max="2" width="14.33203125" customWidth="1"/>
    <col min="4" max="4" width="12.83203125" customWidth="1"/>
    <col min="5" max="5" width="8.6640625" bestFit="1" customWidth="1"/>
    <col min="6" max="6" width="18.6640625" style="2" customWidth="1"/>
    <col min="7" max="7" width="18.33203125" style="2" customWidth="1"/>
    <col min="8" max="8" width="18.6640625" style="2" customWidth="1"/>
    <col min="9" max="9" width="20.33203125" style="2" customWidth="1"/>
    <col min="10" max="10" width="20.1640625" style="2" customWidth="1"/>
    <col min="11" max="11" width="14.6640625" style="2" customWidth="1"/>
    <col min="12" max="13" width="10.83203125" style="2"/>
    <col min="14" max="14" width="10.83203125" style="3"/>
    <col min="15" max="16" width="10.83203125" style="2"/>
    <col min="17" max="17" width="10.83203125" style="3"/>
    <col min="18" max="18" width="7.6640625" bestFit="1" customWidth="1"/>
    <col min="19" max="19" width="10.83203125" style="3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39</v>
      </c>
      <c r="M1" s="2" t="s">
        <v>40</v>
      </c>
      <c r="N1" s="3" t="s">
        <v>41</v>
      </c>
      <c r="O1" s="2" t="s">
        <v>42</v>
      </c>
      <c r="P1" s="2" t="s">
        <v>43</v>
      </c>
      <c r="Q1" s="3" t="s">
        <v>44</v>
      </c>
      <c r="R1" s="4" t="s">
        <v>45</v>
      </c>
      <c r="S1" s="3" t="s">
        <v>46</v>
      </c>
      <c r="U1" t="s">
        <v>47</v>
      </c>
      <c r="V1" s="6">
        <f>SUM(K2:K14)</f>
        <v>0.47373030356890794</v>
      </c>
      <c r="W1" t="s">
        <v>48</v>
      </c>
      <c r="X1" t="s">
        <v>49</v>
      </c>
      <c r="Y1" s="7">
        <f>SUM(Q2,N3,Q4,N5,Q6:Q7,N8:N9,Q10,N11,Q12,N13:N14,N16)</f>
        <v>1073.4227175539952</v>
      </c>
    </row>
    <row r="2" spans="1:25" x14ac:dyDescent="0.2">
      <c r="A2">
        <v>8138</v>
      </c>
      <c r="B2" t="s">
        <v>32</v>
      </c>
      <c r="C2" s="1">
        <v>45622</v>
      </c>
      <c r="D2" t="s">
        <v>13</v>
      </c>
      <c r="E2">
        <v>2.5</v>
      </c>
      <c r="F2" s="2">
        <v>0.65359477124182996</v>
      </c>
      <c r="G2" s="2">
        <v>0.73602566061278396</v>
      </c>
      <c r="H2" s="2">
        <v>0.74929068917842301</v>
      </c>
      <c r="I2" s="2">
        <v>0.74626865671641796</v>
      </c>
      <c r="J2" s="2">
        <v>0.78181818181818097</v>
      </c>
      <c r="K2" s="2">
        <v>6.9063563416503507E-2</v>
      </c>
      <c r="L2" s="2">
        <f t="shared" ref="L2" si="0">1/1.52</f>
        <v>0.65789473684210531</v>
      </c>
      <c r="M2" s="2">
        <f>(Table1[[#This Row],[poisson_likelihood]] - (1-Table1[[#This Row],[poisson_likelihood]])/(1/Table1[[#This Row],[365 implied]]-1))/4</f>
        <v>6.6789349784232149E-2</v>
      </c>
      <c r="N2" s="3">
        <f>Table1[[#This Row],[kelly/4 365]]*$W$2*$U$2</f>
        <v>140.25763454688752</v>
      </c>
      <c r="O2" s="2">
        <f t="shared" ref="O2" si="1">1/1.55</f>
        <v>0.64516129032258063</v>
      </c>
      <c r="P2" s="2">
        <f>(Table1[[#This Row],[poisson_likelihood]] - (1-Table1[[#This Row],[poisson_likelihood]])/(1/Table1[[#This Row],[99/pinn implied]]-1))/4</f>
        <v>7.3363894648434402E-2</v>
      </c>
      <c r="Q2" s="8">
        <f>Table1[[#This Row],[kelly/4 99]]*$W$2*$U$2</f>
        <v>154.06417876171224</v>
      </c>
      <c r="R2" t="s">
        <v>51</v>
      </c>
      <c r="S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84.735298318941744</v>
      </c>
      <c r="U2" s="3">
        <v>2100</v>
      </c>
      <c r="W2" s="5">
        <v>1</v>
      </c>
    </row>
    <row r="3" spans="1:25" x14ac:dyDescent="0.2">
      <c r="A3">
        <v>8116</v>
      </c>
      <c r="B3" t="s">
        <v>21</v>
      </c>
      <c r="C3" s="1">
        <v>45622</v>
      </c>
      <c r="D3" t="s">
        <v>13</v>
      </c>
      <c r="E3">
        <v>2.5</v>
      </c>
      <c r="F3" s="2">
        <v>0.65359477124182996</v>
      </c>
      <c r="G3" s="2">
        <v>0.69248896114630298</v>
      </c>
      <c r="H3" s="2">
        <v>0.73972472100950803</v>
      </c>
      <c r="I3" s="2">
        <v>0.73109243697478898</v>
      </c>
      <c r="J3" s="2">
        <v>0.72765957446808505</v>
      </c>
      <c r="K3" s="2">
        <v>6.2159822237994197E-2</v>
      </c>
      <c r="L3" s="2">
        <f>1/1.5</f>
        <v>0.66666666666666663</v>
      </c>
      <c r="M3" s="2">
        <f>(Table1[[#This Row],[poisson_likelihood]] - (1-Table1[[#This Row],[poisson_likelihood]])/(1/Table1[[#This Row],[365 implied]]-1))/4</f>
        <v>5.4793540757131026E-2</v>
      </c>
      <c r="N3" s="8">
        <f>Table1[[#This Row],[kelly/4 365]]*$W$2*$U$2</f>
        <v>115.06643558997516</v>
      </c>
      <c r="O3" s="2">
        <f>1/1.5</f>
        <v>0.66666666666666663</v>
      </c>
      <c r="P3" s="2">
        <f>(Table1[[#This Row],[poisson_likelihood]] - (1-Table1[[#This Row],[poisson_likelihood]])/(1/Table1[[#This Row],[99/pinn implied]]-1))/4</f>
        <v>5.4793540757131026E-2</v>
      </c>
      <c r="Q3" s="3">
        <f>Table1[[#This Row],[kelly/4 99]]*$W$2*$U$2</f>
        <v>115.06643558997516</v>
      </c>
      <c r="R3" t="s">
        <v>51</v>
      </c>
      <c r="S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57.533217794987564</v>
      </c>
    </row>
    <row r="4" spans="1:25" x14ac:dyDescent="0.2">
      <c r="A4">
        <v>8107</v>
      </c>
      <c r="B4" t="s">
        <v>17</v>
      </c>
      <c r="C4" s="1">
        <v>45622</v>
      </c>
      <c r="D4" t="s">
        <v>12</v>
      </c>
      <c r="E4">
        <v>3.5</v>
      </c>
      <c r="F4" s="2">
        <v>0.59523809523809501</v>
      </c>
      <c r="G4" s="2">
        <v>0.68584431135273205</v>
      </c>
      <c r="H4" s="2">
        <v>0.67054130116639898</v>
      </c>
      <c r="I4" s="2">
        <v>0.69354838709677402</v>
      </c>
      <c r="J4" s="2">
        <v>0.67391304347825998</v>
      </c>
      <c r="K4" s="2">
        <v>4.6510803661599501E-2</v>
      </c>
      <c r="L4" s="2">
        <f>1/1.58</f>
        <v>0.63291139240506322</v>
      </c>
      <c r="M4" s="2">
        <f>(Table1[[#This Row],[poisson_likelihood]] - (1-Table1[[#This Row],[poisson_likelihood]])/(1/Table1[[#This Row],[365 implied]]-1))/4</f>
        <v>2.5627265449530368E-2</v>
      </c>
      <c r="N4" s="3">
        <f>Table1[[#This Row],[kelly/4 365]]*$W$2*$U$2</f>
        <v>53.817257444013769</v>
      </c>
      <c r="O4" s="2">
        <f>1/1.72</f>
        <v>0.58139534883720934</v>
      </c>
      <c r="P4" s="2">
        <f>(Table1[[#This Row],[poisson_likelihood]] - (1-Table1[[#This Row],[poisson_likelihood]])/(1/Table1[[#This Row],[99/pinn implied]]-1))/4</f>
        <v>5.3239943752154947E-2</v>
      </c>
      <c r="Q4" s="8">
        <f>Table1[[#This Row],[kelly/4 99]]*$W$2*$U$2</f>
        <v>111.80388187952539</v>
      </c>
      <c r="R4" t="s">
        <v>52</v>
      </c>
      <c r="S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-111.80388187952539</v>
      </c>
      <c r="U4" t="s">
        <v>50</v>
      </c>
      <c r="V4" s="7">
        <f>SUM(S:S)</f>
        <v>130.84911403432369</v>
      </c>
    </row>
    <row r="5" spans="1:25" x14ac:dyDescent="0.2">
      <c r="A5">
        <v>8134</v>
      </c>
      <c r="B5" t="s">
        <v>30</v>
      </c>
      <c r="C5" s="1">
        <v>45622</v>
      </c>
      <c r="D5" t="s">
        <v>13</v>
      </c>
      <c r="E5">
        <v>1.5</v>
      </c>
      <c r="F5" s="2">
        <v>0.48780487804877998</v>
      </c>
      <c r="G5" s="2">
        <v>0.520799692139849</v>
      </c>
      <c r="H5" s="2">
        <v>0.57907327864755198</v>
      </c>
      <c r="I5" s="2">
        <v>0.65263157894736801</v>
      </c>
      <c r="J5" s="2">
        <v>0.62735849056603699</v>
      </c>
      <c r="K5" s="2">
        <v>4.4547671720828998E-2</v>
      </c>
      <c r="L5" s="2">
        <f>1/2.05</f>
        <v>0.48780487804878053</v>
      </c>
      <c r="M5" s="2">
        <f>(Table1[[#This Row],[poisson_likelihood]] - (1-Table1[[#This Row],[poisson_likelihood]])/(1/Table1[[#This Row],[365 implied]]-1))/4</f>
        <v>4.4547671720828921E-2</v>
      </c>
      <c r="N5" s="8">
        <f>Table1[[#This Row],[kelly/4 365]]*$W$2*$U$2</f>
        <v>93.550110613740742</v>
      </c>
      <c r="O5" s="2">
        <f>1/2.05</f>
        <v>0.48780487804878053</v>
      </c>
      <c r="P5" s="2">
        <f>(Table1[[#This Row],[poisson_likelihood]] - (1-Table1[[#This Row],[poisson_likelihood]])/(1/Table1[[#This Row],[99/pinn implied]]-1))/4</f>
        <v>4.4547671720828921E-2</v>
      </c>
      <c r="Q5" s="3">
        <f>Table1[[#This Row],[kelly/4 99]]*$W$2*$U$2</f>
        <v>93.550110613740742</v>
      </c>
      <c r="R5" t="s">
        <v>52</v>
      </c>
      <c r="S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-93.550110613740742</v>
      </c>
    </row>
    <row r="6" spans="1:25" x14ac:dyDescent="0.2">
      <c r="A6">
        <v>8130</v>
      </c>
      <c r="B6" t="s">
        <v>28</v>
      </c>
      <c r="C6" s="1">
        <v>45622</v>
      </c>
      <c r="D6" t="s">
        <v>13</v>
      </c>
      <c r="E6">
        <v>2.5</v>
      </c>
      <c r="F6" s="2">
        <v>0.625</v>
      </c>
      <c r="G6" s="2">
        <v>0.66085442093329205</v>
      </c>
      <c r="H6" s="2">
        <v>0.68971184049101897</v>
      </c>
      <c r="I6" s="2">
        <v>0.62135922330097004</v>
      </c>
      <c r="J6" s="2">
        <v>0.60337552742615996</v>
      </c>
      <c r="K6" s="2">
        <v>4.3141226994013099E-2</v>
      </c>
      <c r="L6" s="2">
        <f>1/1.57</f>
        <v>0.63694267515923564</v>
      </c>
      <c r="M6" s="2">
        <f>(Table1[[#This Row],[poisson_likelihood]] - (1-Table1[[#This Row],[poisson_likelihood]])/(1/Table1[[#This Row],[365 implied]]-1))/4</f>
        <v>3.6336662092499916E-2</v>
      </c>
      <c r="N6" s="3">
        <f>Table1[[#This Row],[kelly/4 365]]*$W$2*$U$2</f>
        <v>76.306990394249823</v>
      </c>
      <c r="O6" s="2">
        <f>1/1.6</f>
        <v>0.625</v>
      </c>
      <c r="P6" s="2">
        <f>(Table1[[#This Row],[poisson_likelihood]] - (1-Table1[[#This Row],[poisson_likelihood]])/(1/Table1[[#This Row],[99/pinn implied]]-1))/4</f>
        <v>4.3141226994012655E-2</v>
      </c>
      <c r="Q6" s="8">
        <f>Table1[[#This Row],[kelly/4 99]]*$W$2*$U$2</f>
        <v>90.596576687426577</v>
      </c>
      <c r="R6" t="s">
        <v>51</v>
      </c>
      <c r="S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54.35794601245594</v>
      </c>
    </row>
    <row r="7" spans="1:25" x14ac:dyDescent="0.2">
      <c r="A7">
        <v>8106</v>
      </c>
      <c r="B7" t="s">
        <v>16</v>
      </c>
      <c r="C7" s="1">
        <v>45622</v>
      </c>
      <c r="D7" t="s">
        <v>13</v>
      </c>
      <c r="E7">
        <v>2.5</v>
      </c>
      <c r="F7" s="2">
        <v>0.54644808743169304</v>
      </c>
      <c r="G7" s="2">
        <v>0.56375604033053694</v>
      </c>
      <c r="H7" s="2">
        <v>0.60447325521566198</v>
      </c>
      <c r="I7" s="2">
        <v>0.64835164835164805</v>
      </c>
      <c r="J7" s="2">
        <v>0.64423076923076905</v>
      </c>
      <c r="K7" s="2">
        <v>3.1983752121886297E-2</v>
      </c>
      <c r="L7" s="2">
        <f>1/1.83</f>
        <v>0.54644808743169393</v>
      </c>
      <c r="M7" s="2">
        <f>(Table1[[#This Row],[poisson_likelihood]] - (1-Table1[[#This Row],[poisson_likelihood]])/(1/Table1[[#This Row],[365 implied]]-1))/4</f>
        <v>3.1983752121886005E-2</v>
      </c>
      <c r="N7" s="3">
        <f>Table1[[#This Row],[kelly/4 365]]*$W$2*$U$2</f>
        <v>67.165879455960606</v>
      </c>
      <c r="O7" s="2">
        <f>1/1.87</f>
        <v>0.53475935828876997</v>
      </c>
      <c r="P7" s="2">
        <f>(Table1[[#This Row],[poisson_likelihood]] - (1-Table1[[#This Row],[poisson_likelihood]])/(1/Table1[[#This Row],[99/pinn implied]]-1))/4</f>
        <v>3.7461203233703458E-2</v>
      </c>
      <c r="Q7" s="8">
        <f>Table1[[#This Row],[kelly/4 99]]*$W$2*$U$2</f>
        <v>78.668526790777264</v>
      </c>
      <c r="R7" t="s">
        <v>52</v>
      </c>
      <c r="S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-78.668526790777264</v>
      </c>
    </row>
    <row r="8" spans="1:25" x14ac:dyDescent="0.2">
      <c r="A8">
        <v>8146</v>
      </c>
      <c r="B8" t="s">
        <v>36</v>
      </c>
      <c r="C8" s="1">
        <v>45622</v>
      </c>
      <c r="D8" t="s">
        <v>13</v>
      </c>
      <c r="E8">
        <v>1.5</v>
      </c>
      <c r="F8" s="2">
        <v>0.45248868778280499</v>
      </c>
      <c r="G8" s="2">
        <v>0.47193402386010502</v>
      </c>
      <c r="H8" s="2">
        <v>0.52235982034040895</v>
      </c>
      <c r="I8" s="2">
        <v>0.57971014492753603</v>
      </c>
      <c r="J8" s="2">
        <v>0.57196969696969702</v>
      </c>
      <c r="K8" s="2">
        <v>3.1903967552128799E-2</v>
      </c>
      <c r="L8" s="2">
        <f>1/2.25</f>
        <v>0.44444444444444442</v>
      </c>
      <c r="M8" s="2">
        <f>(Table1[[#This Row],[poisson_likelihood]] - (1-Table1[[#This Row],[poisson_likelihood]])/(1/Table1[[#This Row],[365 implied]]-1))/4</f>
        <v>3.5061919153184032E-2</v>
      </c>
      <c r="N8" s="8">
        <f>Table1[[#This Row],[kelly/4 365]]*$W$2*$U$2</f>
        <v>73.630030221686468</v>
      </c>
      <c r="O8" s="2">
        <f>1/2.1</f>
        <v>0.47619047619047616</v>
      </c>
      <c r="P8" s="2">
        <f>(Table1[[#This Row],[poisson_likelihood]] - (1-Table1[[#This Row],[poisson_likelihood]])/(1/Table1[[#This Row],[99/pinn implied]]-1))/4</f>
        <v>2.2035368798831556E-2</v>
      </c>
      <c r="Q8" s="3">
        <f>Table1[[#This Row],[kelly/4 99]]*$W$2*$U$2</f>
        <v>46.274274477546271</v>
      </c>
      <c r="R8" t="s">
        <v>51</v>
      </c>
      <c r="S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92.037537777108071</v>
      </c>
    </row>
    <row r="9" spans="1:25" x14ac:dyDescent="0.2">
      <c r="A9">
        <v>8120</v>
      </c>
      <c r="B9" t="s">
        <v>23</v>
      </c>
      <c r="C9" s="1">
        <v>45622</v>
      </c>
      <c r="D9" t="s">
        <v>13</v>
      </c>
      <c r="E9">
        <v>2.5</v>
      </c>
      <c r="F9" s="2">
        <v>0.46948356807511699</v>
      </c>
      <c r="G9" s="2">
        <v>0.49135856442401199</v>
      </c>
      <c r="H9" s="2">
        <v>0.53440217170071902</v>
      </c>
      <c r="I9" s="2">
        <v>0.59776536312849105</v>
      </c>
      <c r="J9" s="2">
        <v>0.55339805825242705</v>
      </c>
      <c r="K9" s="2">
        <v>3.0592173832418801E-2</v>
      </c>
      <c r="L9" s="2">
        <f>1/2.3</f>
        <v>0.43478260869565222</v>
      </c>
      <c r="M9" s="2">
        <f>(Table1[[#This Row],[poisson_likelihood]] - (1-Table1[[#This Row],[poisson_likelihood]])/(1/Table1[[#This Row],[365 implied]]-1))/4</f>
        <v>4.4062499021471857E-2</v>
      </c>
      <c r="N9" s="8">
        <f>Table1[[#This Row],[kelly/4 365]]*$W$2*$U$2</f>
        <v>92.531247945090897</v>
      </c>
      <c r="O9" s="2">
        <f>1/2.25</f>
        <v>0.44444444444444442</v>
      </c>
      <c r="P9" s="2">
        <f>(Table1[[#This Row],[poisson_likelihood]] - (1-Table1[[#This Row],[poisson_likelihood]])/(1/Table1[[#This Row],[99/pinn implied]]-1))/4</f>
        <v>4.0480977265323556E-2</v>
      </c>
      <c r="Q9" s="3">
        <f>Table1[[#This Row],[kelly/4 99]]*$W$2*$U$2</f>
        <v>85.010052257179467</v>
      </c>
      <c r="R9" t="s">
        <v>51</v>
      </c>
      <c r="S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120.29062232861814</v>
      </c>
    </row>
    <row r="10" spans="1:25" x14ac:dyDescent="0.2">
      <c r="A10">
        <v>8149</v>
      </c>
      <c r="B10" t="s">
        <v>38</v>
      </c>
      <c r="C10" s="1">
        <v>45622</v>
      </c>
      <c r="D10" t="s">
        <v>12</v>
      </c>
      <c r="E10">
        <v>2.5</v>
      </c>
      <c r="F10" s="2">
        <v>0.60606060606060597</v>
      </c>
      <c r="G10" s="2">
        <v>0.66851654124246696</v>
      </c>
      <c r="H10" s="2">
        <v>0.65394843935026903</v>
      </c>
      <c r="I10" s="2">
        <v>0.65540540540540504</v>
      </c>
      <c r="J10" s="2">
        <v>0.61428571428571399</v>
      </c>
      <c r="K10" s="2">
        <v>3.03903557415174E-2</v>
      </c>
      <c r="L10" s="2">
        <f>1/1.64</f>
        <v>0.6097560975609756</v>
      </c>
      <c r="M10" s="2">
        <f>(Table1[[#This Row],[poisson_likelihood]] - (1-Table1[[#This Row],[poisson_likelihood]])/(1/Table1[[#This Row],[365 implied]]-1))/4</f>
        <v>2.8310718958766135E-2</v>
      </c>
      <c r="N10" s="3">
        <f>Table1[[#This Row],[kelly/4 365]]*$W$2*$U$2</f>
        <v>59.452509813408881</v>
      </c>
      <c r="O10" s="2">
        <f>1/1.66</f>
        <v>0.60240963855421692</v>
      </c>
      <c r="P10" s="2">
        <f>(Table1[[#This Row],[poisson_likelihood]] - (1-Table1[[#This Row],[poisson_likelihood]])/(1/Table1[[#This Row],[99/pinn implied]]-1))/4</f>
        <v>3.2406973227820657E-2</v>
      </c>
      <c r="Q10" s="8">
        <f>Table1[[#This Row],[kelly/4 99]]*$W$2*$U$2</f>
        <v>68.054643778423383</v>
      </c>
      <c r="R10" t="s">
        <v>51</v>
      </c>
      <c r="S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44.916064893759426</v>
      </c>
    </row>
    <row r="11" spans="1:25" x14ac:dyDescent="0.2">
      <c r="A11">
        <v>8126</v>
      </c>
      <c r="B11" t="s">
        <v>26</v>
      </c>
      <c r="C11" s="1">
        <v>45622</v>
      </c>
      <c r="D11" t="s">
        <v>13</v>
      </c>
      <c r="E11">
        <v>2.5</v>
      </c>
      <c r="F11" s="2">
        <v>0.512820512820512</v>
      </c>
      <c r="G11" s="2">
        <v>0.51702228339386003</v>
      </c>
      <c r="H11" s="2">
        <v>0.56126094093165102</v>
      </c>
      <c r="I11" s="2">
        <v>0.59595959595959502</v>
      </c>
      <c r="J11" s="2">
        <v>0.54081632653061196</v>
      </c>
      <c r="K11" s="2">
        <v>2.4857588109663001E-2</v>
      </c>
      <c r="L11" s="2">
        <f>1/1.95</f>
        <v>0.51282051282051289</v>
      </c>
      <c r="M11" s="2">
        <f>(Table1[[#This Row],[poisson_likelihood]] - (1-Table1[[#This Row],[poisson_likelihood]])/(1/Table1[[#This Row],[365 implied]]-1))/4</f>
        <v>2.4857588109662987E-2</v>
      </c>
      <c r="N11" s="8">
        <f>Table1[[#This Row],[kelly/4 365]]*$W$2*$U$2</f>
        <v>52.200935030292271</v>
      </c>
      <c r="O11" s="2">
        <f>1/1.95</f>
        <v>0.51282051282051289</v>
      </c>
      <c r="P11" s="2">
        <f>(Table1[[#This Row],[poisson_likelihood]] - (1-Table1[[#This Row],[poisson_likelihood]])/(1/Table1[[#This Row],[99/pinn implied]]-1))/4</f>
        <v>2.4857588109662987E-2</v>
      </c>
      <c r="Q11" s="3">
        <f>Table1[[#This Row],[kelly/4 99]]*$W$2*$U$2</f>
        <v>52.200935030292271</v>
      </c>
      <c r="R11" t="s">
        <v>52</v>
      </c>
      <c r="S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-52.200935030292271</v>
      </c>
    </row>
    <row r="12" spans="1:25" x14ac:dyDescent="0.2">
      <c r="A12">
        <v>8132</v>
      </c>
      <c r="B12" t="s">
        <v>29</v>
      </c>
      <c r="C12" s="1">
        <v>45622</v>
      </c>
      <c r="D12" t="s">
        <v>13</v>
      </c>
      <c r="E12">
        <v>1.5</v>
      </c>
      <c r="F12" s="2">
        <v>0.50505050505050497</v>
      </c>
      <c r="G12" s="2">
        <v>0.49387579249699698</v>
      </c>
      <c r="H12" s="2">
        <v>0.55115084671407499</v>
      </c>
      <c r="I12" s="2">
        <v>0.59880239520958001</v>
      </c>
      <c r="J12" s="2">
        <v>0.56478405315614599</v>
      </c>
      <c r="K12" s="2">
        <v>2.3285376656599101E-2</v>
      </c>
      <c r="L12" s="2">
        <f>1/1.9</f>
        <v>0.52631578947368418</v>
      </c>
      <c r="M12" s="2">
        <f>(Table1[[#This Row],[poisson_likelihood]] - (1-Table1[[#This Row],[poisson_likelihood]])/(1/Table1[[#This Row],[365 implied]]-1))/4</f>
        <v>1.3107391321317372E-2</v>
      </c>
      <c r="N12" s="3">
        <f>Table1[[#This Row],[kelly/4 365]]*$W$2*$U$2</f>
        <v>27.525521774766482</v>
      </c>
      <c r="O12" s="2">
        <f>1/2</f>
        <v>0.5</v>
      </c>
      <c r="P12" s="2">
        <f>(Table1[[#This Row],[poisson_likelihood]] - (1-Table1[[#This Row],[poisson_likelihood]])/(1/Table1[[#This Row],[99/pinn implied]]-1))/4</f>
        <v>2.5575423357037497E-2</v>
      </c>
      <c r="Q12" s="8">
        <f>Table1[[#This Row],[kelly/4 99]]*$W$2*$U$2</f>
        <v>53.708389049778745</v>
      </c>
      <c r="R12" t="s">
        <v>51</v>
      </c>
      <c r="S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53.708389049778745</v>
      </c>
    </row>
    <row r="13" spans="1:25" x14ac:dyDescent="0.2">
      <c r="A13">
        <v>8111</v>
      </c>
      <c r="B13" t="s">
        <v>19</v>
      </c>
      <c r="C13" s="1">
        <v>45622</v>
      </c>
      <c r="D13" t="s">
        <v>12</v>
      </c>
      <c r="E13">
        <v>2.5</v>
      </c>
      <c r="F13" s="2">
        <v>0.43859649122806998</v>
      </c>
      <c r="G13" s="2">
        <v>0.52953489252193997</v>
      </c>
      <c r="H13" s="2">
        <v>0.48990323750339898</v>
      </c>
      <c r="I13" s="2">
        <v>0.475138121546961</v>
      </c>
      <c r="J13" s="2">
        <v>0.43408360128617302</v>
      </c>
      <c r="K13" s="2">
        <v>2.28475354507327E-2</v>
      </c>
      <c r="L13" s="2">
        <f>1/2.32</f>
        <v>0.43103448275862072</v>
      </c>
      <c r="M13" s="2">
        <f>(Table1[[#This Row],[poisson_likelihood]] - (1-Table1[[#This Row],[poisson_likelihood]])/(1/Table1[[#This Row],[365 implied]]-1))/4</f>
        <v>2.5866574054523778E-2</v>
      </c>
      <c r="N13" s="8">
        <f>Table1[[#This Row],[kelly/4 365]]*$W$2*$U$2</f>
        <v>54.319805514499933</v>
      </c>
      <c r="O13" s="2">
        <f>1/2.3</f>
        <v>0.43478260869565222</v>
      </c>
      <c r="P13" s="2">
        <f>(Table1[[#This Row],[poisson_likelihood]] - (1-Table1[[#This Row],[poisson_likelihood]])/(1/Table1[[#This Row],[99/pinn implied]]-1))/4</f>
        <v>2.4380278126503369E-2</v>
      </c>
      <c r="Q13" s="3">
        <f>Table1[[#This Row],[kelly/4 99]]*$W$2*$U$2</f>
        <v>51.198584065657073</v>
      </c>
      <c r="R13" t="s">
        <v>52</v>
      </c>
      <c r="S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-54.319805514499933</v>
      </c>
    </row>
    <row r="14" spans="1:25" x14ac:dyDescent="0.2">
      <c r="A14">
        <v>8113</v>
      </c>
      <c r="B14" t="s">
        <v>20</v>
      </c>
      <c r="C14" s="1">
        <v>45622</v>
      </c>
      <c r="D14" t="s">
        <v>12</v>
      </c>
      <c r="E14">
        <v>2.5</v>
      </c>
      <c r="F14" s="2">
        <v>0.39215686274509798</v>
      </c>
      <c r="G14" s="2">
        <v>0.46717433001481301</v>
      </c>
      <c r="H14" s="2">
        <v>0.42241885868734902</v>
      </c>
      <c r="I14" s="2">
        <v>0.46625766871165603</v>
      </c>
      <c r="J14" s="2">
        <v>0.43986254295532601</v>
      </c>
      <c r="K14" s="2">
        <v>1.24464660730226E-2</v>
      </c>
      <c r="L14" s="2">
        <f>1/2.5</f>
        <v>0.4</v>
      </c>
      <c r="M14" s="2">
        <f>(Table1[[#This Row],[poisson_likelihood]] - (1-Table1[[#This Row],[poisson_likelihood]])/(1/Table1[[#This Row],[365 implied]]-1))/4</f>
        <v>9.3411911197287534E-3</v>
      </c>
      <c r="N14" s="8">
        <f>Table1[[#This Row],[kelly/4 365]]*$W$2*$U$2</f>
        <v>19.616501351430383</v>
      </c>
      <c r="O14" s="2">
        <f>Table1[[#This Row],[365 implied]]</f>
        <v>0.4</v>
      </c>
      <c r="P14" s="2">
        <f>(Table1[[#This Row],[poisson_likelihood]] - (1-Table1[[#This Row],[poisson_likelihood]])/(1/Table1[[#This Row],[99/pinn implied]]-1))/4</f>
        <v>9.3411911197287534E-3</v>
      </c>
      <c r="Q14" s="3">
        <f>Table1[[#This Row],[kelly/4 99]]*$W$2*$U$2</f>
        <v>19.616501351430383</v>
      </c>
      <c r="R14" t="s">
        <v>51</v>
      </c>
      <c r="S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29.424752027145576</v>
      </c>
    </row>
    <row r="15" spans="1:25" x14ac:dyDescent="0.2">
      <c r="A15">
        <v>8109</v>
      </c>
      <c r="B15" t="s">
        <v>18</v>
      </c>
      <c r="C15" s="1">
        <v>45622</v>
      </c>
      <c r="D15" t="s">
        <v>12</v>
      </c>
      <c r="E15">
        <v>1.5</v>
      </c>
      <c r="F15" s="2">
        <v>0.60606060606060597</v>
      </c>
      <c r="G15" s="2">
        <v>0.64705350948964202</v>
      </c>
      <c r="H15" s="2">
        <v>0.61581980224429</v>
      </c>
      <c r="I15" s="2">
        <v>0.62146892655367203</v>
      </c>
      <c r="J15" s="2">
        <v>0.591503267973856</v>
      </c>
      <c r="K15" s="2">
        <v>6.1933360396459703E-3</v>
      </c>
      <c r="L15" s="2">
        <f>1/1.62</f>
        <v>0.61728395061728392</v>
      </c>
      <c r="M15" s="2">
        <f>(Table1[[#This Row],[poisson_likelihood]] - (1-Table1[[#This Row],[poisson_likelihood]])/(1/Table1[[#This Row],[365 implied]]-1))/4</f>
        <v>-9.5641950171376777E-4</v>
      </c>
      <c r="N15" s="3">
        <f>Table1[[#This Row],[kelly/4 365]]*$W$2*$U$2</f>
        <v>-2.0084809535989123</v>
      </c>
      <c r="P15" s="2" t="e">
        <f>(Table1[[#This Row],[poisson_likelihood]] - (1-Table1[[#This Row],[poisson_likelihood]])/(1/Table1[[#This Row],[99/pinn implied]]-1))/4</f>
        <v>#DIV/0!</v>
      </c>
      <c r="Q15" s="3" t="e">
        <f>Table1[[#This Row],[kelly/4 99]]*$W$2*$U$2</f>
        <v>#DIV/0!</v>
      </c>
      <c r="S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" spans="1:25" x14ac:dyDescent="0.2">
      <c r="A16">
        <v>8118</v>
      </c>
      <c r="B16" t="s">
        <v>22</v>
      </c>
      <c r="C16" s="1">
        <v>45622</v>
      </c>
      <c r="D16" t="s">
        <v>13</v>
      </c>
      <c r="E16">
        <v>1.5</v>
      </c>
      <c r="F16" s="2">
        <v>0.42372881355932202</v>
      </c>
      <c r="G16" s="2">
        <v>0.38632805616591598</v>
      </c>
      <c r="H16" s="2">
        <v>0.43401272704403998</v>
      </c>
      <c r="I16" s="2">
        <v>0.46153846153846101</v>
      </c>
      <c r="J16" s="2">
        <v>0.42993630573248398</v>
      </c>
      <c r="K16" s="2">
        <v>4.4614036441059301E-3</v>
      </c>
      <c r="L16" s="2">
        <f>1/2.4</f>
        <v>0.41666666666666669</v>
      </c>
      <c r="M16" s="2">
        <f>(Table1[[#This Row],[poisson_likelihood]] - (1-Table1[[#This Row],[poisson_likelihood]])/(1/Table1[[#This Row],[365 implied]]-1))/4</f>
        <v>7.4340258760171168E-3</v>
      </c>
      <c r="N16" s="8">
        <f>Table1[[#This Row],[kelly/4 365]]*$W$2*$U$2</f>
        <v>15.611454339635946</v>
      </c>
      <c r="O16" s="2">
        <f>Table1[[#This Row],[365 implied]]</f>
        <v>0.41666666666666669</v>
      </c>
      <c r="P16" s="2">
        <f>(Table1[[#This Row],[poisson_likelihood]] - (1-Table1[[#This Row],[poisson_likelihood]])/(1/Table1[[#This Row],[99/pinn implied]]-1))/4</f>
        <v>7.4340258760171168E-3</v>
      </c>
      <c r="Q16" s="3">
        <f>Table1[[#This Row],[kelly/4 99]]*$W$2*$U$2</f>
        <v>15.611454339635946</v>
      </c>
      <c r="R16" t="s">
        <v>52</v>
      </c>
      <c r="S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-15.611454339635946</v>
      </c>
    </row>
    <row r="17" spans="1:19" x14ac:dyDescent="0.2">
      <c r="A17">
        <v>8140</v>
      </c>
      <c r="B17" t="s">
        <v>33</v>
      </c>
      <c r="C17" s="1">
        <v>45622</v>
      </c>
      <c r="D17" t="s">
        <v>13</v>
      </c>
      <c r="E17">
        <v>1.5</v>
      </c>
      <c r="F17" s="2">
        <v>0.40322580645161199</v>
      </c>
      <c r="G17" s="2">
        <v>0.35595658484848403</v>
      </c>
      <c r="H17" s="2">
        <v>0.400353131706637</v>
      </c>
      <c r="I17" s="2">
        <v>0.39263803680981502</v>
      </c>
      <c r="J17" s="2">
        <v>0.39455782312925097</v>
      </c>
      <c r="K17" s="2">
        <v>-1.2034177985707E-3</v>
      </c>
      <c r="M17" s="2" t="e">
        <f>(Table1[[#This Row],[poisson_likelihood]] - (1-Table1[[#This Row],[poisson_likelihood]])/(1/Table1[[#This Row],[365 implied]]-1))/4</f>
        <v>#DIV/0!</v>
      </c>
      <c r="N17" s="3" t="e">
        <f>Table1[[#This Row],[kelly/4 365]]*$W$2*$U$2</f>
        <v>#DIV/0!</v>
      </c>
      <c r="P17" s="2" t="e">
        <f>(Table1[[#This Row],[poisson_likelihood]] - (1-Table1[[#This Row],[poisson_likelihood]])/(1/Table1[[#This Row],[99/pinn implied]]-1))/4</f>
        <v>#DIV/0!</v>
      </c>
      <c r="Q17" s="3" t="e">
        <f>Table1[[#This Row],[kelly/4 99]]*$W$2*$U$2</f>
        <v>#DIV/0!</v>
      </c>
      <c r="S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" spans="1:19" x14ac:dyDescent="0.2">
      <c r="A18">
        <v>8121</v>
      </c>
      <c r="B18" t="s">
        <v>24</v>
      </c>
      <c r="C18" s="1">
        <v>45622</v>
      </c>
      <c r="D18" t="s">
        <v>12</v>
      </c>
      <c r="E18">
        <v>1.5</v>
      </c>
      <c r="F18" s="2">
        <v>0.58823529411764697</v>
      </c>
      <c r="G18" s="2">
        <v>0.62354985826463105</v>
      </c>
      <c r="H18" s="2">
        <v>0.58566892228524103</v>
      </c>
      <c r="I18" s="2">
        <v>0.59558823529411697</v>
      </c>
      <c r="J18" s="2">
        <v>0.552036199095022</v>
      </c>
      <c r="K18" s="2">
        <v>-1.55815432681746E-3</v>
      </c>
      <c r="M18" s="2" t="e">
        <f>(Table1[[#This Row],[poisson_likelihood]] - (1-Table1[[#This Row],[poisson_likelihood]])/(1/Table1[[#This Row],[365 implied]]-1))/4</f>
        <v>#DIV/0!</v>
      </c>
      <c r="N18" s="3" t="e">
        <f>Table1[[#This Row],[kelly/4 365]]*$W$2*$U$2</f>
        <v>#DIV/0!</v>
      </c>
      <c r="P18" s="2" t="e">
        <f>(Table1[[#This Row],[poisson_likelihood]] - (1-Table1[[#This Row],[poisson_likelihood]])/(1/Table1[[#This Row],[99/pinn implied]]-1))/4</f>
        <v>#DIV/0!</v>
      </c>
      <c r="Q18" s="3" t="e">
        <f>Table1[[#This Row],[kelly/4 99]]*$W$2*$U$2</f>
        <v>#DIV/0!</v>
      </c>
      <c r="S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" spans="1:19" x14ac:dyDescent="0.2">
      <c r="A19">
        <v>8102</v>
      </c>
      <c r="B19" t="s">
        <v>14</v>
      </c>
      <c r="C19" s="1">
        <v>45622</v>
      </c>
      <c r="D19" t="s">
        <v>13</v>
      </c>
      <c r="E19">
        <v>2.5</v>
      </c>
      <c r="F19" s="2">
        <v>0.56497175141242895</v>
      </c>
      <c r="G19" s="2">
        <v>0.51555772345556505</v>
      </c>
      <c r="H19" s="2">
        <v>0.56061373785851498</v>
      </c>
      <c r="I19" s="2">
        <v>0.55688622754491002</v>
      </c>
      <c r="J19" s="2">
        <v>0.57092198581560205</v>
      </c>
      <c r="K19" s="2">
        <v>-2.5044428540348298E-3</v>
      </c>
      <c r="M19" s="2" t="e">
        <f>(Table1[[#This Row],[poisson_likelihood]] - (1-Table1[[#This Row],[poisson_likelihood]])/(1/Table1[[#This Row],[365 implied]]-1))/4</f>
        <v>#DIV/0!</v>
      </c>
      <c r="N19" s="3" t="e">
        <f>Table1[[#This Row],[kelly/4 365]]*$W$2*$U$2</f>
        <v>#DIV/0!</v>
      </c>
      <c r="P19" s="2" t="e">
        <f>(Table1[[#This Row],[poisson_likelihood]] - (1-Table1[[#This Row],[poisson_likelihood]])/(1/Table1[[#This Row],[99/pinn implied]]-1))/4</f>
        <v>#DIV/0!</v>
      </c>
      <c r="Q19" s="3" t="e">
        <f>Table1[[#This Row],[kelly/4 99]]*$W$2*$U$2</f>
        <v>#DIV/0!</v>
      </c>
      <c r="S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" spans="1:19" x14ac:dyDescent="0.2">
      <c r="A20">
        <v>8127</v>
      </c>
      <c r="B20" t="s">
        <v>27</v>
      </c>
      <c r="C20" s="1">
        <v>45622</v>
      </c>
      <c r="D20" t="s">
        <v>12</v>
      </c>
      <c r="E20">
        <v>1.5</v>
      </c>
      <c r="F20" s="2">
        <v>0.60606060606060597</v>
      </c>
      <c r="G20" s="2">
        <v>0.63872153376936003</v>
      </c>
      <c r="H20" s="2">
        <v>0.60143487544955998</v>
      </c>
      <c r="I20" s="2">
        <v>0.59776536312849105</v>
      </c>
      <c r="J20" s="2">
        <v>0.59615384615384603</v>
      </c>
      <c r="K20" s="2">
        <v>-2.9355598108556299E-3</v>
      </c>
      <c r="M20" s="2" t="e">
        <f>(Table1[[#This Row],[poisson_likelihood]] - (1-Table1[[#This Row],[poisson_likelihood]])/(1/Table1[[#This Row],[365 implied]]-1))/4</f>
        <v>#DIV/0!</v>
      </c>
      <c r="N20" s="3" t="e">
        <f>Table1[[#This Row],[kelly/4 365]]*$W$2*$U$2</f>
        <v>#DIV/0!</v>
      </c>
      <c r="P20" s="2" t="e">
        <f>(Table1[[#This Row],[poisson_likelihood]] - (1-Table1[[#This Row],[poisson_likelihood]])/(1/Table1[[#This Row],[99/pinn implied]]-1))/4</f>
        <v>#DIV/0!</v>
      </c>
      <c r="Q20" s="3" t="e">
        <f>Table1[[#This Row],[kelly/4 99]]*$W$2*$U$2</f>
        <v>#DIV/0!</v>
      </c>
      <c r="S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" spans="1:19" x14ac:dyDescent="0.2">
      <c r="A21">
        <v>8142</v>
      </c>
      <c r="B21" t="s">
        <v>34</v>
      </c>
      <c r="C21" s="1">
        <v>45622</v>
      </c>
      <c r="D21" t="s">
        <v>13</v>
      </c>
      <c r="E21">
        <v>2.5</v>
      </c>
      <c r="F21" s="2">
        <v>0.63694267515923497</v>
      </c>
      <c r="G21" s="2">
        <v>0.58977033800751</v>
      </c>
      <c r="H21" s="2">
        <v>0.63121089183920998</v>
      </c>
      <c r="I21" s="2">
        <v>0.65760869565217395</v>
      </c>
      <c r="J21" s="2">
        <v>0.661392405063291</v>
      </c>
      <c r="K21" s="2">
        <v>-3.94688588264888E-3</v>
      </c>
      <c r="M21" s="2" t="e">
        <f>(Table1[[#This Row],[poisson_likelihood]] - (1-Table1[[#This Row],[poisson_likelihood]])/(1/Table1[[#This Row],[365 implied]]-1))/4</f>
        <v>#DIV/0!</v>
      </c>
      <c r="N21" s="3" t="e">
        <f>Table1[[#This Row],[kelly/4 365]]*$W$2*$U$2</f>
        <v>#DIV/0!</v>
      </c>
      <c r="P21" s="2" t="e">
        <f>(Table1[[#This Row],[poisson_likelihood]] - (1-Table1[[#This Row],[poisson_likelihood]])/(1/Table1[[#This Row],[99/pinn implied]]-1))/4</f>
        <v>#DIV/0!</v>
      </c>
      <c r="Q21" s="3" t="e">
        <f>Table1[[#This Row],[kelly/4 99]]*$W$2*$U$2</f>
        <v>#DIV/0!</v>
      </c>
      <c r="S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" spans="1:19" x14ac:dyDescent="0.2">
      <c r="A22">
        <v>8104</v>
      </c>
      <c r="B22" t="s">
        <v>15</v>
      </c>
      <c r="C22" s="1">
        <v>45622</v>
      </c>
      <c r="D22" t="s">
        <v>13</v>
      </c>
      <c r="E22">
        <v>1.5</v>
      </c>
      <c r="F22" s="2">
        <v>0.46296296296296202</v>
      </c>
      <c r="G22" s="2">
        <v>0.41199675094316601</v>
      </c>
      <c r="H22" s="2">
        <v>0.45401108045858701</v>
      </c>
      <c r="I22" s="2">
        <v>0.48466257668711599</v>
      </c>
      <c r="J22" s="2">
        <v>0.46391752577319501</v>
      </c>
      <c r="K22" s="2">
        <v>-4.1672556485886601E-3</v>
      </c>
      <c r="M22" s="2" t="e">
        <f>(Table1[[#This Row],[poisson_likelihood]] - (1-Table1[[#This Row],[poisson_likelihood]])/(1/Table1[[#This Row],[365 implied]]-1))/4</f>
        <v>#DIV/0!</v>
      </c>
      <c r="N22" s="3" t="e">
        <f>Table1[[#This Row],[kelly/4 365]]*$W$2*$U$2</f>
        <v>#DIV/0!</v>
      </c>
      <c r="P22" s="2" t="e">
        <f>(Table1[[#This Row],[poisson_likelihood]] - (1-Table1[[#This Row],[poisson_likelihood]])/(1/Table1[[#This Row],[99/pinn implied]]-1))/4</f>
        <v>#DIV/0!</v>
      </c>
      <c r="Q22" s="3" t="e">
        <f>Table1[[#This Row],[kelly/4 99]]*$W$2*$U$2</f>
        <v>#DIV/0!</v>
      </c>
      <c r="S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" spans="1:19" x14ac:dyDescent="0.2">
      <c r="A23">
        <v>8144</v>
      </c>
      <c r="B23" t="s">
        <v>35</v>
      </c>
      <c r="C23" s="1">
        <v>45622</v>
      </c>
      <c r="D23" t="s">
        <v>13</v>
      </c>
      <c r="E23">
        <v>1.5</v>
      </c>
      <c r="F23" s="2">
        <v>0.40983606557377</v>
      </c>
      <c r="G23" s="2">
        <v>0.35459196825017297</v>
      </c>
      <c r="H23" s="2">
        <v>0.391304651490535</v>
      </c>
      <c r="I23" s="2">
        <v>0.38059701492537301</v>
      </c>
      <c r="J23" s="2">
        <v>0.390804597701149</v>
      </c>
      <c r="K23" s="2">
        <v>-7.8501129102591799E-3</v>
      </c>
      <c r="M23" s="2" t="e">
        <f>(Table1[[#This Row],[poisson_likelihood]] - (1-Table1[[#This Row],[poisson_likelihood]])/(1/Table1[[#This Row],[365 implied]]-1))/4</f>
        <v>#DIV/0!</v>
      </c>
      <c r="N23" s="3" t="e">
        <f>Table1[[#This Row],[kelly/4 365]]*$W$2*$U$2</f>
        <v>#DIV/0!</v>
      </c>
      <c r="P23" s="2" t="e">
        <f>(Table1[[#This Row],[poisson_likelihood]] - (1-Table1[[#This Row],[poisson_likelihood]])/(1/Table1[[#This Row],[99/pinn implied]]-1))/4</f>
        <v>#DIV/0!</v>
      </c>
      <c r="Q23" s="3" t="e">
        <f>Table1[[#This Row],[kelly/4 99]]*$W$2*$U$2</f>
        <v>#DIV/0!</v>
      </c>
      <c r="S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" spans="1:19" x14ac:dyDescent="0.2">
      <c r="A24">
        <v>8136</v>
      </c>
      <c r="B24" t="s">
        <v>31</v>
      </c>
      <c r="C24" s="1">
        <v>45622</v>
      </c>
      <c r="D24" t="s">
        <v>13</v>
      </c>
      <c r="E24">
        <v>2.5</v>
      </c>
      <c r="F24" s="2">
        <v>0.65359477124182996</v>
      </c>
      <c r="G24" s="2">
        <v>0.59864939996965405</v>
      </c>
      <c r="H24" s="2">
        <v>0.64092733472488606</v>
      </c>
      <c r="I24" s="2">
        <v>0.6</v>
      </c>
      <c r="J24" s="2">
        <v>0.64539007092198497</v>
      </c>
      <c r="K24" s="2">
        <v>-9.1420650334542095E-3</v>
      </c>
      <c r="M24" s="2" t="e">
        <f>(Table1[[#This Row],[poisson_likelihood]] - (1-Table1[[#This Row],[poisson_likelihood]])/(1/Table1[[#This Row],[365 implied]]-1))/4</f>
        <v>#DIV/0!</v>
      </c>
      <c r="N24" s="3" t="e">
        <f>Table1[[#This Row],[kelly/4 365]]*$W$2*$U$2</f>
        <v>#DIV/0!</v>
      </c>
      <c r="P24" s="2" t="e">
        <f>(Table1[[#This Row],[poisson_likelihood]] - (1-Table1[[#This Row],[poisson_likelihood]])/(1/Table1[[#This Row],[99/pinn implied]]-1))/4</f>
        <v>#DIV/0!</v>
      </c>
      <c r="Q24" s="3" t="e">
        <f>Table1[[#This Row],[kelly/4 99]]*$W$2*$U$2</f>
        <v>#DIV/0!</v>
      </c>
      <c r="S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" spans="1:19" x14ac:dyDescent="0.2">
      <c r="A25">
        <v>8124</v>
      </c>
      <c r="B25" t="s">
        <v>25</v>
      </c>
      <c r="C25" s="1">
        <v>45622</v>
      </c>
      <c r="D25" t="s">
        <v>13</v>
      </c>
      <c r="E25">
        <v>2.5</v>
      </c>
      <c r="F25" s="2">
        <v>0.50505050505050497</v>
      </c>
      <c r="G25" s="2">
        <v>0.440639729035877</v>
      </c>
      <c r="H25" s="2">
        <v>0.48297342341045502</v>
      </c>
      <c r="I25" s="2">
        <v>0.48066298342541403</v>
      </c>
      <c r="J25" s="2">
        <v>0.488745980707395</v>
      </c>
      <c r="K25" s="2">
        <v>-1.11511789916577E-2</v>
      </c>
      <c r="M25" s="2" t="e">
        <f>(Table1[[#This Row],[poisson_likelihood]] - (1-Table1[[#This Row],[poisson_likelihood]])/(1/Table1[[#This Row],[365 implied]]-1))/4</f>
        <v>#DIV/0!</v>
      </c>
      <c r="N25" s="3" t="e">
        <f>Table1[[#This Row],[kelly/4 365]]*$W$2*$U$2</f>
        <v>#DIV/0!</v>
      </c>
      <c r="P25" s="2" t="e">
        <f>(Table1[[#This Row],[poisson_likelihood]] - (1-Table1[[#This Row],[poisson_likelihood]])/(1/Table1[[#This Row],[99/pinn implied]]-1))/4</f>
        <v>#DIV/0!</v>
      </c>
      <c r="Q25" s="3" t="e">
        <f>Table1[[#This Row],[kelly/4 99]]*$W$2*$U$2</f>
        <v>#DIV/0!</v>
      </c>
      <c r="S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" spans="1:19" x14ac:dyDescent="0.2">
      <c r="A26">
        <v>8148</v>
      </c>
      <c r="B26" t="s">
        <v>37</v>
      </c>
      <c r="C26" s="1">
        <v>45622</v>
      </c>
      <c r="D26" t="s">
        <v>13</v>
      </c>
      <c r="E26">
        <v>1.5</v>
      </c>
      <c r="F26" s="2">
        <v>0.49261083743842299</v>
      </c>
      <c r="G26" s="2">
        <v>0.41592159095993197</v>
      </c>
      <c r="H26" s="2">
        <v>0.46934646573169497</v>
      </c>
      <c r="I26" s="2">
        <v>0.47499999999999998</v>
      </c>
      <c r="J26" s="2">
        <v>0.48484848484848397</v>
      </c>
      <c r="K26" s="2">
        <v>-1.14627850885095E-2</v>
      </c>
      <c r="M26" s="2" t="e">
        <f>(Table1[[#This Row],[poisson_likelihood]] - (1-Table1[[#This Row],[poisson_likelihood]])/(1/Table1[[#This Row],[365 implied]]-1))/4</f>
        <v>#DIV/0!</v>
      </c>
      <c r="N26" s="3" t="e">
        <f>Table1[[#This Row],[kelly/4 365]]*$W$2*$U$2</f>
        <v>#DIV/0!</v>
      </c>
      <c r="P26" s="2" t="e">
        <f>(Table1[[#This Row],[poisson_likelihood]] - (1-Table1[[#This Row],[poisson_likelihood]])/(1/Table1[[#This Row],[99/pinn implied]]-1))/4</f>
        <v>#DIV/0!</v>
      </c>
      <c r="Q26" s="3" t="e">
        <f>Table1[[#This Row],[kelly/4 99]]*$W$2*$U$2</f>
        <v>#DIV/0!</v>
      </c>
      <c r="S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" spans="1:19" x14ac:dyDescent="0.2">
      <c r="A27">
        <v>8099</v>
      </c>
      <c r="B27" t="s">
        <v>11</v>
      </c>
      <c r="C27" s="1">
        <v>45622</v>
      </c>
      <c r="D27" t="s">
        <v>12</v>
      </c>
      <c r="E27">
        <v>2.5</v>
      </c>
      <c r="F27" s="2">
        <v>0.50761421319796896</v>
      </c>
      <c r="G27" s="2">
        <v>0.52663536452945503</v>
      </c>
      <c r="H27" s="2">
        <v>0.48467856095397799</v>
      </c>
      <c r="I27" s="2">
        <v>0.47457627118644002</v>
      </c>
      <c r="J27" s="2">
        <v>0.50159744408945595</v>
      </c>
      <c r="K27" s="2">
        <v>-1.1645163639345899E-2</v>
      </c>
      <c r="M27" s="2" t="e">
        <f>(Table1[[#This Row],[poisson_likelihood]] - (1-Table1[[#This Row],[poisson_likelihood]])/(1/Table1[[#This Row],[365 implied]]-1))/4</f>
        <v>#DIV/0!</v>
      </c>
      <c r="N27" s="3" t="e">
        <f>Table1[[#This Row],[kelly/4 365]]*$W$2*$U$2</f>
        <v>#DIV/0!</v>
      </c>
      <c r="P27" s="2" t="e">
        <f>(Table1[[#This Row],[poisson_likelihood]] - (1-Table1[[#This Row],[poisson_likelihood]])/(1/Table1[[#This Row],[99/pinn implied]]-1))/4</f>
        <v>#DIV/0!</v>
      </c>
      <c r="Q27" s="3" t="e">
        <f>Table1[[#This Row],[kelly/4 99]]*$W$2*$U$2</f>
        <v>#DIV/0!</v>
      </c>
      <c r="S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" spans="1:19" x14ac:dyDescent="0.2">
      <c r="A28">
        <v>8135</v>
      </c>
      <c r="B28" t="s">
        <v>31</v>
      </c>
      <c r="C28" s="1">
        <v>45622</v>
      </c>
      <c r="D28" t="s">
        <v>12</v>
      </c>
      <c r="E28">
        <v>2.5</v>
      </c>
      <c r="F28" s="2">
        <v>0.40160642570281102</v>
      </c>
      <c r="G28" s="2">
        <v>0.40135060003034501</v>
      </c>
      <c r="H28" s="2">
        <v>0.359072665275113</v>
      </c>
      <c r="I28" s="2">
        <v>0.4</v>
      </c>
      <c r="J28" s="2">
        <v>0.35460992907801397</v>
      </c>
      <c r="K28" s="2">
        <v>-1.77699770914376E-2</v>
      </c>
      <c r="M28" s="2" t="e">
        <f>(Table1[[#This Row],[poisson_likelihood]] - (1-Table1[[#This Row],[poisson_likelihood]])/(1/Table1[[#This Row],[365 implied]]-1))/4</f>
        <v>#DIV/0!</v>
      </c>
      <c r="N28" s="3" t="e">
        <f>Table1[[#This Row],[kelly/4 365]]*$W$2*$U$2</f>
        <v>#DIV/0!</v>
      </c>
      <c r="P28" s="2" t="e">
        <f>(Table1[[#This Row],[poisson_likelihood]] - (1-Table1[[#This Row],[poisson_likelihood]])/(1/Table1[[#This Row],[99/pinn implied]]-1))/4</f>
        <v>#DIV/0!</v>
      </c>
      <c r="Q28" s="3" t="e">
        <f>Table1[[#This Row],[kelly/4 99]]*$W$2*$U$2</f>
        <v>#DIV/0!</v>
      </c>
      <c r="S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" spans="1:19" x14ac:dyDescent="0.2">
      <c r="A29">
        <v>8123</v>
      </c>
      <c r="B29" t="s">
        <v>25</v>
      </c>
      <c r="C29" s="1">
        <v>45622</v>
      </c>
      <c r="D29" t="s">
        <v>12</v>
      </c>
      <c r="E29">
        <v>2.5</v>
      </c>
      <c r="F29" s="2">
        <v>0.55555555555555503</v>
      </c>
      <c r="G29" s="2">
        <v>0.559360270964122</v>
      </c>
      <c r="H29" s="2">
        <v>0.51702657658954398</v>
      </c>
      <c r="I29" s="2">
        <v>0.51933701657458498</v>
      </c>
      <c r="J29" s="2">
        <v>0.51125401929260395</v>
      </c>
      <c r="K29" s="2">
        <v>-2.1672550668381099E-2</v>
      </c>
      <c r="M29" s="2" t="e">
        <f>(Table1[[#This Row],[poisson_likelihood]] - (1-Table1[[#This Row],[poisson_likelihood]])/(1/Table1[[#This Row],[365 implied]]-1))/4</f>
        <v>#DIV/0!</v>
      </c>
      <c r="N29" s="3" t="e">
        <f>Table1[[#This Row],[kelly/4 365]]*$W$2*$U$2</f>
        <v>#DIV/0!</v>
      </c>
      <c r="P29" s="2" t="e">
        <f>(Table1[[#This Row],[poisson_likelihood]] - (1-Table1[[#This Row],[poisson_likelihood]])/(1/Table1[[#This Row],[99/pinn implied]]-1))/4</f>
        <v>#DIV/0!</v>
      </c>
      <c r="Q29" s="3" t="e">
        <f>Table1[[#This Row],[kelly/4 99]]*$W$2*$U$2</f>
        <v>#DIV/0!</v>
      </c>
      <c r="S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" spans="1:19" x14ac:dyDescent="0.2">
      <c r="A30">
        <v>8100</v>
      </c>
      <c r="B30" t="s">
        <v>11</v>
      </c>
      <c r="C30" s="1">
        <v>45622</v>
      </c>
      <c r="D30" t="s">
        <v>13</v>
      </c>
      <c r="E30">
        <v>2.5</v>
      </c>
      <c r="F30" s="2">
        <v>0.55555555555555503</v>
      </c>
      <c r="G30" s="2">
        <v>0.47336463547054403</v>
      </c>
      <c r="H30" s="2">
        <v>0.51532143904602101</v>
      </c>
      <c r="I30" s="2">
        <v>0.52542372881355903</v>
      </c>
      <c r="J30" s="2">
        <v>0.498402555910543</v>
      </c>
      <c r="K30" s="2">
        <v>-2.2631690536612899E-2</v>
      </c>
      <c r="M30" s="2" t="e">
        <f>(Table1[[#This Row],[poisson_likelihood]] - (1-Table1[[#This Row],[poisson_likelihood]])/(1/Table1[[#This Row],[365 implied]]-1))/4</f>
        <v>#DIV/0!</v>
      </c>
      <c r="N30" s="3" t="e">
        <f>Table1[[#This Row],[kelly/4 365]]*$W$2*$U$2</f>
        <v>#DIV/0!</v>
      </c>
      <c r="P30" s="2" t="e">
        <f>(Table1[[#This Row],[poisson_likelihood]] - (1-Table1[[#This Row],[poisson_likelihood]])/(1/Table1[[#This Row],[99/pinn implied]]-1))/4</f>
        <v>#DIV/0!</v>
      </c>
      <c r="Q30" s="3" t="e">
        <f>Table1[[#This Row],[kelly/4 99]]*$W$2*$U$2</f>
        <v>#DIV/0!</v>
      </c>
      <c r="S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" spans="1:19" x14ac:dyDescent="0.2">
      <c r="A31">
        <v>8147</v>
      </c>
      <c r="B31" t="s">
        <v>37</v>
      </c>
      <c r="C31" s="1">
        <v>45622</v>
      </c>
      <c r="D31" t="s">
        <v>12</v>
      </c>
      <c r="E31">
        <v>1.5</v>
      </c>
      <c r="F31" s="2">
        <v>0.57142857142857095</v>
      </c>
      <c r="G31" s="2">
        <v>0.58407840904006703</v>
      </c>
      <c r="H31" s="2">
        <v>0.53065353426830497</v>
      </c>
      <c r="I31" s="2">
        <v>0.52500000000000002</v>
      </c>
      <c r="J31" s="2">
        <v>0.51515151515151503</v>
      </c>
      <c r="K31" s="2">
        <v>-2.3785438343488698E-2</v>
      </c>
      <c r="M31" s="2" t="e">
        <f>(Table1[[#This Row],[poisson_likelihood]] - (1-Table1[[#This Row],[poisson_likelihood]])/(1/Table1[[#This Row],[365 implied]]-1))/4</f>
        <v>#DIV/0!</v>
      </c>
      <c r="N31" s="3" t="e">
        <f>Table1[[#This Row],[kelly/4 365]]*$W$2*$U$2</f>
        <v>#DIV/0!</v>
      </c>
      <c r="P31" s="2" t="e">
        <f>(Table1[[#This Row],[poisson_likelihood]] - (1-Table1[[#This Row],[poisson_likelihood]])/(1/Table1[[#This Row],[99/pinn implied]]-1))/4</f>
        <v>#DIV/0!</v>
      </c>
      <c r="Q31" s="3" t="e">
        <f>Table1[[#This Row],[kelly/4 99]]*$W$2*$U$2</f>
        <v>#DIV/0!</v>
      </c>
      <c r="S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" spans="1:19" x14ac:dyDescent="0.2">
      <c r="A32">
        <v>8128</v>
      </c>
      <c r="B32" t="s">
        <v>27</v>
      </c>
      <c r="C32" s="1">
        <v>45622</v>
      </c>
      <c r="D32" t="s">
        <v>13</v>
      </c>
      <c r="E32">
        <v>1.5</v>
      </c>
      <c r="F32" s="2">
        <v>0.45248868778280499</v>
      </c>
      <c r="G32" s="2">
        <v>0.36127846623063897</v>
      </c>
      <c r="H32" s="2">
        <v>0.39856512455043902</v>
      </c>
      <c r="I32" s="2">
        <v>0.40223463687150801</v>
      </c>
      <c r="J32" s="2">
        <v>0.40384615384615302</v>
      </c>
      <c r="K32" s="2">
        <v>-2.4622122880894499E-2</v>
      </c>
      <c r="M32" s="2" t="e">
        <f>(Table1[[#This Row],[poisson_likelihood]] - (1-Table1[[#This Row],[poisson_likelihood]])/(1/Table1[[#This Row],[365 implied]]-1))/4</f>
        <v>#DIV/0!</v>
      </c>
      <c r="N32" s="3" t="e">
        <f>Table1[[#This Row],[kelly/4 365]]*$W$2*$U$2</f>
        <v>#DIV/0!</v>
      </c>
      <c r="P32" s="2" t="e">
        <f>(Table1[[#This Row],[poisson_likelihood]] - (1-Table1[[#This Row],[poisson_likelihood]])/(1/Table1[[#This Row],[99/pinn implied]]-1))/4</f>
        <v>#DIV/0!</v>
      </c>
      <c r="Q32" s="3" t="e">
        <f>Table1[[#This Row],[kelly/4 99]]*$W$2*$U$2</f>
        <v>#DIV/0!</v>
      </c>
      <c r="S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" spans="1:19" x14ac:dyDescent="0.2">
      <c r="A33">
        <v>8141</v>
      </c>
      <c r="B33" t="s">
        <v>34</v>
      </c>
      <c r="C33" s="1">
        <v>45622</v>
      </c>
      <c r="D33" t="s">
        <v>12</v>
      </c>
      <c r="E33">
        <v>2.5</v>
      </c>
      <c r="F33" s="2">
        <v>0.427350427350427</v>
      </c>
      <c r="G33" s="2">
        <v>0.410229661992489</v>
      </c>
      <c r="H33" s="2">
        <v>0.36878910816078903</v>
      </c>
      <c r="I33" s="2">
        <v>0.342391304347826</v>
      </c>
      <c r="J33" s="2">
        <v>0.338607594936708</v>
      </c>
      <c r="K33" s="2">
        <v>-2.5565949049207601E-2</v>
      </c>
      <c r="M33" s="2" t="e">
        <f>(Table1[[#This Row],[poisson_likelihood]] - (1-Table1[[#This Row],[poisson_likelihood]])/(1/Table1[[#This Row],[365 implied]]-1))/4</f>
        <v>#DIV/0!</v>
      </c>
      <c r="N33" s="3" t="e">
        <f>Table1[[#This Row],[kelly/4 365]]*$W$2*$U$2</f>
        <v>#DIV/0!</v>
      </c>
      <c r="P33" s="2" t="e">
        <f>(Table1[[#This Row],[poisson_likelihood]] - (1-Table1[[#This Row],[poisson_likelihood]])/(1/Table1[[#This Row],[99/pinn implied]]-1))/4</f>
        <v>#DIV/0!</v>
      </c>
      <c r="Q33" s="3" t="e">
        <f>Table1[[#This Row],[kelly/4 99]]*$W$2*$U$2</f>
        <v>#DIV/0!</v>
      </c>
      <c r="S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" spans="1:19" x14ac:dyDescent="0.2">
      <c r="A34">
        <v>8122</v>
      </c>
      <c r="B34" t="s">
        <v>24</v>
      </c>
      <c r="C34" s="1">
        <v>45622</v>
      </c>
      <c r="D34" t="s">
        <v>13</v>
      </c>
      <c r="E34">
        <v>1.5</v>
      </c>
      <c r="F34" s="2">
        <v>0.46948356807511699</v>
      </c>
      <c r="G34" s="2">
        <v>0.376450141735368</v>
      </c>
      <c r="H34" s="2">
        <v>0.41433107771475802</v>
      </c>
      <c r="I34" s="2">
        <v>0.40441176470588203</v>
      </c>
      <c r="J34" s="2">
        <v>0.44796380090497701</v>
      </c>
      <c r="K34" s="2">
        <v>-2.5990000988399299E-2</v>
      </c>
      <c r="M34" s="2" t="e">
        <f>(Table1[[#This Row],[poisson_likelihood]] - (1-Table1[[#This Row],[poisson_likelihood]])/(1/Table1[[#This Row],[365 implied]]-1))/4</f>
        <v>#DIV/0!</v>
      </c>
      <c r="N34" s="3" t="e">
        <f>Table1[[#This Row],[kelly/4 365]]*$W$2*$U$2</f>
        <v>#DIV/0!</v>
      </c>
      <c r="P34" s="2" t="e">
        <f>(Table1[[#This Row],[poisson_likelihood]] - (1-Table1[[#This Row],[poisson_likelihood]])/(1/Table1[[#This Row],[99/pinn implied]]-1))/4</f>
        <v>#DIV/0!</v>
      </c>
      <c r="Q34" s="3" t="e">
        <f>Table1[[#This Row],[kelly/4 99]]*$W$2*$U$2</f>
        <v>#DIV/0!</v>
      </c>
      <c r="S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5" spans="1:19" x14ac:dyDescent="0.2">
      <c r="A35">
        <v>8101</v>
      </c>
      <c r="B35" t="s">
        <v>14</v>
      </c>
      <c r="C35" s="1">
        <v>45622</v>
      </c>
      <c r="D35" t="s">
        <v>12</v>
      </c>
      <c r="E35">
        <v>2.5</v>
      </c>
      <c r="F35" s="2">
        <v>0.5</v>
      </c>
      <c r="G35" s="2">
        <v>0.484442276544434</v>
      </c>
      <c r="H35" s="2">
        <v>0.43938626214148402</v>
      </c>
      <c r="I35" s="2">
        <v>0.44311377245508898</v>
      </c>
      <c r="J35" s="2">
        <v>0.42907801418439701</v>
      </c>
      <c r="K35" s="2">
        <v>-3.03068689292578E-2</v>
      </c>
      <c r="M35" s="2" t="e">
        <f>(Table1[[#This Row],[poisson_likelihood]] - (1-Table1[[#This Row],[poisson_likelihood]])/(1/Table1[[#This Row],[365 implied]]-1))/4</f>
        <v>#DIV/0!</v>
      </c>
      <c r="N35" s="3" t="e">
        <f>Table1[[#This Row],[kelly/4 365]]*$W$2*$U$2</f>
        <v>#DIV/0!</v>
      </c>
      <c r="P35" s="2" t="e">
        <f>(Table1[[#This Row],[poisson_likelihood]] - (1-Table1[[#This Row],[poisson_likelihood]])/(1/Table1[[#This Row],[99/pinn implied]]-1))/4</f>
        <v>#DIV/0!</v>
      </c>
      <c r="Q35" s="3" t="e">
        <f>Table1[[#This Row],[kelly/4 99]]*$W$2*$U$2</f>
        <v>#DIV/0!</v>
      </c>
      <c r="S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6" spans="1:19" x14ac:dyDescent="0.2">
      <c r="A36">
        <v>8103</v>
      </c>
      <c r="B36" t="s">
        <v>15</v>
      </c>
      <c r="C36" s="1">
        <v>45622</v>
      </c>
      <c r="D36" t="s">
        <v>12</v>
      </c>
      <c r="E36">
        <v>1.5</v>
      </c>
      <c r="F36" s="2">
        <v>0.59523809523809501</v>
      </c>
      <c r="G36" s="2">
        <v>0.58800324905683299</v>
      </c>
      <c r="H36" s="2">
        <v>0.54598891954141204</v>
      </c>
      <c r="I36" s="2">
        <v>0.51533742331288301</v>
      </c>
      <c r="J36" s="2">
        <v>0.536082474226804</v>
      </c>
      <c r="K36" s="2">
        <v>-3.0418608518539201E-2</v>
      </c>
      <c r="M36" s="2" t="e">
        <f>(Table1[[#This Row],[poisson_likelihood]] - (1-Table1[[#This Row],[poisson_likelihood]])/(1/Table1[[#This Row],[365 implied]]-1))/4</f>
        <v>#DIV/0!</v>
      </c>
      <c r="N36" s="3" t="e">
        <f>Table1[[#This Row],[kelly/4 365]]*$W$2*$U$2</f>
        <v>#DIV/0!</v>
      </c>
      <c r="P36" s="2" t="e">
        <f>(Table1[[#This Row],[poisson_likelihood]] - (1-Table1[[#This Row],[poisson_likelihood]])/(1/Table1[[#This Row],[99/pinn implied]]-1))/4</f>
        <v>#DIV/0!</v>
      </c>
      <c r="Q36" s="3" t="e">
        <f>Table1[[#This Row],[kelly/4 99]]*$W$2*$U$2</f>
        <v>#DIV/0!</v>
      </c>
      <c r="S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7" spans="1:19" x14ac:dyDescent="0.2">
      <c r="A37">
        <v>8110</v>
      </c>
      <c r="B37" t="s">
        <v>18</v>
      </c>
      <c r="C37" s="1">
        <v>45622</v>
      </c>
      <c r="D37" t="s">
        <v>13</v>
      </c>
      <c r="E37">
        <v>1.5</v>
      </c>
      <c r="F37" s="2">
        <v>0.45248868778280499</v>
      </c>
      <c r="G37" s="2">
        <v>0.35294649051035698</v>
      </c>
      <c r="H37" s="2">
        <v>0.384180197755709</v>
      </c>
      <c r="I37" s="2">
        <v>0.37853107344632703</v>
      </c>
      <c r="J37" s="2">
        <v>0.40849673202614301</v>
      </c>
      <c r="K37" s="2">
        <v>-3.11904468925376E-2</v>
      </c>
      <c r="M37" s="2" t="e">
        <f>(Table1[[#This Row],[poisson_likelihood]] - (1-Table1[[#This Row],[poisson_likelihood]])/(1/Table1[[#This Row],[365 implied]]-1))/4</f>
        <v>#DIV/0!</v>
      </c>
      <c r="N37" s="3" t="e">
        <f>Table1[[#This Row],[kelly/4 365]]*$W$2*$U$2</f>
        <v>#DIV/0!</v>
      </c>
      <c r="P37" s="2" t="e">
        <f>(Table1[[#This Row],[poisson_likelihood]] - (1-Table1[[#This Row],[poisson_likelihood]])/(1/Table1[[#This Row],[99/pinn implied]]-1))/4</f>
        <v>#DIV/0!</v>
      </c>
      <c r="Q37" s="3" t="e">
        <f>Table1[[#This Row],[kelly/4 99]]*$W$2*$U$2</f>
        <v>#DIV/0!</v>
      </c>
      <c r="S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" spans="1:19" x14ac:dyDescent="0.2">
      <c r="A38">
        <v>8143</v>
      </c>
      <c r="B38" t="s">
        <v>35</v>
      </c>
      <c r="C38" s="1">
        <v>45622</v>
      </c>
      <c r="D38" t="s">
        <v>12</v>
      </c>
      <c r="E38">
        <v>1.5</v>
      </c>
      <c r="F38" s="2">
        <v>0.65359477124182996</v>
      </c>
      <c r="G38" s="2">
        <v>0.64540803174982597</v>
      </c>
      <c r="H38" s="2">
        <v>0.60869534850946405</v>
      </c>
      <c r="I38" s="2">
        <v>0.61940298507462599</v>
      </c>
      <c r="J38" s="2">
        <v>0.60919540229885005</v>
      </c>
      <c r="K38" s="2">
        <v>-3.2403828670056402E-2</v>
      </c>
      <c r="M38" s="2" t="e">
        <f>(Table1[[#This Row],[poisson_likelihood]] - (1-Table1[[#This Row],[poisson_likelihood]])/(1/Table1[[#This Row],[365 implied]]-1))/4</f>
        <v>#DIV/0!</v>
      </c>
      <c r="N38" s="3" t="e">
        <f>Table1[[#This Row],[kelly/4 365]]*$W$2*$U$2</f>
        <v>#DIV/0!</v>
      </c>
      <c r="P38" s="2" t="e">
        <f>(Table1[[#This Row],[poisson_likelihood]] - (1-Table1[[#This Row],[poisson_likelihood]])/(1/Table1[[#This Row],[99/pinn implied]]-1))/4</f>
        <v>#DIV/0!</v>
      </c>
      <c r="Q38" s="3" t="e">
        <f>Table1[[#This Row],[kelly/4 99]]*$W$2*$U$2</f>
        <v>#DIV/0!</v>
      </c>
      <c r="S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9" spans="1:19" x14ac:dyDescent="0.2">
      <c r="A39">
        <v>8139</v>
      </c>
      <c r="B39" t="s">
        <v>33</v>
      </c>
      <c r="C39" s="1">
        <v>45622</v>
      </c>
      <c r="D39" t="s">
        <v>12</v>
      </c>
      <c r="E39">
        <v>1.5</v>
      </c>
      <c r="F39" s="2">
        <v>0.65359477124182996</v>
      </c>
      <c r="G39" s="2">
        <v>0.64404341515151498</v>
      </c>
      <c r="H39" s="2">
        <v>0.599646868293362</v>
      </c>
      <c r="I39" s="2">
        <v>0.60736196319018398</v>
      </c>
      <c r="J39" s="2">
        <v>0.60544217687074797</v>
      </c>
      <c r="K39" s="2">
        <v>-3.8934099769412998E-2</v>
      </c>
      <c r="M39" s="2" t="e">
        <f>(Table1[[#This Row],[poisson_likelihood]] - (1-Table1[[#This Row],[poisson_likelihood]])/(1/Table1[[#This Row],[365 implied]]-1))/4</f>
        <v>#DIV/0!</v>
      </c>
      <c r="N39" s="3" t="e">
        <f>Table1[[#This Row],[kelly/4 365]]*$W$2*$U$2</f>
        <v>#DIV/0!</v>
      </c>
      <c r="P39" s="2" t="e">
        <f>(Table1[[#This Row],[poisson_likelihood]] - (1-Table1[[#This Row],[poisson_likelihood]])/(1/Table1[[#This Row],[99/pinn implied]]-1))/4</f>
        <v>#DIV/0!</v>
      </c>
      <c r="Q39" s="3" t="e">
        <f>Table1[[#This Row],[kelly/4 99]]*$W$2*$U$2</f>
        <v>#DIV/0!</v>
      </c>
      <c r="S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0" spans="1:19" x14ac:dyDescent="0.2">
      <c r="A40">
        <v>8150</v>
      </c>
      <c r="B40" t="s">
        <v>38</v>
      </c>
      <c r="C40" s="1">
        <v>45622</v>
      </c>
      <c r="D40" t="s">
        <v>13</v>
      </c>
      <c r="E40">
        <v>2.5</v>
      </c>
      <c r="F40" s="2">
        <v>0.45248868778280499</v>
      </c>
      <c r="G40" s="2">
        <v>0.33148345875753199</v>
      </c>
      <c r="H40" s="2">
        <v>0.34605156064972997</v>
      </c>
      <c r="I40" s="2">
        <v>0.34459459459459402</v>
      </c>
      <c r="J40" s="2">
        <v>0.38571428571428501</v>
      </c>
      <c r="K40" s="2">
        <v>-4.86004237529125E-2</v>
      </c>
      <c r="M40" s="2" t="e">
        <f>(Table1[[#This Row],[poisson_likelihood]] - (1-Table1[[#This Row],[poisson_likelihood]])/(1/Table1[[#This Row],[365 implied]]-1))/4</f>
        <v>#DIV/0!</v>
      </c>
      <c r="N40" s="3" t="e">
        <f>Table1[[#This Row],[kelly/4 365]]*$W$2*$U$2</f>
        <v>#DIV/0!</v>
      </c>
      <c r="P40" s="2" t="e">
        <f>(Table1[[#This Row],[poisson_likelihood]] - (1-Table1[[#This Row],[poisson_likelihood]])/(1/Table1[[#This Row],[99/pinn implied]]-1))/4</f>
        <v>#DIV/0!</v>
      </c>
      <c r="Q40" s="3" t="e">
        <f>Table1[[#This Row],[kelly/4 99]]*$W$2*$U$2</f>
        <v>#DIV/0!</v>
      </c>
      <c r="S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1" spans="1:19" x14ac:dyDescent="0.2">
      <c r="A41">
        <v>8117</v>
      </c>
      <c r="B41" t="s">
        <v>22</v>
      </c>
      <c r="C41" s="1">
        <v>45622</v>
      </c>
      <c r="D41" t="s">
        <v>12</v>
      </c>
      <c r="E41">
        <v>1.5</v>
      </c>
      <c r="F41" s="2">
        <v>0.63694267515923497</v>
      </c>
      <c r="G41" s="2">
        <v>0.61367194383408397</v>
      </c>
      <c r="H41" s="2">
        <v>0.56598727295595896</v>
      </c>
      <c r="I41" s="2">
        <v>0.53846153846153799</v>
      </c>
      <c r="J41" s="2">
        <v>0.57006369426751502</v>
      </c>
      <c r="K41" s="2">
        <v>-4.8859640990852597E-2</v>
      </c>
      <c r="M41" s="2" t="e">
        <f>(Table1[[#This Row],[poisson_likelihood]] - (1-Table1[[#This Row],[poisson_likelihood]])/(1/Table1[[#This Row],[365 implied]]-1))/4</f>
        <v>#DIV/0!</v>
      </c>
      <c r="N41" s="3" t="e">
        <f>Table1[[#This Row],[kelly/4 365]]*$W$2*$U$2</f>
        <v>#DIV/0!</v>
      </c>
      <c r="P41" s="2" t="e">
        <f>(Table1[[#This Row],[poisson_likelihood]] - (1-Table1[[#This Row],[poisson_likelihood]])/(1/Table1[[#This Row],[99/pinn implied]]-1))/4</f>
        <v>#DIV/0!</v>
      </c>
      <c r="Q41" s="3" t="e">
        <f>Table1[[#This Row],[kelly/4 99]]*$W$2*$U$2</f>
        <v>#DIV/0!</v>
      </c>
      <c r="S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2" spans="1:19" x14ac:dyDescent="0.2">
      <c r="A42">
        <v>8129</v>
      </c>
      <c r="B42" t="s">
        <v>28</v>
      </c>
      <c r="C42" s="1">
        <v>45622</v>
      </c>
      <c r="D42" t="s">
        <v>12</v>
      </c>
      <c r="E42">
        <v>2.5</v>
      </c>
      <c r="F42" s="2">
        <v>0.43103448275862</v>
      </c>
      <c r="G42" s="2">
        <v>0.339145579066707</v>
      </c>
      <c r="H42" s="2">
        <v>0.31028815950897998</v>
      </c>
      <c r="I42" s="2">
        <v>0.37864077669902901</v>
      </c>
      <c r="J42" s="2">
        <v>0.39662447257383898</v>
      </c>
      <c r="K42" s="2">
        <v>-5.3055202639993498E-2</v>
      </c>
      <c r="M42" s="2" t="e">
        <f>(Table1[[#This Row],[poisson_likelihood]] - (1-Table1[[#This Row],[poisson_likelihood]])/(1/Table1[[#This Row],[365 implied]]-1))/4</f>
        <v>#DIV/0!</v>
      </c>
      <c r="N42" s="3" t="e">
        <f>Table1[[#This Row],[kelly/4 365]]*$W$2*$U$2</f>
        <v>#DIV/0!</v>
      </c>
      <c r="P42" s="2" t="e">
        <f>(Table1[[#This Row],[poisson_likelihood]] - (1-Table1[[#This Row],[poisson_likelihood]])/(1/Table1[[#This Row],[99/pinn implied]]-1))/4</f>
        <v>#DIV/0!</v>
      </c>
      <c r="Q42" s="3" t="e">
        <f>Table1[[#This Row],[kelly/4 99]]*$W$2*$U$2</f>
        <v>#DIV/0!</v>
      </c>
      <c r="S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3" spans="1:19" x14ac:dyDescent="0.2">
      <c r="A43">
        <v>8115</v>
      </c>
      <c r="B43" t="s">
        <v>21</v>
      </c>
      <c r="C43" s="1">
        <v>45622</v>
      </c>
      <c r="D43" t="s">
        <v>12</v>
      </c>
      <c r="E43">
        <v>2.5</v>
      </c>
      <c r="F43" s="2">
        <v>0.40160642570281102</v>
      </c>
      <c r="G43" s="2">
        <v>0.30751103885369602</v>
      </c>
      <c r="H43" s="2">
        <v>0.26027527899049102</v>
      </c>
      <c r="I43" s="2">
        <v>0.26890756302521002</v>
      </c>
      <c r="J43" s="2">
        <v>0.27234042553191401</v>
      </c>
      <c r="K43" s="2">
        <v>-5.9046066327797901E-2</v>
      </c>
      <c r="M43" s="2" t="e">
        <f>(Table1[[#This Row],[poisson_likelihood]] - (1-Table1[[#This Row],[poisson_likelihood]])/(1/Table1[[#This Row],[365 implied]]-1))/4</f>
        <v>#DIV/0!</v>
      </c>
      <c r="N43" s="3" t="e">
        <f>Table1[[#This Row],[kelly/4 365]]*$W$2*$U$2</f>
        <v>#DIV/0!</v>
      </c>
      <c r="P43" s="2" t="e">
        <f>(Table1[[#This Row],[poisson_likelihood]] - (1-Table1[[#This Row],[poisson_likelihood]])/(1/Table1[[#This Row],[99/pinn implied]]-1))/4</f>
        <v>#DIV/0!</v>
      </c>
      <c r="Q43" s="3" t="e">
        <f>Table1[[#This Row],[kelly/4 99]]*$W$2*$U$2</f>
        <v>#DIV/0!</v>
      </c>
      <c r="S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4" spans="1:19" x14ac:dyDescent="0.2">
      <c r="A44">
        <v>8131</v>
      </c>
      <c r="B44" t="s">
        <v>29</v>
      </c>
      <c r="C44" s="1">
        <v>45622</v>
      </c>
      <c r="D44" t="s">
        <v>12</v>
      </c>
      <c r="E44">
        <v>1.5</v>
      </c>
      <c r="F44" s="2">
        <v>0.55555555555555503</v>
      </c>
      <c r="G44" s="2">
        <v>0.50612420750300202</v>
      </c>
      <c r="H44" s="2">
        <v>0.44884915328592501</v>
      </c>
      <c r="I44" s="2">
        <v>0.40119760479041899</v>
      </c>
      <c r="J44" s="2">
        <v>0.43521594684385301</v>
      </c>
      <c r="K44" s="2">
        <v>-6.0022351276667101E-2</v>
      </c>
      <c r="M44" s="2" t="e">
        <f>(Table1[[#This Row],[poisson_likelihood]] - (1-Table1[[#This Row],[poisson_likelihood]])/(1/Table1[[#This Row],[365 implied]]-1))/4</f>
        <v>#DIV/0!</v>
      </c>
      <c r="N44" s="3" t="e">
        <f>Table1[[#This Row],[kelly/4 365]]*$W$2*$U$2</f>
        <v>#DIV/0!</v>
      </c>
      <c r="P44" s="2" t="e">
        <f>(Table1[[#This Row],[poisson_likelihood]] - (1-Table1[[#This Row],[poisson_likelihood]])/(1/Table1[[#This Row],[99/pinn implied]]-1))/4</f>
        <v>#DIV/0!</v>
      </c>
      <c r="Q44" s="3" t="e">
        <f>Table1[[#This Row],[kelly/4 99]]*$W$2*$U$2</f>
        <v>#DIV/0!</v>
      </c>
      <c r="S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5" spans="1:19" x14ac:dyDescent="0.2">
      <c r="A45">
        <v>8105</v>
      </c>
      <c r="B45" t="s">
        <v>16</v>
      </c>
      <c r="C45" s="1">
        <v>45622</v>
      </c>
      <c r="D45" t="s">
        <v>12</v>
      </c>
      <c r="E45">
        <v>2.5</v>
      </c>
      <c r="F45" s="2">
        <v>0.51546391752577303</v>
      </c>
      <c r="G45" s="2">
        <v>0.436243959669462</v>
      </c>
      <c r="H45" s="2">
        <v>0.39552674478433703</v>
      </c>
      <c r="I45" s="2">
        <v>0.35164835164835101</v>
      </c>
      <c r="J45" s="2">
        <v>0.35576923076923</v>
      </c>
      <c r="K45" s="2">
        <v>-6.18824774251025E-2</v>
      </c>
      <c r="M45" s="2" t="e">
        <f>(Table1[[#This Row],[poisson_likelihood]] - (1-Table1[[#This Row],[poisson_likelihood]])/(1/Table1[[#This Row],[365 implied]]-1))/4</f>
        <v>#DIV/0!</v>
      </c>
      <c r="N45" s="3" t="e">
        <f>Table1[[#This Row],[kelly/4 365]]*$W$2*$U$2</f>
        <v>#DIV/0!</v>
      </c>
      <c r="P45" s="2" t="e">
        <f>(Table1[[#This Row],[poisson_likelihood]] - (1-Table1[[#This Row],[poisson_likelihood]])/(1/Table1[[#This Row],[99/pinn implied]]-1))/4</f>
        <v>#DIV/0!</v>
      </c>
      <c r="Q45" s="3" t="e">
        <f>Table1[[#This Row],[kelly/4 99]]*$W$2*$U$2</f>
        <v>#DIV/0!</v>
      </c>
      <c r="S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6" spans="1:19" x14ac:dyDescent="0.2">
      <c r="A46">
        <v>8114</v>
      </c>
      <c r="B46" t="s">
        <v>20</v>
      </c>
      <c r="C46" s="1">
        <v>45622</v>
      </c>
      <c r="D46" t="s">
        <v>13</v>
      </c>
      <c r="E46">
        <v>2.5</v>
      </c>
      <c r="F46" s="2">
        <v>0.66225165562913901</v>
      </c>
      <c r="G46" s="2">
        <v>0.53282566998518599</v>
      </c>
      <c r="H46" s="2">
        <v>0.57758114131265004</v>
      </c>
      <c r="I46" s="2">
        <v>0.53374233128834303</v>
      </c>
      <c r="J46" s="2">
        <v>0.56013745704467299</v>
      </c>
      <c r="K46" s="2">
        <v>-6.2672782655831899E-2</v>
      </c>
      <c r="M46" s="2" t="e">
        <f>(Table1[[#This Row],[poisson_likelihood]] - (1-Table1[[#This Row],[poisson_likelihood]])/(1/Table1[[#This Row],[365 implied]]-1))/4</f>
        <v>#DIV/0!</v>
      </c>
      <c r="N46" s="3" t="e">
        <f>Table1[[#This Row],[kelly/4 365]]*$W$2*$U$2</f>
        <v>#DIV/0!</v>
      </c>
      <c r="P46" s="2" t="e">
        <f>(Table1[[#This Row],[poisson_likelihood]] - (1-Table1[[#This Row],[poisson_likelihood]])/(1/Table1[[#This Row],[99/pinn implied]]-1))/4</f>
        <v>#DIV/0!</v>
      </c>
      <c r="Q46" s="3" t="e">
        <f>Table1[[#This Row],[kelly/4 99]]*$W$2*$U$2</f>
        <v>#DIV/0!</v>
      </c>
      <c r="S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7" spans="1:19" x14ac:dyDescent="0.2">
      <c r="A47">
        <v>8108</v>
      </c>
      <c r="B47" t="s">
        <v>17</v>
      </c>
      <c r="C47" s="1">
        <v>45622</v>
      </c>
      <c r="D47" t="s">
        <v>13</v>
      </c>
      <c r="E47">
        <v>3.5</v>
      </c>
      <c r="F47" s="2">
        <v>0.46511627906976699</v>
      </c>
      <c r="G47" s="2">
        <v>0.31415568864726701</v>
      </c>
      <c r="H47" s="2">
        <v>0.32945869883360002</v>
      </c>
      <c r="I47" s="2">
        <v>0.30645161290322498</v>
      </c>
      <c r="J47" s="2">
        <v>0.32608695652173902</v>
      </c>
      <c r="K47" s="2">
        <v>-6.3405173371251802E-2</v>
      </c>
      <c r="M47" s="2" t="e">
        <f>(Table1[[#This Row],[poisson_likelihood]] - (1-Table1[[#This Row],[poisson_likelihood]])/(1/Table1[[#This Row],[365 implied]]-1))/4</f>
        <v>#DIV/0!</v>
      </c>
      <c r="N47" s="3" t="e">
        <f>Table1[[#This Row],[kelly/4 365]]*$W$2*$U$2</f>
        <v>#DIV/0!</v>
      </c>
      <c r="P47" s="2" t="e">
        <f>(Table1[[#This Row],[poisson_likelihood]] - (1-Table1[[#This Row],[poisson_likelihood]])/(1/Table1[[#This Row],[99/pinn implied]]-1))/4</f>
        <v>#DIV/0!</v>
      </c>
      <c r="Q47" s="3" t="e">
        <f>Table1[[#This Row],[kelly/4 99]]*$W$2*$U$2</f>
        <v>#DIV/0!</v>
      </c>
      <c r="S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8" spans="1:19" x14ac:dyDescent="0.2">
      <c r="A48">
        <v>8125</v>
      </c>
      <c r="B48" t="s">
        <v>26</v>
      </c>
      <c r="C48" s="1">
        <v>45622</v>
      </c>
      <c r="D48" t="s">
        <v>12</v>
      </c>
      <c r="E48">
        <v>2.5</v>
      </c>
      <c r="F48" s="2">
        <v>0.55248618784530301</v>
      </c>
      <c r="G48" s="2">
        <v>0.48297771660613897</v>
      </c>
      <c r="H48" s="2">
        <v>0.43873905906834798</v>
      </c>
      <c r="I48" s="2">
        <v>0.40404040404040398</v>
      </c>
      <c r="J48" s="2">
        <v>0.45918367346938699</v>
      </c>
      <c r="K48" s="2">
        <v>-6.3543920705644602E-2</v>
      </c>
      <c r="M48" s="2" t="e">
        <f>(Table1[[#This Row],[poisson_likelihood]] - (1-Table1[[#This Row],[poisson_likelihood]])/(1/Table1[[#This Row],[365 implied]]-1))/4</f>
        <v>#DIV/0!</v>
      </c>
      <c r="N48" s="3" t="e">
        <f>Table1[[#This Row],[kelly/4 365]]*$W$2*$U$2</f>
        <v>#DIV/0!</v>
      </c>
      <c r="P48" s="2" t="e">
        <f>(Table1[[#This Row],[poisson_likelihood]] - (1-Table1[[#This Row],[poisson_likelihood]])/(1/Table1[[#This Row],[99/pinn implied]]-1))/4</f>
        <v>#DIV/0!</v>
      </c>
      <c r="Q48" s="3" t="e">
        <f>Table1[[#This Row],[kelly/4 99]]*$W$2*$U$2</f>
        <v>#DIV/0!</v>
      </c>
      <c r="S4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9" spans="1:19" x14ac:dyDescent="0.2">
      <c r="A49">
        <v>8137</v>
      </c>
      <c r="B49" t="s">
        <v>32</v>
      </c>
      <c r="C49" s="1">
        <v>45622</v>
      </c>
      <c r="D49" t="s">
        <v>12</v>
      </c>
      <c r="E49">
        <v>2.5</v>
      </c>
      <c r="F49" s="2">
        <v>0.40650406504065001</v>
      </c>
      <c r="G49" s="2">
        <v>0.26397433938721498</v>
      </c>
      <c r="H49" s="2">
        <v>0.25070931082157599</v>
      </c>
      <c r="I49" s="2">
        <v>0.25373134328358199</v>
      </c>
      <c r="J49" s="2">
        <v>0.218181818181818</v>
      </c>
      <c r="K49" s="2">
        <v>-6.5625872496390597E-2</v>
      </c>
      <c r="M49" s="2" t="e">
        <f>(Table1[[#This Row],[poisson_likelihood]] - (1-Table1[[#This Row],[poisson_likelihood]])/(1/Table1[[#This Row],[365 implied]]-1))/4</f>
        <v>#DIV/0!</v>
      </c>
      <c r="N49" s="3" t="e">
        <f>Table1[[#This Row],[kelly/4 365]]*$W$2*$U$2</f>
        <v>#DIV/0!</v>
      </c>
      <c r="P49" s="2" t="e">
        <f>(Table1[[#This Row],[poisson_likelihood]] - (1-Table1[[#This Row],[poisson_likelihood]])/(1/Table1[[#This Row],[99/pinn implied]]-1))/4</f>
        <v>#DIV/0!</v>
      </c>
      <c r="Q49" s="3" t="e">
        <f>Table1[[#This Row],[kelly/4 99]]*$W$2*$U$2</f>
        <v>#DIV/0!</v>
      </c>
      <c r="S4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0" spans="1:19" x14ac:dyDescent="0.2">
      <c r="A50">
        <v>8112</v>
      </c>
      <c r="B50" t="s">
        <v>19</v>
      </c>
      <c r="C50" s="1">
        <v>45622</v>
      </c>
      <c r="D50" t="s">
        <v>13</v>
      </c>
      <c r="E50">
        <v>2.5</v>
      </c>
      <c r="F50" s="2">
        <v>0.61728395061728303</v>
      </c>
      <c r="G50" s="2">
        <v>0.47046510747805897</v>
      </c>
      <c r="H50" s="2">
        <v>0.51009676249659996</v>
      </c>
      <c r="I50" s="2">
        <v>0.524861878453038</v>
      </c>
      <c r="J50" s="2">
        <v>0.56591639871382604</v>
      </c>
      <c r="K50" s="2">
        <v>-7.0017437401414306E-2</v>
      </c>
      <c r="M50" s="2" t="e">
        <f>(Table1[[#This Row],[poisson_likelihood]] - (1-Table1[[#This Row],[poisson_likelihood]])/(1/Table1[[#This Row],[365 implied]]-1))/4</f>
        <v>#DIV/0!</v>
      </c>
      <c r="N50" s="3" t="e">
        <f>Table1[[#This Row],[kelly/4 365]]*$W$2*$U$2</f>
        <v>#DIV/0!</v>
      </c>
      <c r="P50" s="2" t="e">
        <f>(Table1[[#This Row],[poisson_likelihood]] - (1-Table1[[#This Row],[poisson_likelihood]])/(1/Table1[[#This Row],[99/pinn implied]]-1))/4</f>
        <v>#DIV/0!</v>
      </c>
      <c r="Q50" s="3" t="e">
        <f>Table1[[#This Row],[kelly/4 99]]*$W$2*$U$2</f>
        <v>#DIV/0!</v>
      </c>
      <c r="S5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1" spans="1:19" x14ac:dyDescent="0.2">
      <c r="A51">
        <v>8119</v>
      </c>
      <c r="B51" t="s">
        <v>23</v>
      </c>
      <c r="C51" s="1">
        <v>45622</v>
      </c>
      <c r="D51" t="s">
        <v>12</v>
      </c>
      <c r="E51">
        <v>2.5</v>
      </c>
      <c r="F51" s="2">
        <v>0.58823529411764697</v>
      </c>
      <c r="G51" s="2">
        <v>0.50864143557598696</v>
      </c>
      <c r="H51" s="2">
        <v>0.46559782829927998</v>
      </c>
      <c r="I51" s="2">
        <v>0.40223463687150801</v>
      </c>
      <c r="J51" s="2">
        <v>0.44660194174757201</v>
      </c>
      <c r="K51" s="2">
        <v>-7.4458461389722799E-2</v>
      </c>
      <c r="M51" s="2" t="e">
        <f>(Table1[[#This Row],[poisson_likelihood]] - (1-Table1[[#This Row],[poisson_likelihood]])/(1/Table1[[#This Row],[365 implied]]-1))/4</f>
        <v>#DIV/0!</v>
      </c>
      <c r="N51" s="3" t="e">
        <f>Table1[[#This Row],[kelly/4 365]]*$W$2*$U$2</f>
        <v>#DIV/0!</v>
      </c>
      <c r="P51" s="2" t="e">
        <f>(Table1[[#This Row],[poisson_likelihood]] - (1-Table1[[#This Row],[poisson_likelihood]])/(1/Table1[[#This Row],[99/pinn implied]]-1))/4</f>
        <v>#DIV/0!</v>
      </c>
      <c r="Q51" s="3" t="e">
        <f>Table1[[#This Row],[kelly/4 99]]*$W$2*$U$2</f>
        <v>#DIV/0!</v>
      </c>
      <c r="S5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2" spans="1:19" x14ac:dyDescent="0.2">
      <c r="A52">
        <v>8145</v>
      </c>
      <c r="B52" t="s">
        <v>36</v>
      </c>
      <c r="C52" s="1">
        <v>45622</v>
      </c>
      <c r="D52" t="s">
        <v>12</v>
      </c>
      <c r="E52">
        <v>1.5</v>
      </c>
      <c r="F52" s="2">
        <v>0.60606060606060597</v>
      </c>
      <c r="G52" s="2">
        <v>0.52806597613989403</v>
      </c>
      <c r="H52" s="2">
        <v>0.47764017965959099</v>
      </c>
      <c r="I52" s="2">
        <v>0.42028985507246303</v>
      </c>
      <c r="J52" s="2">
        <v>0.42803030303030298</v>
      </c>
      <c r="K52" s="2">
        <v>-8.1497578292951803E-2</v>
      </c>
      <c r="M52" s="2" t="e">
        <f>(Table1[[#This Row],[poisson_likelihood]] - (1-Table1[[#This Row],[poisson_likelihood]])/(1/Table1[[#This Row],[365 implied]]-1))/4</f>
        <v>#DIV/0!</v>
      </c>
      <c r="N52" s="3" t="e">
        <f>Table1[[#This Row],[kelly/4 365]]*$W$2*$U$2</f>
        <v>#DIV/0!</v>
      </c>
      <c r="P52" s="2" t="e">
        <f>(Table1[[#This Row],[poisson_likelihood]] - (1-Table1[[#This Row],[poisson_likelihood]])/(1/Table1[[#This Row],[99/pinn implied]]-1))/4</f>
        <v>#DIV/0!</v>
      </c>
      <c r="Q52" s="3" t="e">
        <f>Table1[[#This Row],[kelly/4 99]]*$W$2*$U$2</f>
        <v>#DIV/0!</v>
      </c>
      <c r="S5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3" spans="1:19" x14ac:dyDescent="0.2">
      <c r="A53">
        <v>8133</v>
      </c>
      <c r="B53" t="s">
        <v>30</v>
      </c>
      <c r="C53" s="1">
        <v>45622</v>
      </c>
      <c r="D53" t="s">
        <v>12</v>
      </c>
      <c r="E53">
        <v>1.5</v>
      </c>
      <c r="F53" s="2">
        <v>0.57471264367816</v>
      </c>
      <c r="G53" s="2">
        <v>0.47920030786015</v>
      </c>
      <c r="H53" s="2">
        <v>0.42092672135244702</v>
      </c>
      <c r="I53" s="2">
        <v>0.34736842105263099</v>
      </c>
      <c r="J53" s="2">
        <v>0.37264150943396201</v>
      </c>
      <c r="K53" s="2">
        <v>-9.0401184069844903E-2</v>
      </c>
      <c r="M53" s="2" t="e">
        <f>(Table1[[#This Row],[poisson_likelihood]] - (1-Table1[[#This Row],[poisson_likelihood]])/(1/Table1[[#This Row],[365 implied]]-1))/4</f>
        <v>#DIV/0!</v>
      </c>
      <c r="N53" s="3" t="e">
        <f>Table1[[#This Row],[kelly/4 365]]*$W$2*$U$2</f>
        <v>#DIV/0!</v>
      </c>
      <c r="P53" s="2" t="e">
        <f>(Table1[[#This Row],[poisson_likelihood]] - (1-Table1[[#This Row],[poisson_likelihood]])/(1/Table1[[#This Row],[99/pinn implied]]-1))/4</f>
        <v>#DIV/0!</v>
      </c>
      <c r="Q53" s="3" t="e">
        <f>Table1[[#This Row],[kelly/4 99]]*$W$2*$U$2</f>
        <v>#DIV/0!</v>
      </c>
      <c r="S5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modelled_likelihoods_weight4_te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2024-11-26T12:31:18Z</dcterms:created>
  <dcterms:modified xsi:type="dcterms:W3CDTF">2024-11-27T15:38:12Z</dcterms:modified>
</cp:coreProperties>
</file>