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emars Indonesia\Downloads\"/>
    </mc:Choice>
  </mc:AlternateContent>
  <xr:revisionPtr revIDLastSave="0" documentId="8_{B64796D3-D34D-4444-82A2-B715FF3D9B4A}" xr6:coauthVersionLast="47" xr6:coauthVersionMax="47" xr10:uidLastSave="{00000000-0000-0000-0000-000000000000}"/>
  <bookViews>
    <workbookView xWindow="-120" yWindow="-120" windowWidth="20730" windowHeight="11160" tabRatio="797" activeTab="4" xr2:uid="{00000000-000D-0000-FFFF-FFFF00000000}"/>
  </bookViews>
  <sheets>
    <sheet name="01" sheetId="16" r:id="rId1"/>
    <sheet name="02" sheetId="17" r:id="rId2"/>
    <sheet name="03" sheetId="14" r:id="rId3"/>
    <sheet name="04" sheetId="13" r:id="rId4"/>
    <sheet name="05" sheetId="18" r:id="rId5"/>
    <sheet name="06" sheetId="19" r:id="rId6"/>
    <sheet name="07" sheetId="20" r:id="rId7"/>
    <sheet name="08" sheetId="21" r:id="rId8"/>
    <sheet name="09" sheetId="22" r:id="rId9"/>
    <sheet name="10" sheetId="23" r:id="rId10"/>
    <sheet name="Prod Profile" sheetId="1" r:id="rId11"/>
    <sheet name="Split" sheetId="24" r:id="rId12"/>
    <sheet name="Note" sheetId="25" r:id="rId13"/>
    <sheet name="cure criteria" sheetId="27" r:id="rId14"/>
    <sheet name="Sheet1" sheetId="26" r:id="rId15"/>
  </sheets>
  <definedNames>
    <definedName name="_xlnm.Print_Area" localSheetId="0">'01'!$B$2:$N$65</definedName>
    <definedName name="_xlnm.Print_Area" localSheetId="1">'02'!$B$2:$N$66</definedName>
    <definedName name="_xlnm.Print_Area" localSheetId="2">'03'!$B$2:$S$68</definedName>
    <definedName name="_xlnm.Print_Area" localSheetId="3">'04'!$B$2:$S$68</definedName>
    <definedName name="_xlnm.Print_Area" localSheetId="4">'05'!$B$2:$O$65</definedName>
    <definedName name="_xlnm.Print_Area" localSheetId="5">'06'!$B$2:$N$65</definedName>
    <definedName name="_xlnm.Print_Area" localSheetId="6">'07'!$B$2:$S$69</definedName>
    <definedName name="_xlnm.Print_Area" localSheetId="7">'08'!$B$2:$S$68</definedName>
    <definedName name="_xlnm.Print_Area" localSheetId="8">'09'!$B$2:$J$50</definedName>
    <definedName name="_xlnm.Print_Area" localSheetId="9">'10'!$B$2:$J$50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8" l="1"/>
  <c r="F14" i="18"/>
  <c r="N27" i="18" l="1"/>
  <c r="F13" i="18" l="1"/>
  <c r="D6" i="24"/>
  <c r="E25" i="22"/>
  <c r="I25" i="22"/>
  <c r="I25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C26" i="23"/>
  <c r="I26" i="23" s="1"/>
  <c r="C27" i="23" l="1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C28" i="23" l="1"/>
  <c r="I27" i="23"/>
  <c r="L22" i="17"/>
  <c r="C29" i="23" l="1"/>
  <c r="J9" i="17"/>
  <c r="C30" i="23" l="1"/>
  <c r="J6" i="24"/>
  <c r="I6" i="24"/>
  <c r="H6" i="24"/>
  <c r="G6" i="24"/>
  <c r="F6" i="24"/>
  <c r="E6" i="24"/>
  <c r="C6" i="24"/>
  <c r="C31" i="23" l="1"/>
  <c r="G27" i="17"/>
  <c r="H25" i="13"/>
  <c r="G25" i="13"/>
  <c r="G49" i="23"/>
  <c r="J25" i="23"/>
  <c r="F25" i="23"/>
  <c r="E25" i="23"/>
  <c r="H25" i="23" s="1"/>
  <c r="C26" i="22"/>
  <c r="I26" i="22" s="1"/>
  <c r="J25" i="22"/>
  <c r="F25" i="22"/>
  <c r="H25" i="22"/>
  <c r="L17" i="16"/>
  <c r="C32" i="23" l="1"/>
  <c r="C27" i="22"/>
  <c r="I27" i="22" s="1"/>
  <c r="F26" i="23"/>
  <c r="J26" i="23"/>
  <c r="F27" i="23"/>
  <c r="E27" i="23"/>
  <c r="J27" i="23"/>
  <c r="E26" i="23"/>
  <c r="H26" i="23" s="1"/>
  <c r="E26" i="22"/>
  <c r="H26" i="22" s="1"/>
  <c r="F26" i="22"/>
  <c r="J26" i="22"/>
  <c r="C26" i="21"/>
  <c r="C27" i="21" s="1"/>
  <c r="C28" i="21" s="1"/>
  <c r="S25" i="21"/>
  <c r="H25" i="21"/>
  <c r="G25" i="21"/>
  <c r="E25" i="21"/>
  <c r="C26" i="20"/>
  <c r="S26" i="20" s="1"/>
  <c r="S25" i="20"/>
  <c r="H25" i="20"/>
  <c r="G25" i="20"/>
  <c r="E25" i="20"/>
  <c r="C28" i="19"/>
  <c r="C29" i="19" s="1"/>
  <c r="G27" i="19"/>
  <c r="E27" i="19"/>
  <c r="C28" i="18"/>
  <c r="G27" i="18"/>
  <c r="E27" i="18"/>
  <c r="G28" i="18" l="1"/>
  <c r="E28" i="18"/>
  <c r="N28" i="18"/>
  <c r="C29" i="18"/>
  <c r="C30" i="18" s="1"/>
  <c r="C33" i="23"/>
  <c r="E27" i="22"/>
  <c r="H27" i="22" s="1"/>
  <c r="F27" i="22"/>
  <c r="J27" i="22"/>
  <c r="C28" i="22"/>
  <c r="S26" i="21"/>
  <c r="H27" i="23"/>
  <c r="J28" i="23"/>
  <c r="F28" i="23"/>
  <c r="E28" i="23"/>
  <c r="C27" i="20"/>
  <c r="C28" i="20" s="1"/>
  <c r="C29" i="20" s="1"/>
  <c r="H28" i="21"/>
  <c r="G28" i="21"/>
  <c r="C29" i="21"/>
  <c r="S28" i="21"/>
  <c r="E28" i="21"/>
  <c r="E27" i="21"/>
  <c r="G27" i="21"/>
  <c r="E26" i="21"/>
  <c r="H27" i="21"/>
  <c r="G26" i="21"/>
  <c r="H26" i="21"/>
  <c r="S27" i="21"/>
  <c r="E28" i="20"/>
  <c r="G26" i="20"/>
  <c r="E26" i="20"/>
  <c r="H26" i="20"/>
  <c r="S27" i="20"/>
  <c r="C30" i="19"/>
  <c r="E29" i="19"/>
  <c r="G29" i="19"/>
  <c r="E28" i="19"/>
  <c r="G28" i="19"/>
  <c r="C26" i="13"/>
  <c r="S25" i="13"/>
  <c r="E25" i="13"/>
  <c r="H25" i="14"/>
  <c r="G25" i="14"/>
  <c r="G27" i="16"/>
  <c r="C28" i="17"/>
  <c r="E27" i="17"/>
  <c r="E30" i="18" l="1"/>
  <c r="G30" i="18"/>
  <c r="N30" i="18"/>
  <c r="E29" i="18"/>
  <c r="G29" i="18"/>
  <c r="N29" i="18"/>
  <c r="G28" i="20"/>
  <c r="H28" i="20"/>
  <c r="S28" i="20"/>
  <c r="G27" i="20"/>
  <c r="C34" i="23"/>
  <c r="H27" i="20"/>
  <c r="C29" i="22"/>
  <c r="F28" i="22"/>
  <c r="E28" i="22"/>
  <c r="H28" i="22" s="1"/>
  <c r="I28" i="22" s="1"/>
  <c r="J28" i="22"/>
  <c r="G28" i="17"/>
  <c r="H26" i="13"/>
  <c r="G26" i="13"/>
  <c r="H28" i="23"/>
  <c r="I28" i="23" s="1"/>
  <c r="F29" i="23"/>
  <c r="E29" i="23"/>
  <c r="J29" i="23"/>
  <c r="C29" i="17"/>
  <c r="E27" i="20"/>
  <c r="S29" i="21"/>
  <c r="H29" i="21"/>
  <c r="G29" i="21"/>
  <c r="E29" i="21"/>
  <c r="C30" i="21"/>
  <c r="E29" i="20"/>
  <c r="C30" i="20"/>
  <c r="S29" i="20"/>
  <c r="H29" i="20"/>
  <c r="G29" i="20"/>
  <c r="E30" i="19"/>
  <c r="C31" i="19"/>
  <c r="G30" i="19"/>
  <c r="C31" i="18"/>
  <c r="E26" i="13"/>
  <c r="S26" i="13"/>
  <c r="C27" i="13"/>
  <c r="E28" i="17"/>
  <c r="C28" i="16"/>
  <c r="E27" i="16"/>
  <c r="C26" i="14"/>
  <c r="S25" i="14"/>
  <c r="E25" i="14"/>
  <c r="E31" i="18" l="1"/>
  <c r="G31" i="18"/>
  <c r="N31" i="18"/>
  <c r="N32" i="18" s="1"/>
  <c r="C35" i="23"/>
  <c r="C36" i="23" s="1"/>
  <c r="C37" i="23" s="1"/>
  <c r="C30" i="22"/>
  <c r="F29" i="22"/>
  <c r="E29" i="22"/>
  <c r="H29" i="22" s="1"/>
  <c r="I29" i="22" s="1"/>
  <c r="J29" i="22"/>
  <c r="E29" i="17"/>
  <c r="G29" i="17"/>
  <c r="H27" i="13"/>
  <c r="G27" i="13"/>
  <c r="C30" i="17"/>
  <c r="H29" i="23"/>
  <c r="I29" i="23" s="1"/>
  <c r="E30" i="23"/>
  <c r="J30" i="23"/>
  <c r="F30" i="23"/>
  <c r="J30" i="22"/>
  <c r="E28" i="16"/>
  <c r="G28" i="16"/>
  <c r="C31" i="21"/>
  <c r="S30" i="21"/>
  <c r="G30" i="21"/>
  <c r="E30" i="21"/>
  <c r="H30" i="21"/>
  <c r="C31" i="20"/>
  <c r="S30" i="20"/>
  <c r="E30" i="20"/>
  <c r="G30" i="20"/>
  <c r="H30" i="20"/>
  <c r="G31" i="19"/>
  <c r="E31" i="19"/>
  <c r="C32" i="19"/>
  <c r="C32" i="18"/>
  <c r="C28" i="13"/>
  <c r="S27" i="13"/>
  <c r="E27" i="13"/>
  <c r="H26" i="14"/>
  <c r="G26" i="14"/>
  <c r="C29" i="16"/>
  <c r="G29" i="16" s="1"/>
  <c r="S26" i="14"/>
  <c r="E26" i="14"/>
  <c r="C27" i="14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8" i="1"/>
  <c r="E32" i="18" l="1"/>
  <c r="G32" i="18"/>
  <c r="E30" i="22"/>
  <c r="H30" i="22" s="1"/>
  <c r="I30" i="22" s="1"/>
  <c r="F30" i="22"/>
  <c r="C31" i="22"/>
  <c r="F31" i="22" s="1"/>
  <c r="C38" i="23"/>
  <c r="I37" i="23"/>
  <c r="E30" i="17"/>
  <c r="G30" i="17"/>
  <c r="H28" i="13"/>
  <c r="G28" i="13"/>
  <c r="C31" i="17"/>
  <c r="H30" i="23"/>
  <c r="I30" i="23" s="1"/>
  <c r="J31" i="23"/>
  <c r="F31" i="23"/>
  <c r="E31" i="23"/>
  <c r="G31" i="21"/>
  <c r="E31" i="21"/>
  <c r="S31" i="21"/>
  <c r="C32" i="21"/>
  <c r="H31" i="21"/>
  <c r="G31" i="20"/>
  <c r="S31" i="20"/>
  <c r="E31" i="20"/>
  <c r="C32" i="20"/>
  <c r="H31" i="20"/>
  <c r="C33" i="19"/>
  <c r="E32" i="19"/>
  <c r="G32" i="19"/>
  <c r="C33" i="18"/>
  <c r="N33" i="18" s="1"/>
  <c r="C29" i="13"/>
  <c r="S28" i="13"/>
  <c r="E28" i="13"/>
  <c r="G27" i="14"/>
  <c r="H27" i="14"/>
  <c r="E29" i="16"/>
  <c r="C30" i="16"/>
  <c r="G30" i="16" s="1"/>
  <c r="E27" i="14"/>
  <c r="S27" i="14"/>
  <c r="C28" i="14"/>
  <c r="J24" i="1"/>
  <c r="L24" i="1" s="1"/>
  <c r="N34" i="18" l="1"/>
  <c r="E33" i="18"/>
  <c r="G33" i="18"/>
  <c r="C32" i="22"/>
  <c r="E31" i="22"/>
  <c r="H31" i="22" s="1"/>
  <c r="C39" i="23"/>
  <c r="I38" i="23"/>
  <c r="I31" i="22"/>
  <c r="J31" i="22"/>
  <c r="E31" i="17"/>
  <c r="G31" i="17"/>
  <c r="G29" i="13"/>
  <c r="H29" i="13"/>
  <c r="C32" i="17"/>
  <c r="H31" i="23"/>
  <c r="I31" i="23" s="1"/>
  <c r="J32" i="23"/>
  <c r="F32" i="23"/>
  <c r="E32" i="23"/>
  <c r="F32" i="22"/>
  <c r="E32" i="22"/>
  <c r="C33" i="22"/>
  <c r="J32" i="22"/>
  <c r="C33" i="21"/>
  <c r="H32" i="21"/>
  <c r="E32" i="21"/>
  <c r="G32" i="21"/>
  <c r="S32" i="21"/>
  <c r="E32" i="20"/>
  <c r="C33" i="20"/>
  <c r="G32" i="20"/>
  <c r="S32" i="20"/>
  <c r="H32" i="20"/>
  <c r="G33" i="19"/>
  <c r="C34" i="19"/>
  <c r="E33" i="19"/>
  <c r="C34" i="18"/>
  <c r="E29" i="13"/>
  <c r="C30" i="13"/>
  <c r="S29" i="13"/>
  <c r="H28" i="14"/>
  <c r="G28" i="14"/>
  <c r="E30" i="16"/>
  <c r="C31" i="16"/>
  <c r="G31" i="16" s="1"/>
  <c r="C29" i="14"/>
  <c r="S28" i="14"/>
  <c r="E28" i="14"/>
  <c r="J25" i="1"/>
  <c r="L25" i="1" s="1"/>
  <c r="H494" i="1"/>
  <c r="H8" i="1"/>
  <c r="E34" i="18" l="1"/>
  <c r="G34" i="18"/>
  <c r="H32" i="22"/>
  <c r="I32" i="22" s="1"/>
  <c r="C40" i="23"/>
  <c r="I39" i="23"/>
  <c r="C33" i="17"/>
  <c r="G33" i="17" s="1"/>
  <c r="G32" i="17"/>
  <c r="G30" i="13"/>
  <c r="H30" i="13"/>
  <c r="E32" i="17"/>
  <c r="H32" i="23"/>
  <c r="I32" i="23" s="1"/>
  <c r="F33" i="23"/>
  <c r="E33" i="23"/>
  <c r="J33" i="23"/>
  <c r="J33" i="22"/>
  <c r="F33" i="22"/>
  <c r="E33" i="22"/>
  <c r="C34" i="22"/>
  <c r="E33" i="21"/>
  <c r="G33" i="21"/>
  <c r="C34" i="21"/>
  <c r="S33" i="21"/>
  <c r="H33" i="21"/>
  <c r="H33" i="20"/>
  <c r="G33" i="20"/>
  <c r="E33" i="20"/>
  <c r="S33" i="20"/>
  <c r="C34" i="20"/>
  <c r="G34" i="19"/>
  <c r="E34" i="19"/>
  <c r="C35" i="19"/>
  <c r="C35" i="18"/>
  <c r="C31" i="13"/>
  <c r="S30" i="13"/>
  <c r="E30" i="13"/>
  <c r="H29" i="14"/>
  <c r="G29" i="14"/>
  <c r="E33" i="17"/>
  <c r="C34" i="17"/>
  <c r="G34" i="17" s="1"/>
  <c r="E31" i="16"/>
  <c r="C32" i="16"/>
  <c r="G32" i="16" s="1"/>
  <c r="C30" i="14"/>
  <c r="S29" i="14"/>
  <c r="E29" i="14"/>
  <c r="J26" i="1"/>
  <c r="L26" i="1" s="1"/>
  <c r="G35" i="18" l="1"/>
  <c r="E35" i="18"/>
  <c r="N35" i="18"/>
  <c r="H33" i="22"/>
  <c r="I33" i="22" s="1"/>
  <c r="C41" i="23"/>
  <c r="I40" i="23"/>
  <c r="G31" i="13"/>
  <c r="H31" i="13"/>
  <c r="H33" i="23"/>
  <c r="I33" i="23" s="1"/>
  <c r="E34" i="23"/>
  <c r="J34" i="23"/>
  <c r="F34" i="23"/>
  <c r="C35" i="22"/>
  <c r="J34" i="22"/>
  <c r="F34" i="22"/>
  <c r="E34" i="22"/>
  <c r="H34" i="22" s="1"/>
  <c r="H34" i="21"/>
  <c r="G34" i="21"/>
  <c r="C35" i="21"/>
  <c r="S34" i="21"/>
  <c r="E34" i="21"/>
  <c r="G34" i="20"/>
  <c r="C35" i="20"/>
  <c r="H34" i="20"/>
  <c r="E34" i="20"/>
  <c r="S34" i="20"/>
  <c r="G35" i="19"/>
  <c r="C36" i="19"/>
  <c r="E35" i="19"/>
  <c r="C36" i="18"/>
  <c r="E31" i="13"/>
  <c r="C32" i="13"/>
  <c r="S31" i="13"/>
  <c r="H30" i="14"/>
  <c r="G30" i="14"/>
  <c r="E34" i="17"/>
  <c r="C35" i="17"/>
  <c r="G35" i="17" s="1"/>
  <c r="E32" i="16"/>
  <c r="C33" i="16"/>
  <c r="G33" i="16" s="1"/>
  <c r="C31" i="14"/>
  <c r="S30" i="14"/>
  <c r="E30" i="14"/>
  <c r="J27" i="1"/>
  <c r="L27" i="1" s="1"/>
  <c r="G36" i="18" l="1"/>
  <c r="E36" i="18"/>
  <c r="N36" i="18"/>
  <c r="I34" i="22"/>
  <c r="C42" i="23"/>
  <c r="I41" i="23"/>
  <c r="H32" i="13"/>
  <c r="G32" i="13"/>
  <c r="H34" i="23"/>
  <c r="I34" i="23" s="1"/>
  <c r="F35" i="23"/>
  <c r="J35" i="23"/>
  <c r="E35" i="23"/>
  <c r="C36" i="22"/>
  <c r="J35" i="22"/>
  <c r="F35" i="22"/>
  <c r="E35" i="22"/>
  <c r="H35" i="22" s="1"/>
  <c r="C36" i="21"/>
  <c r="S35" i="21"/>
  <c r="G35" i="21"/>
  <c r="H35" i="21"/>
  <c r="E35" i="21"/>
  <c r="C36" i="20"/>
  <c r="S35" i="20"/>
  <c r="E35" i="20"/>
  <c r="H35" i="20"/>
  <c r="G35" i="20"/>
  <c r="C37" i="19"/>
  <c r="G36" i="19"/>
  <c r="E36" i="19"/>
  <c r="C37" i="18"/>
  <c r="C33" i="13"/>
  <c r="S32" i="13"/>
  <c r="E32" i="13"/>
  <c r="H31" i="14"/>
  <c r="G31" i="14"/>
  <c r="C36" i="17"/>
  <c r="G36" i="17" s="1"/>
  <c r="E35" i="17"/>
  <c r="C34" i="16"/>
  <c r="G34" i="16" s="1"/>
  <c r="E33" i="16"/>
  <c r="E31" i="14"/>
  <c r="C32" i="14"/>
  <c r="S31" i="14"/>
  <c r="J28" i="1"/>
  <c r="L28" i="1" s="1"/>
  <c r="G37" i="18" l="1"/>
  <c r="E37" i="18"/>
  <c r="N37" i="18"/>
  <c r="I35" i="22"/>
  <c r="C43" i="23"/>
  <c r="I42" i="23"/>
  <c r="H33" i="13"/>
  <c r="G33" i="13"/>
  <c r="H35" i="23"/>
  <c r="I35" i="23" s="1"/>
  <c r="J36" i="23"/>
  <c r="F36" i="23"/>
  <c r="E36" i="23"/>
  <c r="E36" i="22"/>
  <c r="H36" i="22" s="1"/>
  <c r="C37" i="22"/>
  <c r="I37" i="22" s="1"/>
  <c r="J36" i="22"/>
  <c r="F36" i="22"/>
  <c r="C37" i="21"/>
  <c r="H36" i="21"/>
  <c r="S36" i="21"/>
  <c r="G36" i="21"/>
  <c r="E36" i="21"/>
  <c r="S36" i="20"/>
  <c r="H36" i="20"/>
  <c r="G36" i="20"/>
  <c r="C37" i="20"/>
  <c r="E36" i="20"/>
  <c r="E37" i="19"/>
  <c r="C38" i="19"/>
  <c r="G37" i="19"/>
  <c r="C38" i="18"/>
  <c r="E33" i="13"/>
  <c r="C34" i="13"/>
  <c r="S33" i="13"/>
  <c r="G32" i="14"/>
  <c r="H32" i="14"/>
  <c r="C37" i="17"/>
  <c r="G37" i="17" s="1"/>
  <c r="E36" i="17"/>
  <c r="E34" i="16"/>
  <c r="C35" i="16"/>
  <c r="G35" i="16" s="1"/>
  <c r="E32" i="14"/>
  <c r="C33" i="14"/>
  <c r="S32" i="14"/>
  <c r="J29" i="1"/>
  <c r="L29" i="1" s="1"/>
  <c r="E38" i="18" l="1"/>
  <c r="G38" i="18"/>
  <c r="N38" i="18"/>
  <c r="I36" i="22"/>
  <c r="C44" i="23"/>
  <c r="I43" i="23"/>
  <c r="H34" i="13"/>
  <c r="G34" i="13"/>
  <c r="H36" i="23"/>
  <c r="I36" i="23" s="1"/>
  <c r="H37" i="23"/>
  <c r="F37" i="23"/>
  <c r="E37" i="23"/>
  <c r="J37" i="23"/>
  <c r="D37" i="23"/>
  <c r="F37" i="22"/>
  <c r="C38" i="22"/>
  <c r="I38" i="22" s="1"/>
  <c r="J37" i="22"/>
  <c r="E37" i="22"/>
  <c r="H37" i="22" s="1"/>
  <c r="H37" i="21"/>
  <c r="G37" i="21"/>
  <c r="E37" i="21"/>
  <c r="S37" i="21"/>
  <c r="C38" i="21"/>
  <c r="H37" i="20"/>
  <c r="G37" i="20"/>
  <c r="E37" i="20"/>
  <c r="C38" i="20"/>
  <c r="S37" i="20"/>
  <c r="C39" i="19"/>
  <c r="G38" i="19"/>
  <c r="E38" i="19"/>
  <c r="C39" i="18"/>
  <c r="C35" i="13"/>
  <c r="S34" i="13"/>
  <c r="E34" i="13"/>
  <c r="G33" i="14"/>
  <c r="H33" i="14"/>
  <c r="C38" i="17"/>
  <c r="G38" i="17" s="1"/>
  <c r="E37" i="17"/>
  <c r="C36" i="16"/>
  <c r="G36" i="16" s="1"/>
  <c r="E35" i="16"/>
  <c r="E33" i="14"/>
  <c r="C34" i="14"/>
  <c r="S33" i="14"/>
  <c r="J31" i="1"/>
  <c r="L31" i="1" s="1"/>
  <c r="J30" i="1"/>
  <c r="L30" i="1" s="1"/>
  <c r="N39" i="18" l="1"/>
  <c r="E39" i="18"/>
  <c r="G39" i="18"/>
  <c r="M39" i="18"/>
  <c r="L39" i="18"/>
  <c r="C45" i="23"/>
  <c r="I44" i="23"/>
  <c r="H35" i="13"/>
  <c r="G35" i="13"/>
  <c r="F38" i="23"/>
  <c r="E38" i="23"/>
  <c r="J38" i="23"/>
  <c r="D38" i="23"/>
  <c r="H38" i="23"/>
  <c r="J38" i="22"/>
  <c r="C39" i="22"/>
  <c r="I39" i="22" s="1"/>
  <c r="F38" i="22"/>
  <c r="E38" i="22"/>
  <c r="H38" i="22" s="1"/>
  <c r="C39" i="21"/>
  <c r="H38" i="21"/>
  <c r="S38" i="21"/>
  <c r="G38" i="21"/>
  <c r="E38" i="21"/>
  <c r="S38" i="20"/>
  <c r="H38" i="20"/>
  <c r="O38" i="20"/>
  <c r="R38" i="20" s="1"/>
  <c r="L38" i="20"/>
  <c r="E38" i="20"/>
  <c r="D38" i="20"/>
  <c r="F38" i="20" s="1"/>
  <c r="N38" i="20"/>
  <c r="M38" i="20"/>
  <c r="C39" i="20"/>
  <c r="G38" i="20"/>
  <c r="G39" i="19"/>
  <c r="E39" i="19"/>
  <c r="C40" i="19"/>
  <c r="L40" i="19" s="1"/>
  <c r="C40" i="18"/>
  <c r="C36" i="13"/>
  <c r="S35" i="13"/>
  <c r="E35" i="13"/>
  <c r="G34" i="14"/>
  <c r="H34" i="14"/>
  <c r="C39" i="17"/>
  <c r="G39" i="17" s="1"/>
  <c r="E38" i="17"/>
  <c r="E36" i="16"/>
  <c r="C37" i="16"/>
  <c r="G37" i="16" s="1"/>
  <c r="E34" i="14"/>
  <c r="C35" i="14"/>
  <c r="S34" i="14"/>
  <c r="E4" i="1"/>
  <c r="D9" i="1" s="1"/>
  <c r="E40" i="18" l="1"/>
  <c r="M40" i="18"/>
  <c r="L40" i="18"/>
  <c r="N40" i="18"/>
  <c r="G40" i="18"/>
  <c r="D10" i="1"/>
  <c r="H9" i="1"/>
  <c r="C46" i="23"/>
  <c r="I45" i="23"/>
  <c r="G36" i="13"/>
  <c r="H36" i="13"/>
  <c r="F39" i="23"/>
  <c r="E39" i="23"/>
  <c r="J39" i="23"/>
  <c r="H39" i="23"/>
  <c r="D39" i="23"/>
  <c r="E39" i="22"/>
  <c r="H39" i="22" s="1"/>
  <c r="C40" i="22"/>
  <c r="I40" i="22" s="1"/>
  <c r="J39" i="22"/>
  <c r="F39" i="22"/>
  <c r="G39" i="21"/>
  <c r="E39" i="21"/>
  <c r="C40" i="21"/>
  <c r="S39" i="21"/>
  <c r="H39" i="21"/>
  <c r="G39" i="20"/>
  <c r="E39" i="20"/>
  <c r="O39" i="20"/>
  <c r="R39" i="20" s="1"/>
  <c r="N39" i="20"/>
  <c r="M39" i="20"/>
  <c r="C40" i="20"/>
  <c r="L39" i="20"/>
  <c r="S39" i="20"/>
  <c r="H39" i="20"/>
  <c r="D39" i="20"/>
  <c r="F39" i="20" s="1"/>
  <c r="K38" i="20"/>
  <c r="C41" i="19"/>
  <c r="L41" i="19" s="1"/>
  <c r="E40" i="19"/>
  <c r="G40" i="19"/>
  <c r="D40" i="18"/>
  <c r="F40" i="18" s="1"/>
  <c r="J40" i="18" s="1"/>
  <c r="K40" i="18" s="1"/>
  <c r="C41" i="18"/>
  <c r="C37" i="13"/>
  <c r="S36" i="13"/>
  <c r="E36" i="13"/>
  <c r="H35" i="14"/>
  <c r="G35" i="14"/>
  <c r="E39" i="17"/>
  <c r="C40" i="17"/>
  <c r="G40" i="17" s="1"/>
  <c r="C38" i="16"/>
  <c r="G38" i="16" s="1"/>
  <c r="E37" i="16"/>
  <c r="S35" i="14"/>
  <c r="E35" i="14"/>
  <c r="C36" i="14"/>
  <c r="L41" i="18" l="1"/>
  <c r="N41" i="18"/>
  <c r="E41" i="18"/>
  <c r="M41" i="18"/>
  <c r="G41" i="18"/>
  <c r="D11" i="1"/>
  <c r="H10" i="1"/>
  <c r="C47" i="23"/>
  <c r="I46" i="23"/>
  <c r="H37" i="13"/>
  <c r="G37" i="13"/>
  <c r="J40" i="23"/>
  <c r="D40" i="23"/>
  <c r="H40" i="23"/>
  <c r="F40" i="23"/>
  <c r="E40" i="23"/>
  <c r="F40" i="22"/>
  <c r="E40" i="22"/>
  <c r="H40" i="22" s="1"/>
  <c r="C41" i="22"/>
  <c r="I41" i="22" s="1"/>
  <c r="J40" i="22"/>
  <c r="C41" i="21"/>
  <c r="H40" i="21"/>
  <c r="G40" i="21"/>
  <c r="E40" i="21"/>
  <c r="S40" i="21"/>
  <c r="K39" i="20"/>
  <c r="O40" i="20"/>
  <c r="R40" i="20" s="1"/>
  <c r="M40" i="20"/>
  <c r="L40" i="20"/>
  <c r="H40" i="20"/>
  <c r="C41" i="20"/>
  <c r="D40" i="20"/>
  <c r="F40" i="20" s="1"/>
  <c r="S40" i="20"/>
  <c r="N40" i="20"/>
  <c r="G40" i="20"/>
  <c r="E40" i="20"/>
  <c r="D40" i="19"/>
  <c r="C42" i="19"/>
  <c r="G41" i="19"/>
  <c r="E41" i="19"/>
  <c r="D41" i="18"/>
  <c r="F41" i="18" s="1"/>
  <c r="J41" i="18" s="1"/>
  <c r="K41" i="18" s="1"/>
  <c r="C42" i="18"/>
  <c r="S37" i="13"/>
  <c r="E37" i="13"/>
  <c r="C38" i="13"/>
  <c r="G36" i="14"/>
  <c r="H36" i="14"/>
  <c r="E40" i="17"/>
  <c r="C41" i="17"/>
  <c r="G41" i="17" s="1"/>
  <c r="C39" i="16"/>
  <c r="G39" i="16" s="1"/>
  <c r="E38" i="16"/>
  <c r="C37" i="14"/>
  <c r="S36" i="14"/>
  <c r="E36" i="14"/>
  <c r="M42" i="18" l="1"/>
  <c r="N42" i="18"/>
  <c r="G42" i="18"/>
  <c r="L42" i="18"/>
  <c r="E42" i="18"/>
  <c r="D12" i="1"/>
  <c r="H11" i="1"/>
  <c r="C48" i="23"/>
  <c r="I48" i="23" s="1"/>
  <c r="I47" i="23"/>
  <c r="H38" i="13"/>
  <c r="G38" i="13"/>
  <c r="H41" i="23"/>
  <c r="F41" i="23"/>
  <c r="E41" i="23"/>
  <c r="J41" i="23"/>
  <c r="D41" i="23"/>
  <c r="J41" i="22"/>
  <c r="F41" i="22"/>
  <c r="E41" i="22"/>
  <c r="H41" i="22" s="1"/>
  <c r="C42" i="22"/>
  <c r="I42" i="22" s="1"/>
  <c r="K42" i="19"/>
  <c r="M42" i="19" s="1"/>
  <c r="L42" i="19"/>
  <c r="H41" i="21"/>
  <c r="C42" i="21"/>
  <c r="G41" i="21"/>
  <c r="S41" i="21"/>
  <c r="E41" i="21"/>
  <c r="K40" i="20"/>
  <c r="M41" i="20"/>
  <c r="H41" i="20"/>
  <c r="G41" i="20"/>
  <c r="N41" i="20"/>
  <c r="E41" i="20"/>
  <c r="D41" i="20"/>
  <c r="F41" i="20" s="1"/>
  <c r="C42" i="20"/>
  <c r="S41" i="20"/>
  <c r="O41" i="20"/>
  <c r="R41" i="20" s="1"/>
  <c r="L41" i="20"/>
  <c r="F40" i="19"/>
  <c r="J40" i="19" s="1"/>
  <c r="K40" i="19"/>
  <c r="M40" i="19" s="1"/>
  <c r="D41" i="19"/>
  <c r="G42" i="19"/>
  <c r="E42" i="19"/>
  <c r="D42" i="19"/>
  <c r="F42" i="19" s="1"/>
  <c r="J42" i="19" s="1"/>
  <c r="C43" i="19"/>
  <c r="D42" i="18"/>
  <c r="F42" i="18" s="1"/>
  <c r="J42" i="18" s="1"/>
  <c r="K42" i="18" s="1"/>
  <c r="C43" i="18"/>
  <c r="C39" i="13"/>
  <c r="S38" i="13"/>
  <c r="E38" i="13"/>
  <c r="H37" i="14"/>
  <c r="G37" i="14"/>
  <c r="E41" i="17"/>
  <c r="C42" i="17"/>
  <c r="G42" i="17" s="1"/>
  <c r="E39" i="16"/>
  <c r="C40" i="16"/>
  <c r="G40" i="16" s="1"/>
  <c r="C38" i="14"/>
  <c r="S37" i="14"/>
  <c r="E37" i="14"/>
  <c r="G43" i="18" l="1"/>
  <c r="L43" i="18"/>
  <c r="M43" i="18"/>
  <c r="N43" i="18"/>
  <c r="E43" i="18"/>
  <c r="D13" i="1"/>
  <c r="H12" i="1"/>
  <c r="H39" i="13"/>
  <c r="G39" i="13"/>
  <c r="H42" i="23"/>
  <c r="E42" i="23"/>
  <c r="J42" i="23"/>
  <c r="D42" i="23"/>
  <c r="F42" i="23"/>
  <c r="C43" i="22"/>
  <c r="I43" i="22" s="1"/>
  <c r="J42" i="22"/>
  <c r="F42" i="22"/>
  <c r="E42" i="22"/>
  <c r="H42" i="22" s="1"/>
  <c r="K43" i="19"/>
  <c r="M43" i="19" s="1"/>
  <c r="L43" i="19"/>
  <c r="H42" i="21"/>
  <c r="G42" i="21"/>
  <c r="S42" i="21"/>
  <c r="E42" i="21"/>
  <c r="C43" i="21"/>
  <c r="K41" i="20"/>
  <c r="L42" i="20"/>
  <c r="E42" i="20"/>
  <c r="H42" i="20"/>
  <c r="S42" i="20"/>
  <c r="C43" i="20"/>
  <c r="O42" i="20"/>
  <c r="R42" i="20" s="1"/>
  <c r="N42" i="20"/>
  <c r="M42" i="20"/>
  <c r="G42" i="20"/>
  <c r="D42" i="20"/>
  <c r="F42" i="20" s="1"/>
  <c r="F41" i="19"/>
  <c r="J41" i="19" s="1"/>
  <c r="K41" i="19"/>
  <c r="M41" i="19" s="1"/>
  <c r="D43" i="19"/>
  <c r="F43" i="19" s="1"/>
  <c r="J43" i="19" s="1"/>
  <c r="G43" i="19"/>
  <c r="E43" i="19"/>
  <c r="C44" i="19"/>
  <c r="D43" i="18"/>
  <c r="F43" i="18" s="1"/>
  <c r="J43" i="18" s="1"/>
  <c r="K43" i="18" s="1"/>
  <c r="C44" i="18"/>
  <c r="E39" i="13"/>
  <c r="C40" i="13"/>
  <c r="S39" i="13"/>
  <c r="G38" i="14"/>
  <c r="H38" i="14"/>
  <c r="N38" i="14"/>
  <c r="L38" i="14"/>
  <c r="O38" i="14"/>
  <c r="M38" i="14"/>
  <c r="E42" i="17"/>
  <c r="C43" i="17"/>
  <c r="G43" i="17" s="1"/>
  <c r="E40" i="16"/>
  <c r="L40" i="16"/>
  <c r="M40" i="16" s="1"/>
  <c r="K40" i="16"/>
  <c r="D40" i="16"/>
  <c r="F40" i="16" s="1"/>
  <c r="C41" i="16"/>
  <c r="G41" i="16" s="1"/>
  <c r="D38" i="14"/>
  <c r="F38" i="14" s="1"/>
  <c r="C39" i="14"/>
  <c r="S38" i="14"/>
  <c r="E38" i="14"/>
  <c r="M44" i="18" l="1"/>
  <c r="E44" i="18"/>
  <c r="G44" i="18"/>
  <c r="L44" i="18"/>
  <c r="N44" i="18"/>
  <c r="D14" i="1"/>
  <c r="H13" i="1"/>
  <c r="H40" i="13"/>
  <c r="G40" i="13"/>
  <c r="F43" i="23"/>
  <c r="D43" i="23"/>
  <c r="J43" i="23"/>
  <c r="H43" i="23"/>
  <c r="E43" i="23"/>
  <c r="C44" i="22"/>
  <c r="I44" i="22" s="1"/>
  <c r="J43" i="22"/>
  <c r="F43" i="22"/>
  <c r="E43" i="22"/>
  <c r="H43" i="22" s="1"/>
  <c r="K44" i="19"/>
  <c r="M44" i="19" s="1"/>
  <c r="L44" i="19"/>
  <c r="C44" i="21"/>
  <c r="E43" i="21"/>
  <c r="S43" i="21"/>
  <c r="H43" i="21"/>
  <c r="G43" i="21"/>
  <c r="K42" i="20"/>
  <c r="C44" i="20"/>
  <c r="L43" i="20"/>
  <c r="S43" i="20"/>
  <c r="H43" i="20"/>
  <c r="N43" i="20"/>
  <c r="M43" i="20"/>
  <c r="O43" i="20"/>
  <c r="R43" i="20" s="1"/>
  <c r="G43" i="20"/>
  <c r="E43" i="20"/>
  <c r="D43" i="20"/>
  <c r="F43" i="20" s="1"/>
  <c r="C45" i="19"/>
  <c r="G44" i="19"/>
  <c r="E44" i="19"/>
  <c r="D44" i="19"/>
  <c r="F44" i="19" s="1"/>
  <c r="J44" i="19" s="1"/>
  <c r="C45" i="18"/>
  <c r="D44" i="18"/>
  <c r="F44" i="18" s="1"/>
  <c r="J44" i="18" s="1"/>
  <c r="C41" i="13"/>
  <c r="S40" i="13"/>
  <c r="E40" i="13"/>
  <c r="G39" i="14"/>
  <c r="H39" i="14"/>
  <c r="L39" i="14"/>
  <c r="M39" i="14"/>
  <c r="O39" i="14"/>
  <c r="N39" i="14"/>
  <c r="C44" i="17"/>
  <c r="G44" i="17" s="1"/>
  <c r="E43" i="17"/>
  <c r="C42" i="16"/>
  <c r="G42" i="16" s="1"/>
  <c r="E41" i="16"/>
  <c r="D41" i="16"/>
  <c r="F41" i="16" s="1"/>
  <c r="L41" i="16"/>
  <c r="M41" i="16" s="1"/>
  <c r="K41" i="16"/>
  <c r="J40" i="16"/>
  <c r="K38" i="14"/>
  <c r="E39" i="14"/>
  <c r="D39" i="14"/>
  <c r="F39" i="14" s="1"/>
  <c r="C40" i="14"/>
  <c r="S39" i="14"/>
  <c r="K44" i="18" l="1"/>
  <c r="M45" i="18"/>
  <c r="E45" i="18"/>
  <c r="G45" i="18"/>
  <c r="L45" i="18"/>
  <c r="N45" i="18"/>
  <c r="D15" i="1"/>
  <c r="H14" i="1"/>
  <c r="G41" i="13"/>
  <c r="H41" i="13"/>
  <c r="J44" i="23"/>
  <c r="D44" i="23"/>
  <c r="H44" i="23"/>
  <c r="F44" i="23"/>
  <c r="E44" i="23"/>
  <c r="E44" i="22"/>
  <c r="H44" i="22" s="1"/>
  <c r="C45" i="22"/>
  <c r="I45" i="22" s="1"/>
  <c r="J44" i="22"/>
  <c r="F44" i="22"/>
  <c r="K45" i="19"/>
  <c r="L45" i="19"/>
  <c r="H44" i="21"/>
  <c r="S44" i="21"/>
  <c r="C45" i="21"/>
  <c r="G44" i="21"/>
  <c r="E44" i="21"/>
  <c r="D44" i="20"/>
  <c r="F44" i="20" s="1"/>
  <c r="C45" i="20"/>
  <c r="O44" i="20"/>
  <c r="R44" i="20" s="1"/>
  <c r="M44" i="20"/>
  <c r="L44" i="20"/>
  <c r="H44" i="20"/>
  <c r="S44" i="20"/>
  <c r="G44" i="20"/>
  <c r="N44" i="20"/>
  <c r="E44" i="20"/>
  <c r="K43" i="20"/>
  <c r="D45" i="19"/>
  <c r="F45" i="19" s="1"/>
  <c r="G45" i="19"/>
  <c r="E45" i="19"/>
  <c r="C46" i="19"/>
  <c r="D45" i="18"/>
  <c r="F45" i="18" s="1"/>
  <c r="J45" i="18" s="1"/>
  <c r="C46" i="18"/>
  <c r="E41" i="13"/>
  <c r="C42" i="13"/>
  <c r="S41" i="13"/>
  <c r="G40" i="14"/>
  <c r="H40" i="14"/>
  <c r="N40" i="14"/>
  <c r="O40" i="14"/>
  <c r="L40" i="14"/>
  <c r="M40" i="14"/>
  <c r="C45" i="17"/>
  <c r="G45" i="17" s="1"/>
  <c r="E44" i="17"/>
  <c r="J41" i="16"/>
  <c r="L42" i="16"/>
  <c r="M42" i="16" s="1"/>
  <c r="K42" i="16"/>
  <c r="E42" i="16"/>
  <c r="D42" i="16"/>
  <c r="F42" i="16" s="1"/>
  <c r="C43" i="16"/>
  <c r="G43" i="16" s="1"/>
  <c r="E40" i="14"/>
  <c r="D40" i="14"/>
  <c r="F40" i="14" s="1"/>
  <c r="C41" i="14"/>
  <c r="S40" i="14"/>
  <c r="K39" i="14"/>
  <c r="K45" i="18" l="1"/>
  <c r="E46" i="18"/>
  <c r="N46" i="18"/>
  <c r="G46" i="18"/>
  <c r="M46" i="18"/>
  <c r="L46" i="18"/>
  <c r="J45" i="19"/>
  <c r="D16" i="1"/>
  <c r="H15" i="1"/>
  <c r="H42" i="13"/>
  <c r="G42" i="13"/>
  <c r="H45" i="23"/>
  <c r="F45" i="23"/>
  <c r="E45" i="23"/>
  <c r="J45" i="23"/>
  <c r="D45" i="23"/>
  <c r="F45" i="22"/>
  <c r="C46" i="22"/>
  <c r="I46" i="22" s="1"/>
  <c r="J45" i="22"/>
  <c r="E45" i="22"/>
  <c r="H45" i="22" s="1"/>
  <c r="K46" i="19"/>
  <c r="M46" i="19" s="1"/>
  <c r="L46" i="19"/>
  <c r="M45" i="19"/>
  <c r="H45" i="21"/>
  <c r="G45" i="21"/>
  <c r="E45" i="21"/>
  <c r="C46" i="21"/>
  <c r="S45" i="21"/>
  <c r="O45" i="20"/>
  <c r="R45" i="20" s="1"/>
  <c r="N45" i="20"/>
  <c r="G45" i="20"/>
  <c r="E45" i="20"/>
  <c r="M45" i="20"/>
  <c r="H45" i="20"/>
  <c r="C46" i="20"/>
  <c r="S45" i="20"/>
  <c r="D45" i="20"/>
  <c r="F45" i="20" s="1"/>
  <c r="L45" i="20"/>
  <c r="K44" i="20"/>
  <c r="D46" i="19"/>
  <c r="F46" i="19" s="1"/>
  <c r="C47" i="19"/>
  <c r="E46" i="19"/>
  <c r="G46" i="19"/>
  <c r="C47" i="18"/>
  <c r="D46" i="18"/>
  <c r="F46" i="18" s="1"/>
  <c r="J46" i="18" s="1"/>
  <c r="C43" i="13"/>
  <c r="S42" i="13"/>
  <c r="E42" i="13"/>
  <c r="H41" i="14"/>
  <c r="G41" i="14"/>
  <c r="L41" i="14"/>
  <c r="N41" i="14"/>
  <c r="M41" i="14"/>
  <c r="O41" i="14"/>
  <c r="C46" i="17"/>
  <c r="G46" i="17" s="1"/>
  <c r="E45" i="17"/>
  <c r="C44" i="16"/>
  <c r="G44" i="16" s="1"/>
  <c r="L43" i="16"/>
  <c r="M43" i="16" s="1"/>
  <c r="K43" i="16"/>
  <c r="E43" i="16"/>
  <c r="D43" i="16"/>
  <c r="F43" i="16" s="1"/>
  <c r="J42" i="16"/>
  <c r="E41" i="14"/>
  <c r="D41" i="14"/>
  <c r="F41" i="14" s="1"/>
  <c r="C42" i="14"/>
  <c r="S41" i="14"/>
  <c r="K40" i="14"/>
  <c r="K46" i="18" l="1"/>
  <c r="N47" i="18"/>
  <c r="E47" i="18"/>
  <c r="G47" i="18"/>
  <c r="M47" i="18"/>
  <c r="L47" i="18"/>
  <c r="J46" i="19"/>
  <c r="D17" i="1"/>
  <c r="H16" i="1"/>
  <c r="H43" i="13"/>
  <c r="G43" i="13"/>
  <c r="F46" i="23"/>
  <c r="E46" i="23"/>
  <c r="J46" i="23"/>
  <c r="D46" i="23"/>
  <c r="H46" i="23"/>
  <c r="H46" i="22"/>
  <c r="J46" i="22"/>
  <c r="C47" i="22"/>
  <c r="I47" i="22" s="1"/>
  <c r="F46" i="22"/>
  <c r="E46" i="22"/>
  <c r="K47" i="19"/>
  <c r="L47" i="19"/>
  <c r="E46" i="21"/>
  <c r="C47" i="21"/>
  <c r="S46" i="21"/>
  <c r="H46" i="21"/>
  <c r="G46" i="21"/>
  <c r="K45" i="20"/>
  <c r="S46" i="20"/>
  <c r="O46" i="20"/>
  <c r="R46" i="20" s="1"/>
  <c r="E46" i="20"/>
  <c r="D46" i="20"/>
  <c r="F46" i="20" s="1"/>
  <c r="L46" i="20"/>
  <c r="H46" i="20"/>
  <c r="G46" i="20"/>
  <c r="C47" i="20"/>
  <c r="M46" i="20"/>
  <c r="N46" i="20"/>
  <c r="D47" i="19"/>
  <c r="F47" i="19" s="1"/>
  <c r="G47" i="19"/>
  <c r="E47" i="19"/>
  <c r="C48" i="19"/>
  <c r="D47" i="18"/>
  <c r="F47" i="18" s="1"/>
  <c r="J47" i="18" s="1"/>
  <c r="K47" i="18" s="1"/>
  <c r="C48" i="18"/>
  <c r="C44" i="13"/>
  <c r="S43" i="13"/>
  <c r="E43" i="13"/>
  <c r="H42" i="14"/>
  <c r="G42" i="14"/>
  <c r="N42" i="14"/>
  <c r="L42" i="14"/>
  <c r="M42" i="14"/>
  <c r="O42" i="14"/>
  <c r="E46" i="17"/>
  <c r="C47" i="17"/>
  <c r="G47" i="17" s="1"/>
  <c r="J43" i="16"/>
  <c r="E44" i="16"/>
  <c r="D44" i="16"/>
  <c r="F44" i="16" s="1"/>
  <c r="C45" i="16"/>
  <c r="G45" i="16" s="1"/>
  <c r="L44" i="16"/>
  <c r="M44" i="16" s="1"/>
  <c r="K44" i="16"/>
  <c r="K41" i="14"/>
  <c r="E42" i="14"/>
  <c r="D42" i="14"/>
  <c r="F42" i="14" s="1"/>
  <c r="C43" i="14"/>
  <c r="S42" i="14"/>
  <c r="N48" i="18" l="1"/>
  <c r="E48" i="18"/>
  <c r="M48" i="18"/>
  <c r="L48" i="18"/>
  <c r="G48" i="18"/>
  <c r="D18" i="1"/>
  <c r="H17" i="1"/>
  <c r="J47" i="19"/>
  <c r="H44" i="13"/>
  <c r="G44" i="13"/>
  <c r="F47" i="23"/>
  <c r="E47" i="23"/>
  <c r="J47" i="23"/>
  <c r="H47" i="23"/>
  <c r="D47" i="23"/>
  <c r="E47" i="22"/>
  <c r="H47" i="22" s="1"/>
  <c r="C48" i="22"/>
  <c r="I48" i="22" s="1"/>
  <c r="J47" i="22"/>
  <c r="F47" i="22"/>
  <c r="K48" i="19"/>
  <c r="M48" i="19" s="1"/>
  <c r="L48" i="19"/>
  <c r="M47" i="19"/>
  <c r="G47" i="21"/>
  <c r="E47" i="21"/>
  <c r="S47" i="21"/>
  <c r="C48" i="21"/>
  <c r="H47" i="21"/>
  <c r="K46" i="20"/>
  <c r="G47" i="20"/>
  <c r="S47" i="20"/>
  <c r="E47" i="20"/>
  <c r="O47" i="20"/>
  <c r="R47" i="20" s="1"/>
  <c r="N47" i="20"/>
  <c r="M47" i="20"/>
  <c r="L47" i="20"/>
  <c r="C48" i="20"/>
  <c r="H47" i="20"/>
  <c r="D47" i="20"/>
  <c r="F47" i="20" s="1"/>
  <c r="G48" i="19"/>
  <c r="E48" i="19"/>
  <c r="C49" i="19"/>
  <c r="D48" i="19"/>
  <c r="F48" i="19" s="1"/>
  <c r="J48" i="19" s="1"/>
  <c r="C49" i="18"/>
  <c r="D48" i="18"/>
  <c r="F48" i="18" s="1"/>
  <c r="J48" i="18" s="1"/>
  <c r="K48" i="18" s="1"/>
  <c r="C45" i="13"/>
  <c r="S44" i="13"/>
  <c r="E44" i="13"/>
  <c r="H43" i="14"/>
  <c r="G43" i="14"/>
  <c r="N43" i="14"/>
  <c r="L43" i="14"/>
  <c r="M43" i="14"/>
  <c r="O43" i="14"/>
  <c r="E47" i="17"/>
  <c r="C48" i="17"/>
  <c r="G48" i="17" s="1"/>
  <c r="L45" i="16"/>
  <c r="M45" i="16" s="1"/>
  <c r="K45" i="16"/>
  <c r="C46" i="16"/>
  <c r="G46" i="16" s="1"/>
  <c r="E45" i="16"/>
  <c r="D45" i="16"/>
  <c r="F45" i="16" s="1"/>
  <c r="J44" i="16"/>
  <c r="K42" i="14"/>
  <c r="S43" i="14"/>
  <c r="E43" i="14"/>
  <c r="D43" i="14"/>
  <c r="F43" i="14" s="1"/>
  <c r="C44" i="14"/>
  <c r="L49" i="18" l="1"/>
  <c r="G49" i="18"/>
  <c r="N49" i="18"/>
  <c r="E49" i="18"/>
  <c r="M49" i="18"/>
  <c r="D19" i="1"/>
  <c r="H18" i="1"/>
  <c r="G45" i="13"/>
  <c r="H45" i="13"/>
  <c r="J48" i="23"/>
  <c r="D48" i="23"/>
  <c r="H48" i="23"/>
  <c r="F48" i="23"/>
  <c r="F49" i="23" s="1"/>
  <c r="E48" i="23"/>
  <c r="E49" i="23" s="1"/>
  <c r="F48" i="22"/>
  <c r="F49" i="22" s="1"/>
  <c r="E48" i="22"/>
  <c r="E49" i="22" s="1"/>
  <c r="J48" i="22"/>
  <c r="K49" i="19"/>
  <c r="L49" i="19"/>
  <c r="E48" i="21"/>
  <c r="E49" i="21" s="1"/>
  <c r="H48" i="21"/>
  <c r="H49" i="21" s="1"/>
  <c r="G48" i="21"/>
  <c r="G49" i="21" s="1"/>
  <c r="S48" i="21"/>
  <c r="K47" i="20"/>
  <c r="O48" i="20"/>
  <c r="M48" i="20"/>
  <c r="H48" i="20"/>
  <c r="H49" i="20" s="1"/>
  <c r="D48" i="20"/>
  <c r="F48" i="20" s="1"/>
  <c r="E48" i="20"/>
  <c r="E49" i="20" s="1"/>
  <c r="G48" i="20"/>
  <c r="G49" i="20" s="1"/>
  <c r="S48" i="20"/>
  <c r="N48" i="20"/>
  <c r="L48" i="20"/>
  <c r="G49" i="19"/>
  <c r="E49" i="19"/>
  <c r="D49" i="19"/>
  <c r="F49" i="19" s="1"/>
  <c r="J49" i="19" s="1"/>
  <c r="C50" i="19"/>
  <c r="C50" i="18"/>
  <c r="D49" i="18"/>
  <c r="F49" i="18" s="1"/>
  <c r="J49" i="18" s="1"/>
  <c r="K49" i="18" s="1"/>
  <c r="C46" i="13"/>
  <c r="S45" i="13"/>
  <c r="E45" i="13"/>
  <c r="G44" i="14"/>
  <c r="H44" i="14"/>
  <c r="N44" i="14"/>
  <c r="L44" i="14"/>
  <c r="M44" i="14"/>
  <c r="O44" i="14"/>
  <c r="E48" i="17"/>
  <c r="C49" i="17"/>
  <c r="G49" i="17" s="1"/>
  <c r="J45" i="16"/>
  <c r="C47" i="16"/>
  <c r="G47" i="16" s="1"/>
  <c r="L46" i="16"/>
  <c r="M46" i="16" s="1"/>
  <c r="K46" i="16"/>
  <c r="D46" i="16"/>
  <c r="F46" i="16" s="1"/>
  <c r="E46" i="16"/>
  <c r="C45" i="14"/>
  <c r="S44" i="14"/>
  <c r="E44" i="14"/>
  <c r="D44" i="14"/>
  <c r="F44" i="14" s="1"/>
  <c r="K43" i="14"/>
  <c r="M50" i="18" l="1"/>
  <c r="L50" i="18"/>
  <c r="N50" i="18"/>
  <c r="G50" i="18"/>
  <c r="G51" i="18" s="1"/>
  <c r="E50" i="18"/>
  <c r="D20" i="1"/>
  <c r="H19" i="1"/>
  <c r="H49" i="23"/>
  <c r="H46" i="13"/>
  <c r="G46" i="13"/>
  <c r="H48" i="22"/>
  <c r="G49" i="22"/>
  <c r="R48" i="20"/>
  <c r="K50" i="19"/>
  <c r="M50" i="19" s="1"/>
  <c r="L50" i="19"/>
  <c r="M49" i="19"/>
  <c r="K48" i="20"/>
  <c r="G50" i="19"/>
  <c r="G51" i="19" s="1"/>
  <c r="E50" i="19"/>
  <c r="E51" i="19" s="1"/>
  <c r="D50" i="19"/>
  <c r="F50" i="19" s="1"/>
  <c r="E51" i="18"/>
  <c r="D50" i="18"/>
  <c r="F50" i="18" s="1"/>
  <c r="J50" i="18" s="1"/>
  <c r="C47" i="13"/>
  <c r="S46" i="13"/>
  <c r="E46" i="13"/>
  <c r="G45" i="14"/>
  <c r="H45" i="14"/>
  <c r="O45" i="14"/>
  <c r="M45" i="14"/>
  <c r="L45" i="14"/>
  <c r="N45" i="14"/>
  <c r="E49" i="17"/>
  <c r="C50" i="17"/>
  <c r="G50" i="17" s="1"/>
  <c r="E47" i="16"/>
  <c r="D47" i="16"/>
  <c r="F47" i="16" s="1"/>
  <c r="L47" i="16"/>
  <c r="M47" i="16" s="1"/>
  <c r="K47" i="16"/>
  <c r="C48" i="16"/>
  <c r="G48" i="16" s="1"/>
  <c r="J46" i="16"/>
  <c r="K44" i="14"/>
  <c r="C46" i="14"/>
  <c r="S45" i="14"/>
  <c r="E45" i="14"/>
  <c r="D45" i="14"/>
  <c r="F45" i="14" s="1"/>
  <c r="K50" i="18" l="1"/>
  <c r="D21" i="1"/>
  <c r="H20" i="1"/>
  <c r="H49" i="22"/>
  <c r="G47" i="13"/>
  <c r="H47" i="13"/>
  <c r="J50" i="19"/>
  <c r="E47" i="13"/>
  <c r="C48" i="13"/>
  <c r="S47" i="13"/>
  <c r="H46" i="14"/>
  <c r="G46" i="14"/>
  <c r="O46" i="14"/>
  <c r="N46" i="14"/>
  <c r="L46" i="14"/>
  <c r="M46" i="14"/>
  <c r="E50" i="17"/>
  <c r="E51" i="17" s="1"/>
  <c r="L48" i="16"/>
  <c r="M48" i="16" s="1"/>
  <c r="K48" i="16"/>
  <c r="E48" i="16"/>
  <c r="D48" i="16"/>
  <c r="F48" i="16" s="1"/>
  <c r="C49" i="16"/>
  <c r="G49" i="16" s="1"/>
  <c r="J47" i="16"/>
  <c r="D46" i="14"/>
  <c r="F46" i="14" s="1"/>
  <c r="C47" i="14"/>
  <c r="S46" i="14"/>
  <c r="E46" i="14"/>
  <c r="K45" i="14"/>
  <c r="D22" i="1" l="1"/>
  <c r="H21" i="1"/>
  <c r="H48" i="13"/>
  <c r="G48" i="13"/>
  <c r="S48" i="13"/>
  <c r="E48" i="13"/>
  <c r="E49" i="13" s="1"/>
  <c r="H47" i="14"/>
  <c r="G47" i="14"/>
  <c r="N47" i="14"/>
  <c r="L47" i="14"/>
  <c r="M47" i="14"/>
  <c r="O47" i="14"/>
  <c r="J48" i="16"/>
  <c r="C50" i="16"/>
  <c r="G50" i="16" s="1"/>
  <c r="E49" i="16"/>
  <c r="D49" i="16"/>
  <c r="F49" i="16" s="1"/>
  <c r="L49" i="16"/>
  <c r="M49" i="16" s="1"/>
  <c r="K49" i="16"/>
  <c r="E47" i="14"/>
  <c r="D47" i="14"/>
  <c r="F47" i="14" s="1"/>
  <c r="C48" i="14"/>
  <c r="S47" i="14"/>
  <c r="K46" i="14"/>
  <c r="D23" i="1" l="1"/>
  <c r="H22" i="1"/>
  <c r="G48" i="14"/>
  <c r="G49" i="14" s="1"/>
  <c r="H48" i="14"/>
  <c r="H49" i="14" s="1"/>
  <c r="M48" i="14"/>
  <c r="L48" i="14"/>
  <c r="N48" i="14"/>
  <c r="O48" i="14"/>
  <c r="G51" i="16"/>
  <c r="J49" i="16"/>
  <c r="L50" i="16"/>
  <c r="K50" i="16"/>
  <c r="E50" i="16"/>
  <c r="E51" i="16" s="1"/>
  <c r="D50" i="16"/>
  <c r="F50" i="16" s="1"/>
  <c r="E48" i="14"/>
  <c r="E49" i="14" s="1"/>
  <c r="D48" i="14"/>
  <c r="F48" i="14" s="1"/>
  <c r="S48" i="14"/>
  <c r="K47" i="14"/>
  <c r="D24" i="1" l="1"/>
  <c r="H23" i="1"/>
  <c r="M50" i="16"/>
  <c r="J50" i="16"/>
  <c r="K48" i="14"/>
  <c r="D25" i="1" l="1"/>
  <c r="H24" i="1"/>
  <c r="I49" i="23"/>
  <c r="D26" i="1" l="1"/>
  <c r="H25" i="1"/>
  <c r="D27" i="1" l="1"/>
  <c r="H26" i="1"/>
  <c r="D28" i="1" l="1"/>
  <c r="H27" i="1"/>
  <c r="D29" i="1" l="1"/>
  <c r="H28" i="1"/>
  <c r="D30" i="1" l="1"/>
  <c r="H29" i="1"/>
  <c r="D31" i="1" l="1"/>
  <c r="H30" i="1"/>
  <c r="D32" i="1" l="1"/>
  <c r="H31" i="1"/>
  <c r="D33" i="1" l="1"/>
  <c r="H32" i="1"/>
  <c r="D34" i="1" l="1"/>
  <c r="H33" i="1"/>
  <c r="D35" i="1" l="1"/>
  <c r="H34" i="1"/>
  <c r="D36" i="1" l="1"/>
  <c r="H35" i="1"/>
  <c r="D37" i="1" l="1"/>
  <c r="H36" i="1"/>
  <c r="D38" i="1" l="1"/>
  <c r="H37" i="1"/>
  <c r="D39" i="1" l="1"/>
  <c r="H38" i="1"/>
  <c r="D40" i="1" l="1"/>
  <c r="H39" i="1"/>
  <c r="D41" i="1" l="1"/>
  <c r="H40" i="1"/>
  <c r="D42" i="1" l="1"/>
  <c r="H41" i="1"/>
  <c r="D43" i="1" l="1"/>
  <c r="H42" i="1"/>
  <c r="D44" i="1" l="1"/>
  <c r="H43" i="1"/>
  <c r="D45" i="1" l="1"/>
  <c r="H44" i="1"/>
  <c r="D46" i="1" l="1"/>
  <c r="H45" i="1"/>
  <c r="D47" i="1" l="1"/>
  <c r="H46" i="1"/>
  <c r="D48" i="1" l="1"/>
  <c r="H47" i="1"/>
  <c r="D49" i="1" l="1"/>
  <c r="H48" i="1"/>
  <c r="D50" i="1" l="1"/>
  <c r="H49" i="1"/>
  <c r="D51" i="1" l="1"/>
  <c r="H50" i="1"/>
  <c r="D52" i="1" l="1"/>
  <c r="H51" i="1"/>
  <c r="D53" i="1" l="1"/>
  <c r="H52" i="1"/>
  <c r="D54" i="1" l="1"/>
  <c r="H53" i="1"/>
  <c r="D55" i="1" l="1"/>
  <c r="H54" i="1"/>
  <c r="D56" i="1" l="1"/>
  <c r="H55" i="1"/>
  <c r="D57" i="1" l="1"/>
  <c r="H56" i="1"/>
  <c r="D58" i="1" l="1"/>
  <c r="H57" i="1"/>
  <c r="D59" i="1" l="1"/>
  <c r="H58" i="1"/>
  <c r="D60" i="1" l="1"/>
  <c r="H59" i="1"/>
  <c r="D61" i="1" l="1"/>
  <c r="H60" i="1"/>
  <c r="D62" i="1" l="1"/>
  <c r="H61" i="1"/>
  <c r="D63" i="1" l="1"/>
  <c r="H62" i="1"/>
  <c r="D64" i="1" l="1"/>
  <c r="H63" i="1"/>
  <c r="D65" i="1" l="1"/>
  <c r="H64" i="1"/>
  <c r="D66" i="1" l="1"/>
  <c r="H65" i="1"/>
  <c r="D67" i="1" l="1"/>
  <c r="H66" i="1"/>
  <c r="D68" i="1" l="1"/>
  <c r="H67" i="1"/>
  <c r="D69" i="1" l="1"/>
  <c r="H68" i="1"/>
  <c r="D70" i="1" l="1"/>
  <c r="H69" i="1"/>
  <c r="D71" i="1" l="1"/>
  <c r="H70" i="1"/>
  <c r="D72" i="1" l="1"/>
  <c r="H71" i="1"/>
  <c r="D73" i="1" l="1"/>
  <c r="H72" i="1"/>
  <c r="D74" i="1" l="1"/>
  <c r="H73" i="1"/>
  <c r="D75" i="1" l="1"/>
  <c r="H74" i="1"/>
  <c r="D76" i="1" l="1"/>
  <c r="H75" i="1"/>
  <c r="D77" i="1" l="1"/>
  <c r="H76" i="1"/>
  <c r="D78" i="1" l="1"/>
  <c r="H77" i="1"/>
  <c r="D79" i="1" l="1"/>
  <c r="H78" i="1"/>
  <c r="D80" i="1" l="1"/>
  <c r="H79" i="1"/>
  <c r="D81" i="1" l="1"/>
  <c r="H80" i="1"/>
  <c r="D82" i="1" l="1"/>
  <c r="H81" i="1"/>
  <c r="D83" i="1" l="1"/>
  <c r="H82" i="1"/>
  <c r="D84" i="1" l="1"/>
  <c r="H83" i="1"/>
  <c r="D85" i="1" l="1"/>
  <c r="H84" i="1"/>
  <c r="D86" i="1" l="1"/>
  <c r="H85" i="1"/>
  <c r="D87" i="1" l="1"/>
  <c r="H86" i="1"/>
  <c r="D88" i="1" l="1"/>
  <c r="H87" i="1"/>
  <c r="D89" i="1" l="1"/>
  <c r="H88" i="1"/>
  <c r="D90" i="1" l="1"/>
  <c r="H89" i="1"/>
  <c r="D91" i="1" l="1"/>
  <c r="H90" i="1"/>
  <c r="D92" i="1" l="1"/>
  <c r="H91" i="1"/>
  <c r="D93" i="1" l="1"/>
  <c r="H92" i="1"/>
  <c r="D94" i="1" l="1"/>
  <c r="H93" i="1"/>
  <c r="D95" i="1" l="1"/>
  <c r="H94" i="1"/>
  <c r="D96" i="1" l="1"/>
  <c r="H95" i="1"/>
  <c r="D97" i="1" l="1"/>
  <c r="H96" i="1"/>
  <c r="D98" i="1" l="1"/>
  <c r="H97" i="1"/>
  <c r="D99" i="1" l="1"/>
  <c r="H98" i="1"/>
  <c r="D100" i="1" l="1"/>
  <c r="H99" i="1"/>
  <c r="D101" i="1" l="1"/>
  <c r="H100" i="1"/>
  <c r="D102" i="1" l="1"/>
  <c r="H101" i="1"/>
  <c r="D103" i="1" l="1"/>
  <c r="H102" i="1"/>
  <c r="D104" i="1" l="1"/>
  <c r="H103" i="1"/>
  <c r="D105" i="1" l="1"/>
  <c r="H104" i="1"/>
  <c r="D106" i="1" l="1"/>
  <c r="H105" i="1"/>
  <c r="D107" i="1" l="1"/>
  <c r="H106" i="1"/>
  <c r="D108" i="1" l="1"/>
  <c r="H107" i="1"/>
  <c r="D109" i="1" l="1"/>
  <c r="H108" i="1"/>
  <c r="D110" i="1" l="1"/>
  <c r="H109" i="1"/>
  <c r="D111" i="1" l="1"/>
  <c r="H110" i="1"/>
  <c r="D112" i="1" l="1"/>
  <c r="H111" i="1"/>
  <c r="D113" i="1" l="1"/>
  <c r="H112" i="1"/>
  <c r="D114" i="1" l="1"/>
  <c r="H113" i="1"/>
  <c r="D115" i="1" l="1"/>
  <c r="H114" i="1"/>
  <c r="D116" i="1" l="1"/>
  <c r="H115" i="1"/>
  <c r="D117" i="1" l="1"/>
  <c r="H116" i="1"/>
  <c r="D118" i="1" l="1"/>
  <c r="H117" i="1"/>
  <c r="D119" i="1" l="1"/>
  <c r="H118" i="1"/>
  <c r="D120" i="1" l="1"/>
  <c r="H119" i="1"/>
  <c r="D121" i="1" l="1"/>
  <c r="H120" i="1"/>
  <c r="D122" i="1" l="1"/>
  <c r="H121" i="1"/>
  <c r="D123" i="1" l="1"/>
  <c r="H122" i="1"/>
  <c r="D124" i="1" l="1"/>
  <c r="H123" i="1"/>
  <c r="D125" i="1" l="1"/>
  <c r="H124" i="1"/>
  <c r="D126" i="1" l="1"/>
  <c r="H125" i="1"/>
  <c r="D127" i="1" l="1"/>
  <c r="H126" i="1"/>
  <c r="D128" i="1" l="1"/>
  <c r="H127" i="1"/>
  <c r="D129" i="1" l="1"/>
  <c r="H128" i="1"/>
  <c r="D130" i="1" l="1"/>
  <c r="H129" i="1"/>
  <c r="D131" i="1" l="1"/>
  <c r="H130" i="1"/>
  <c r="D132" i="1" l="1"/>
  <c r="H131" i="1"/>
  <c r="D133" i="1" l="1"/>
  <c r="H132" i="1"/>
  <c r="D134" i="1" l="1"/>
  <c r="H133" i="1"/>
  <c r="D135" i="1" l="1"/>
  <c r="H134" i="1"/>
  <c r="D136" i="1" l="1"/>
  <c r="H135" i="1"/>
  <c r="D137" i="1" l="1"/>
  <c r="H136" i="1"/>
  <c r="D138" i="1" l="1"/>
  <c r="H137" i="1"/>
  <c r="D139" i="1" l="1"/>
  <c r="H138" i="1"/>
  <c r="D140" i="1" l="1"/>
  <c r="H139" i="1"/>
  <c r="D141" i="1" l="1"/>
  <c r="H140" i="1"/>
  <c r="D142" i="1" l="1"/>
  <c r="H141" i="1"/>
  <c r="D143" i="1" l="1"/>
  <c r="H142" i="1"/>
  <c r="D144" i="1" l="1"/>
  <c r="H143" i="1"/>
  <c r="D145" i="1" l="1"/>
  <c r="H144" i="1"/>
  <c r="D146" i="1" l="1"/>
  <c r="H145" i="1"/>
  <c r="D147" i="1" l="1"/>
  <c r="H146" i="1"/>
  <c r="D148" i="1" l="1"/>
  <c r="H147" i="1"/>
  <c r="D149" i="1" l="1"/>
  <c r="H148" i="1"/>
  <c r="D150" i="1" l="1"/>
  <c r="H149" i="1"/>
  <c r="D151" i="1" l="1"/>
  <c r="H150" i="1"/>
  <c r="D152" i="1" l="1"/>
  <c r="H151" i="1"/>
  <c r="D153" i="1" l="1"/>
  <c r="H152" i="1"/>
  <c r="D154" i="1" l="1"/>
  <c r="H153" i="1"/>
  <c r="D155" i="1" l="1"/>
  <c r="H154" i="1"/>
  <c r="D156" i="1" l="1"/>
  <c r="H155" i="1"/>
  <c r="D157" i="1" l="1"/>
  <c r="H156" i="1"/>
  <c r="D158" i="1" l="1"/>
  <c r="H157" i="1"/>
  <c r="D159" i="1" l="1"/>
  <c r="H158" i="1"/>
  <c r="D160" i="1" l="1"/>
  <c r="H159" i="1"/>
  <c r="D161" i="1" l="1"/>
  <c r="H160" i="1"/>
  <c r="D162" i="1" l="1"/>
  <c r="H161" i="1"/>
  <c r="D163" i="1" l="1"/>
  <c r="H162" i="1"/>
  <c r="D164" i="1" l="1"/>
  <c r="H163" i="1"/>
  <c r="D165" i="1" l="1"/>
  <c r="H164" i="1"/>
  <c r="D166" i="1" l="1"/>
  <c r="H165" i="1"/>
  <c r="D167" i="1" l="1"/>
  <c r="H166" i="1"/>
  <c r="D168" i="1" l="1"/>
  <c r="H167" i="1"/>
  <c r="D169" i="1" l="1"/>
  <c r="H168" i="1"/>
  <c r="D170" i="1" l="1"/>
  <c r="H169" i="1"/>
  <c r="D171" i="1" l="1"/>
  <c r="H170" i="1"/>
  <c r="D172" i="1" l="1"/>
  <c r="H171" i="1"/>
  <c r="D173" i="1" l="1"/>
  <c r="H172" i="1"/>
  <c r="D174" i="1" l="1"/>
  <c r="H173" i="1"/>
  <c r="D175" i="1" l="1"/>
  <c r="H174" i="1"/>
  <c r="D176" i="1" l="1"/>
  <c r="H175" i="1"/>
  <c r="D177" i="1" l="1"/>
  <c r="H176" i="1"/>
  <c r="D178" i="1" l="1"/>
  <c r="H177" i="1"/>
  <c r="D179" i="1" l="1"/>
  <c r="H178" i="1"/>
  <c r="D180" i="1" l="1"/>
  <c r="H179" i="1"/>
  <c r="D181" i="1" l="1"/>
  <c r="H180" i="1"/>
  <c r="D182" i="1" l="1"/>
  <c r="H181" i="1"/>
  <c r="D183" i="1" l="1"/>
  <c r="H182" i="1"/>
  <c r="D184" i="1" l="1"/>
  <c r="H183" i="1"/>
  <c r="D185" i="1" l="1"/>
  <c r="H184" i="1"/>
  <c r="D186" i="1" l="1"/>
  <c r="H185" i="1"/>
  <c r="D187" i="1" l="1"/>
  <c r="H186" i="1"/>
  <c r="D188" i="1" l="1"/>
  <c r="H187" i="1"/>
  <c r="D189" i="1" l="1"/>
  <c r="H188" i="1"/>
  <c r="D190" i="1" l="1"/>
  <c r="H189" i="1"/>
  <c r="D191" i="1" l="1"/>
  <c r="H190" i="1"/>
  <c r="D192" i="1" l="1"/>
  <c r="H191" i="1"/>
  <c r="D193" i="1" l="1"/>
  <c r="H192" i="1"/>
  <c r="D194" i="1" l="1"/>
  <c r="H193" i="1"/>
  <c r="D195" i="1" l="1"/>
  <c r="H194" i="1"/>
  <c r="D196" i="1" l="1"/>
  <c r="H195" i="1"/>
  <c r="D197" i="1" l="1"/>
  <c r="H196" i="1"/>
  <c r="D198" i="1" l="1"/>
  <c r="H197" i="1"/>
  <c r="D199" i="1" l="1"/>
  <c r="H198" i="1"/>
  <c r="D200" i="1" l="1"/>
  <c r="H199" i="1"/>
  <c r="D201" i="1" l="1"/>
  <c r="H200" i="1"/>
  <c r="D202" i="1" l="1"/>
  <c r="H201" i="1"/>
  <c r="D203" i="1" l="1"/>
  <c r="H202" i="1"/>
  <c r="D204" i="1" l="1"/>
  <c r="H203" i="1"/>
  <c r="D205" i="1" l="1"/>
  <c r="H204" i="1"/>
  <c r="D206" i="1" l="1"/>
  <c r="H205" i="1"/>
  <c r="D207" i="1" l="1"/>
  <c r="H206" i="1"/>
  <c r="D208" i="1" l="1"/>
  <c r="H207" i="1"/>
  <c r="D209" i="1" l="1"/>
  <c r="H208" i="1"/>
  <c r="D210" i="1" l="1"/>
  <c r="H209" i="1"/>
  <c r="D211" i="1" l="1"/>
  <c r="H210" i="1"/>
  <c r="D212" i="1" l="1"/>
  <c r="H211" i="1"/>
  <c r="D213" i="1" l="1"/>
  <c r="H212" i="1"/>
  <c r="D214" i="1" l="1"/>
  <c r="H213" i="1"/>
  <c r="D215" i="1" l="1"/>
  <c r="H214" i="1"/>
  <c r="D216" i="1" l="1"/>
  <c r="H215" i="1"/>
  <c r="D217" i="1" l="1"/>
  <c r="H216" i="1"/>
  <c r="D218" i="1" l="1"/>
  <c r="H217" i="1"/>
  <c r="D219" i="1" l="1"/>
  <c r="H218" i="1"/>
  <c r="D220" i="1" l="1"/>
  <c r="H219" i="1"/>
  <c r="D221" i="1" l="1"/>
  <c r="H220" i="1"/>
  <c r="D222" i="1" l="1"/>
  <c r="H221" i="1"/>
  <c r="D223" i="1" l="1"/>
  <c r="H222" i="1"/>
  <c r="D224" i="1" l="1"/>
  <c r="H223" i="1"/>
  <c r="D225" i="1" l="1"/>
  <c r="H224" i="1"/>
  <c r="D226" i="1" l="1"/>
  <c r="H225" i="1"/>
  <c r="D227" i="1" l="1"/>
  <c r="H226" i="1"/>
  <c r="D228" i="1" l="1"/>
  <c r="H227" i="1"/>
  <c r="D229" i="1" l="1"/>
  <c r="H228" i="1"/>
  <c r="D230" i="1" l="1"/>
  <c r="H229" i="1"/>
  <c r="D231" i="1" l="1"/>
  <c r="H230" i="1"/>
  <c r="D232" i="1" l="1"/>
  <c r="H231" i="1"/>
  <c r="D233" i="1" l="1"/>
  <c r="H232" i="1"/>
  <c r="D234" i="1" l="1"/>
  <c r="H233" i="1"/>
  <c r="D235" i="1" l="1"/>
  <c r="H234" i="1"/>
  <c r="D236" i="1" l="1"/>
  <c r="H235" i="1"/>
  <c r="D237" i="1" l="1"/>
  <c r="H236" i="1"/>
  <c r="D238" i="1" l="1"/>
  <c r="H237" i="1"/>
  <c r="D239" i="1" l="1"/>
  <c r="H238" i="1"/>
  <c r="D240" i="1" l="1"/>
  <c r="H239" i="1"/>
  <c r="D241" i="1" l="1"/>
  <c r="H240" i="1"/>
  <c r="D242" i="1" l="1"/>
  <c r="H241" i="1"/>
  <c r="D243" i="1" l="1"/>
  <c r="H242" i="1"/>
  <c r="D244" i="1" l="1"/>
  <c r="H243" i="1"/>
  <c r="D245" i="1" l="1"/>
  <c r="H244" i="1"/>
  <c r="D246" i="1" l="1"/>
  <c r="H245" i="1"/>
  <c r="D247" i="1" l="1"/>
  <c r="H246" i="1"/>
  <c r="D248" i="1" l="1"/>
  <c r="H247" i="1"/>
  <c r="D249" i="1" l="1"/>
  <c r="H248" i="1"/>
  <c r="D250" i="1" l="1"/>
  <c r="H249" i="1"/>
  <c r="D251" i="1" l="1"/>
  <c r="H250" i="1"/>
  <c r="D252" i="1" l="1"/>
  <c r="H251" i="1"/>
  <c r="D253" i="1" l="1"/>
  <c r="H252" i="1"/>
  <c r="D254" i="1" l="1"/>
  <c r="H253" i="1"/>
  <c r="D255" i="1" l="1"/>
  <c r="H254" i="1"/>
  <c r="D256" i="1" l="1"/>
  <c r="H255" i="1"/>
  <c r="D257" i="1" l="1"/>
  <c r="H256" i="1"/>
  <c r="D258" i="1" l="1"/>
  <c r="H257" i="1"/>
  <c r="D259" i="1" l="1"/>
  <c r="H258" i="1"/>
  <c r="D260" i="1" l="1"/>
  <c r="H259" i="1"/>
  <c r="D261" i="1" l="1"/>
  <c r="H260" i="1"/>
  <c r="D262" i="1" l="1"/>
  <c r="H261" i="1"/>
  <c r="D263" i="1" l="1"/>
  <c r="H262" i="1"/>
  <c r="D264" i="1" l="1"/>
  <c r="H263" i="1"/>
  <c r="D265" i="1" l="1"/>
  <c r="H264" i="1"/>
  <c r="D266" i="1" l="1"/>
  <c r="H265" i="1"/>
  <c r="D267" i="1" l="1"/>
  <c r="H266" i="1"/>
  <c r="D268" i="1" l="1"/>
  <c r="H267" i="1"/>
  <c r="D269" i="1" l="1"/>
  <c r="H268" i="1"/>
  <c r="D270" i="1" l="1"/>
  <c r="H269" i="1"/>
  <c r="D271" i="1" l="1"/>
  <c r="H270" i="1"/>
  <c r="D272" i="1" l="1"/>
  <c r="H271" i="1"/>
  <c r="D273" i="1" l="1"/>
  <c r="H272" i="1"/>
  <c r="D274" i="1" l="1"/>
  <c r="H273" i="1"/>
  <c r="D275" i="1" l="1"/>
  <c r="H274" i="1"/>
  <c r="D276" i="1" l="1"/>
  <c r="H275" i="1"/>
  <c r="D277" i="1" l="1"/>
  <c r="H276" i="1"/>
  <c r="D278" i="1" l="1"/>
  <c r="H277" i="1"/>
  <c r="D279" i="1" l="1"/>
  <c r="H278" i="1"/>
  <c r="D280" i="1" l="1"/>
  <c r="H279" i="1"/>
  <c r="D281" i="1" l="1"/>
  <c r="H280" i="1"/>
  <c r="D282" i="1" l="1"/>
  <c r="H281" i="1"/>
  <c r="D283" i="1" l="1"/>
  <c r="H282" i="1"/>
  <c r="D284" i="1" l="1"/>
  <c r="H283" i="1"/>
  <c r="D285" i="1" l="1"/>
  <c r="H284" i="1"/>
  <c r="D286" i="1" l="1"/>
  <c r="H285" i="1"/>
  <c r="D287" i="1" l="1"/>
  <c r="H286" i="1"/>
  <c r="D288" i="1" l="1"/>
  <c r="H287" i="1"/>
  <c r="D289" i="1" l="1"/>
  <c r="H288" i="1"/>
  <c r="D290" i="1" l="1"/>
  <c r="H289" i="1"/>
  <c r="D291" i="1" l="1"/>
  <c r="H290" i="1"/>
  <c r="D292" i="1" l="1"/>
  <c r="H291" i="1"/>
  <c r="D293" i="1" l="1"/>
  <c r="H292" i="1"/>
  <c r="D294" i="1" l="1"/>
  <c r="H293" i="1"/>
  <c r="D295" i="1" l="1"/>
  <c r="H294" i="1"/>
  <c r="D296" i="1" l="1"/>
  <c r="H295" i="1"/>
  <c r="D297" i="1" l="1"/>
  <c r="H296" i="1"/>
  <c r="D298" i="1" l="1"/>
  <c r="H297" i="1"/>
  <c r="D299" i="1" l="1"/>
  <c r="H298" i="1"/>
  <c r="D300" i="1" l="1"/>
  <c r="H299" i="1"/>
  <c r="D301" i="1" l="1"/>
  <c r="H300" i="1"/>
  <c r="D302" i="1" l="1"/>
  <c r="H301" i="1"/>
  <c r="D303" i="1" l="1"/>
  <c r="H302" i="1"/>
  <c r="D304" i="1" l="1"/>
  <c r="H303" i="1"/>
  <c r="D305" i="1" l="1"/>
  <c r="H304" i="1"/>
  <c r="D306" i="1" l="1"/>
  <c r="H305" i="1"/>
  <c r="D307" i="1" l="1"/>
  <c r="H306" i="1"/>
  <c r="D308" i="1" l="1"/>
  <c r="H307" i="1"/>
  <c r="D309" i="1" l="1"/>
  <c r="H308" i="1"/>
  <c r="D310" i="1" l="1"/>
  <c r="H309" i="1"/>
  <c r="D311" i="1" l="1"/>
  <c r="H310" i="1"/>
  <c r="D312" i="1" l="1"/>
  <c r="H311" i="1"/>
  <c r="D313" i="1" l="1"/>
  <c r="H312" i="1"/>
  <c r="D314" i="1" l="1"/>
  <c r="H313" i="1"/>
  <c r="D315" i="1" l="1"/>
  <c r="H314" i="1"/>
  <c r="D316" i="1" l="1"/>
  <c r="H315" i="1"/>
  <c r="D317" i="1" l="1"/>
  <c r="H316" i="1"/>
  <c r="D318" i="1" l="1"/>
  <c r="H317" i="1"/>
  <c r="D319" i="1" l="1"/>
  <c r="H318" i="1"/>
  <c r="D320" i="1" l="1"/>
  <c r="H319" i="1"/>
  <c r="D321" i="1" l="1"/>
  <c r="H320" i="1"/>
  <c r="D322" i="1" l="1"/>
  <c r="H321" i="1"/>
  <c r="D323" i="1" l="1"/>
  <c r="H322" i="1"/>
  <c r="D324" i="1" l="1"/>
  <c r="H323" i="1"/>
  <c r="D325" i="1" l="1"/>
  <c r="H324" i="1"/>
  <c r="D326" i="1" l="1"/>
  <c r="H325" i="1"/>
  <c r="D327" i="1" l="1"/>
  <c r="H326" i="1"/>
  <c r="D328" i="1" l="1"/>
  <c r="H327" i="1"/>
  <c r="D329" i="1" l="1"/>
  <c r="H328" i="1"/>
  <c r="D330" i="1" l="1"/>
  <c r="H329" i="1"/>
  <c r="D331" i="1" l="1"/>
  <c r="H330" i="1"/>
  <c r="D332" i="1" l="1"/>
  <c r="H331" i="1"/>
  <c r="D333" i="1" l="1"/>
  <c r="H332" i="1"/>
  <c r="D334" i="1" l="1"/>
  <c r="H333" i="1"/>
  <c r="D335" i="1" l="1"/>
  <c r="H334" i="1"/>
  <c r="D336" i="1" l="1"/>
  <c r="H335" i="1"/>
  <c r="D337" i="1" l="1"/>
  <c r="H336" i="1"/>
  <c r="D338" i="1" l="1"/>
  <c r="H337" i="1"/>
  <c r="D339" i="1" l="1"/>
  <c r="H338" i="1"/>
  <c r="D340" i="1" l="1"/>
  <c r="H339" i="1"/>
  <c r="D341" i="1" l="1"/>
  <c r="H340" i="1"/>
  <c r="D342" i="1" l="1"/>
  <c r="H341" i="1"/>
  <c r="D343" i="1" l="1"/>
  <c r="H342" i="1"/>
  <c r="D344" i="1" l="1"/>
  <c r="H343" i="1"/>
  <c r="D345" i="1" l="1"/>
  <c r="H344" i="1"/>
  <c r="D346" i="1" l="1"/>
  <c r="H345" i="1"/>
  <c r="D347" i="1" l="1"/>
  <c r="H346" i="1"/>
  <c r="D348" i="1" l="1"/>
  <c r="H347" i="1"/>
  <c r="D349" i="1" l="1"/>
  <c r="H348" i="1"/>
  <c r="D350" i="1" l="1"/>
  <c r="H349" i="1"/>
  <c r="D351" i="1" l="1"/>
  <c r="H350" i="1"/>
  <c r="D352" i="1" l="1"/>
  <c r="H351" i="1"/>
  <c r="D353" i="1" l="1"/>
  <c r="H352" i="1"/>
  <c r="D354" i="1" l="1"/>
  <c r="H353" i="1"/>
  <c r="D355" i="1" l="1"/>
  <c r="H354" i="1"/>
  <c r="D356" i="1" l="1"/>
  <c r="H355" i="1"/>
  <c r="D357" i="1" l="1"/>
  <c r="H356" i="1"/>
  <c r="D358" i="1" l="1"/>
  <c r="H357" i="1"/>
  <c r="D359" i="1" l="1"/>
  <c r="H358" i="1"/>
  <c r="D360" i="1" l="1"/>
  <c r="H359" i="1"/>
  <c r="D361" i="1" l="1"/>
  <c r="H360" i="1"/>
  <c r="D362" i="1" l="1"/>
  <c r="H361" i="1"/>
  <c r="D363" i="1" l="1"/>
  <c r="H362" i="1"/>
  <c r="D364" i="1" l="1"/>
  <c r="H363" i="1"/>
  <c r="D365" i="1" l="1"/>
  <c r="H364" i="1"/>
  <c r="D366" i="1" l="1"/>
  <c r="H365" i="1"/>
  <c r="D367" i="1" l="1"/>
  <c r="H366" i="1"/>
  <c r="D368" i="1" l="1"/>
  <c r="H367" i="1"/>
  <c r="D369" i="1" l="1"/>
  <c r="H368" i="1"/>
  <c r="D370" i="1" l="1"/>
  <c r="H369" i="1"/>
  <c r="D371" i="1" l="1"/>
  <c r="H370" i="1"/>
  <c r="D372" i="1" l="1"/>
  <c r="H371" i="1"/>
  <c r="D373" i="1" l="1"/>
  <c r="H372" i="1"/>
  <c r="D374" i="1" l="1"/>
  <c r="H373" i="1"/>
  <c r="D375" i="1" l="1"/>
  <c r="H374" i="1"/>
  <c r="D376" i="1" l="1"/>
  <c r="H375" i="1"/>
  <c r="D377" i="1" l="1"/>
  <c r="H376" i="1"/>
  <c r="D378" i="1" l="1"/>
  <c r="H377" i="1"/>
  <c r="D379" i="1" l="1"/>
  <c r="H378" i="1"/>
  <c r="D380" i="1" l="1"/>
  <c r="H379" i="1"/>
  <c r="D381" i="1" l="1"/>
  <c r="H380" i="1"/>
  <c r="D382" i="1" l="1"/>
  <c r="H381" i="1"/>
  <c r="D383" i="1" l="1"/>
  <c r="H382" i="1"/>
  <c r="D384" i="1" l="1"/>
  <c r="H383" i="1"/>
  <c r="D385" i="1" l="1"/>
  <c r="H384" i="1"/>
  <c r="D386" i="1" l="1"/>
  <c r="H385" i="1"/>
  <c r="D387" i="1" l="1"/>
  <c r="H386" i="1"/>
  <c r="D388" i="1" l="1"/>
  <c r="H387" i="1"/>
  <c r="D389" i="1" l="1"/>
  <c r="H388" i="1"/>
  <c r="D390" i="1" l="1"/>
  <c r="H389" i="1"/>
  <c r="J11" i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D391" i="1" l="1"/>
  <c r="H390" i="1"/>
  <c r="L11" i="1"/>
  <c r="D27" i="17"/>
  <c r="D27" i="19"/>
  <c r="D27" i="18"/>
  <c r="D392" i="1" l="1"/>
  <c r="H391" i="1"/>
  <c r="D28" i="19"/>
  <c r="D28" i="18"/>
  <c r="D28" i="17"/>
  <c r="D393" i="1" l="1"/>
  <c r="H392" i="1"/>
  <c r="J27" i="17"/>
  <c r="D29" i="17"/>
  <c r="D29" i="19"/>
  <c r="D29" i="18"/>
  <c r="D394" i="1" l="1"/>
  <c r="H393" i="1"/>
  <c r="L27" i="17"/>
  <c r="K27" i="17"/>
  <c r="D30" i="18"/>
  <c r="F30" i="18" s="1"/>
  <c r="J30" i="18" s="1"/>
  <c r="K30" i="18" s="1"/>
  <c r="D30" i="19"/>
  <c r="D30" i="17"/>
  <c r="J28" i="17"/>
  <c r="D395" i="1" l="1"/>
  <c r="H394" i="1"/>
  <c r="L28" i="17"/>
  <c r="K28" i="17"/>
  <c r="F30" i="19"/>
  <c r="J30" i="19" s="1"/>
  <c r="D31" i="19"/>
  <c r="D31" i="17"/>
  <c r="D31" i="18"/>
  <c r="F31" i="18" s="1"/>
  <c r="J31" i="18" s="1"/>
  <c r="K31" i="18" s="1"/>
  <c r="J29" i="17"/>
  <c r="M27" i="17"/>
  <c r="D396" i="1" l="1"/>
  <c r="H395" i="1"/>
  <c r="L29" i="17"/>
  <c r="K29" i="17"/>
  <c r="M28" i="17"/>
  <c r="D32" i="17"/>
  <c r="D32" i="18"/>
  <c r="F32" i="18" s="1"/>
  <c r="J32" i="18" s="1"/>
  <c r="K32" i="18" s="1"/>
  <c r="J30" i="17"/>
  <c r="F31" i="19"/>
  <c r="J31" i="19" s="1"/>
  <c r="D32" i="19"/>
  <c r="K30" i="17" l="1"/>
  <c r="D397" i="1"/>
  <c r="H396" i="1"/>
  <c r="L30" i="17"/>
  <c r="F32" i="19"/>
  <c r="J32" i="19" s="1"/>
  <c r="D33" i="19"/>
  <c r="M29" i="17"/>
  <c r="M30" i="17" s="1"/>
  <c r="D33" i="17"/>
  <c r="D33" i="18"/>
  <c r="F33" i="18" s="1"/>
  <c r="J33" i="18" s="1"/>
  <c r="K33" i="18" s="1"/>
  <c r="J31" i="17"/>
  <c r="K31" i="17" s="1"/>
  <c r="D398" i="1" l="1"/>
  <c r="H397" i="1"/>
  <c r="L31" i="17"/>
  <c r="F33" i="19"/>
  <c r="D34" i="19"/>
  <c r="D34" i="17"/>
  <c r="D34" i="18"/>
  <c r="F34" i="18" s="1"/>
  <c r="J34" i="18" s="1"/>
  <c r="K34" i="18" s="1"/>
  <c r="J32" i="17"/>
  <c r="K32" i="17" s="1"/>
  <c r="D399" i="1" l="1"/>
  <c r="H398" i="1"/>
  <c r="L32" i="17"/>
  <c r="F34" i="19"/>
  <c r="J34" i="19" s="1"/>
  <c r="D35" i="19"/>
  <c r="D35" i="18"/>
  <c r="F35" i="18" s="1"/>
  <c r="J35" i="18" s="1"/>
  <c r="K35" i="18" s="1"/>
  <c r="J33" i="19"/>
  <c r="J33" i="17"/>
  <c r="K33" i="17" s="1"/>
  <c r="M31" i="17"/>
  <c r="D35" i="17"/>
  <c r="D400" i="1" l="1"/>
  <c r="H399" i="1"/>
  <c r="L33" i="17"/>
  <c r="M32" i="17"/>
  <c r="F35" i="19"/>
  <c r="J35" i="19" s="1"/>
  <c r="D36" i="19"/>
  <c r="J34" i="17"/>
  <c r="K34" i="17" s="1"/>
  <c r="D36" i="18"/>
  <c r="F36" i="18" s="1"/>
  <c r="J36" i="18" s="1"/>
  <c r="K36" i="18" s="1"/>
  <c r="D36" i="17"/>
  <c r="D401" i="1" l="1"/>
  <c r="H400" i="1"/>
  <c r="L34" i="17"/>
  <c r="M33" i="17"/>
  <c r="J35" i="17"/>
  <c r="K35" i="17" s="1"/>
  <c r="F36" i="19"/>
  <c r="J36" i="19" s="1"/>
  <c r="D37" i="19"/>
  <c r="M34" i="17"/>
  <c r="D37" i="17"/>
  <c r="D37" i="18"/>
  <c r="F37" i="18" s="1"/>
  <c r="J37" i="18" s="1"/>
  <c r="K37" i="18" s="1"/>
  <c r="D402" i="1" l="1"/>
  <c r="H401" i="1"/>
  <c r="L35" i="17"/>
  <c r="F37" i="19"/>
  <c r="J37" i="19" s="1"/>
  <c r="D38" i="19"/>
  <c r="D38" i="17"/>
  <c r="D38" i="18"/>
  <c r="F38" i="18" s="1"/>
  <c r="J38" i="18" s="1"/>
  <c r="K38" i="18" s="1"/>
  <c r="J36" i="17"/>
  <c r="K36" i="17" s="1"/>
  <c r="D403" i="1" l="1"/>
  <c r="H402" i="1"/>
  <c r="L36" i="17"/>
  <c r="F38" i="19"/>
  <c r="J38" i="19" s="1"/>
  <c r="D39" i="19"/>
  <c r="F39" i="19" s="1"/>
  <c r="D39" i="17"/>
  <c r="M35" i="17"/>
  <c r="J37" i="17"/>
  <c r="K37" i="17" s="1"/>
  <c r="D39" i="18"/>
  <c r="F39" i="18" s="1"/>
  <c r="J39" i="18" s="1"/>
  <c r="K39" i="18" s="1"/>
  <c r="D404" i="1" l="1"/>
  <c r="H403" i="1"/>
  <c r="L37" i="17"/>
  <c r="D38" i="21"/>
  <c r="D38" i="13"/>
  <c r="F38" i="13" s="1"/>
  <c r="M36" i="17"/>
  <c r="D40" i="17"/>
  <c r="J38" i="17"/>
  <c r="K38" i="17" s="1"/>
  <c r="J39" i="19"/>
  <c r="D405" i="1" l="1"/>
  <c r="H404" i="1"/>
  <c r="L38" i="17"/>
  <c r="D39" i="21"/>
  <c r="F38" i="21"/>
  <c r="M37" i="17"/>
  <c r="D39" i="13"/>
  <c r="F39" i="13" s="1"/>
  <c r="J39" i="17"/>
  <c r="K39" i="17" s="1"/>
  <c r="D41" i="17"/>
  <c r="L39" i="19"/>
  <c r="K39" i="19"/>
  <c r="D406" i="1" l="1"/>
  <c r="H405" i="1"/>
  <c r="L39" i="17"/>
  <c r="K38" i="21"/>
  <c r="D40" i="21"/>
  <c r="F39" i="21"/>
  <c r="K39" i="21" s="1"/>
  <c r="K38" i="13"/>
  <c r="D40" i="13"/>
  <c r="F40" i="13" s="1"/>
  <c r="N39" i="21"/>
  <c r="M38" i="2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O38" i="2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L38" i="2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M39" i="19"/>
  <c r="D42" i="17"/>
  <c r="J40" i="17"/>
  <c r="K40" i="17" s="1"/>
  <c r="M38" i="17"/>
  <c r="D407" i="1" l="1"/>
  <c r="H406" i="1"/>
  <c r="L40" i="17"/>
  <c r="D41" i="21"/>
  <c r="F40" i="21"/>
  <c r="K40" i="21" s="1"/>
  <c r="M39" i="17"/>
  <c r="K39" i="13"/>
  <c r="N38" i="13"/>
  <c r="L38" i="13"/>
  <c r="O38" i="13"/>
  <c r="M38" i="13"/>
  <c r="D41" i="13"/>
  <c r="F41" i="13" s="1"/>
  <c r="N40" i="21"/>
  <c r="J41" i="17"/>
  <c r="K41" i="17" s="1"/>
  <c r="D43" i="17"/>
  <c r="L41" i="17" l="1"/>
  <c r="D408" i="1"/>
  <c r="H407" i="1"/>
  <c r="M40" i="17"/>
  <c r="D42" i="21"/>
  <c r="F41" i="21"/>
  <c r="K41" i="21" s="1"/>
  <c r="D42" i="13"/>
  <c r="F42" i="13" s="1"/>
  <c r="O39" i="13"/>
  <c r="L39" i="13"/>
  <c r="M39" i="13"/>
  <c r="N39" i="13"/>
  <c r="K40" i="13"/>
  <c r="N41" i="21"/>
  <c r="D44" i="17"/>
  <c r="J42" i="17"/>
  <c r="K42" i="17" s="1"/>
  <c r="D409" i="1" l="1"/>
  <c r="H408" i="1"/>
  <c r="L42" i="17"/>
  <c r="D43" i="21"/>
  <c r="F42" i="21"/>
  <c r="K42" i="21" s="1"/>
  <c r="O40" i="13"/>
  <c r="L40" i="13"/>
  <c r="M40" i="13"/>
  <c r="N40" i="13"/>
  <c r="D43" i="13"/>
  <c r="F43" i="13" s="1"/>
  <c r="K41" i="13"/>
  <c r="N42" i="21"/>
  <c r="D45" i="17"/>
  <c r="J43" i="17"/>
  <c r="K43" i="17" s="1"/>
  <c r="M41" i="17"/>
  <c r="D410" i="1" l="1"/>
  <c r="H409" i="1"/>
  <c r="L43" i="17"/>
  <c r="D44" i="21"/>
  <c r="F43" i="21"/>
  <c r="L41" i="13"/>
  <c r="N41" i="13"/>
  <c r="O41" i="13"/>
  <c r="M41" i="13"/>
  <c r="K42" i="13"/>
  <c r="D44" i="13"/>
  <c r="F44" i="13" s="1"/>
  <c r="N43" i="21"/>
  <c r="M42" i="17"/>
  <c r="D46" i="17"/>
  <c r="J44" i="17"/>
  <c r="K44" i="17" s="1"/>
  <c r="D411" i="1" l="1"/>
  <c r="H410" i="1"/>
  <c r="L44" i="17"/>
  <c r="K43" i="21"/>
  <c r="D45" i="21"/>
  <c r="F44" i="21"/>
  <c r="K44" i="21" s="1"/>
  <c r="O42" i="13"/>
  <c r="M42" i="13"/>
  <c r="N42" i="13"/>
  <c r="L42" i="13"/>
  <c r="K43" i="13"/>
  <c r="D45" i="13"/>
  <c r="F45" i="13" s="1"/>
  <c r="N44" i="21"/>
  <c r="M43" i="17"/>
  <c r="D47" i="17"/>
  <c r="J45" i="17"/>
  <c r="K45" i="17" s="1"/>
  <c r="D412" i="1" l="1"/>
  <c r="H411" i="1"/>
  <c r="L45" i="17"/>
  <c r="M44" i="17"/>
  <c r="M45" i="17" s="1"/>
  <c r="D46" i="21"/>
  <c r="F45" i="21"/>
  <c r="K44" i="13"/>
  <c r="D46" i="13"/>
  <c r="F46" i="13" s="1"/>
  <c r="M43" i="13"/>
  <c r="N43" i="13"/>
  <c r="L43" i="13"/>
  <c r="O43" i="13"/>
  <c r="N45" i="21"/>
  <c r="J46" i="17"/>
  <c r="K46" i="17" s="1"/>
  <c r="D48" i="17"/>
  <c r="D413" i="1" l="1"/>
  <c r="H412" i="1"/>
  <c r="L46" i="17"/>
  <c r="K45" i="21"/>
  <c r="D47" i="21"/>
  <c r="F46" i="21"/>
  <c r="K46" i="21" s="1"/>
  <c r="D47" i="13"/>
  <c r="F47" i="13" s="1"/>
  <c r="K45" i="13"/>
  <c r="O44" i="13"/>
  <c r="N44" i="13"/>
  <c r="L44" i="13"/>
  <c r="M44" i="13"/>
  <c r="N46" i="21"/>
  <c r="J47" i="17"/>
  <c r="K47" i="17" s="1"/>
  <c r="M46" i="17"/>
  <c r="D49" i="17"/>
  <c r="D414" i="1" l="1"/>
  <c r="H413" i="1"/>
  <c r="L47" i="17"/>
  <c r="D48" i="21"/>
  <c r="F48" i="21" s="1"/>
  <c r="F47" i="21"/>
  <c r="K47" i="21" s="1"/>
  <c r="M45" i="13"/>
  <c r="O45" i="13"/>
  <c r="L45" i="13"/>
  <c r="N45" i="13"/>
  <c r="D48" i="13"/>
  <c r="F48" i="13" s="1"/>
  <c r="K46" i="13"/>
  <c r="N47" i="21"/>
  <c r="D50" i="17"/>
  <c r="J48" i="17"/>
  <c r="K48" i="17" s="1"/>
  <c r="D415" i="1" l="1"/>
  <c r="H414" i="1"/>
  <c r="L48" i="17"/>
  <c r="K48" i="21"/>
  <c r="L46" i="13"/>
  <c r="O46" i="13"/>
  <c r="M46" i="13"/>
  <c r="N46" i="13"/>
  <c r="K48" i="13"/>
  <c r="K47" i="13"/>
  <c r="N48" i="21"/>
  <c r="M47" i="17"/>
  <c r="J50" i="17"/>
  <c r="F51" i="17"/>
  <c r="J49" i="17"/>
  <c r="K49" i="17" s="1"/>
  <c r="K50" i="17" s="1"/>
  <c r="D416" i="1" l="1"/>
  <c r="H415" i="1"/>
  <c r="L49" i="17"/>
  <c r="L50" i="17" s="1"/>
  <c r="M48" i="17"/>
  <c r="M49" i="17" s="1"/>
  <c r="M47" i="13"/>
  <c r="N47" i="13"/>
  <c r="O47" i="13"/>
  <c r="L47" i="13"/>
  <c r="L48" i="13" s="1"/>
  <c r="M48" i="13"/>
  <c r="N48" i="13"/>
  <c r="O48" i="13"/>
  <c r="H49" i="13"/>
  <c r="G49" i="13"/>
  <c r="L51" i="17"/>
  <c r="J51" i="17"/>
  <c r="G51" i="17"/>
  <c r="D417" i="1" l="1"/>
  <c r="H416" i="1"/>
  <c r="H64" i="17"/>
  <c r="M50" i="17"/>
  <c r="M51" i="17" s="1"/>
  <c r="K51" i="17"/>
  <c r="K52" i="17" s="1"/>
  <c r="L20" i="17" a="1"/>
  <c r="L20" i="17" s="1"/>
  <c r="D418" i="1" l="1"/>
  <c r="H417" i="1"/>
  <c r="L21" i="17"/>
  <c r="G63" i="17"/>
  <c r="H63" i="17"/>
  <c r="H56" i="17"/>
  <c r="G55" i="17"/>
  <c r="G64" i="17"/>
  <c r="G59" i="17"/>
  <c r="D419" i="1" l="1"/>
  <c r="H418" i="1"/>
  <c r="G60" i="17"/>
  <c r="H59" i="17"/>
  <c r="H60" i="17" s="1"/>
  <c r="G57" i="17"/>
  <c r="H55" i="17"/>
  <c r="H57" i="17" s="1"/>
  <c r="D420" i="1" l="1"/>
  <c r="H419" i="1"/>
  <c r="D421" i="1" l="1"/>
  <c r="H420" i="1"/>
  <c r="D422" i="1" l="1"/>
  <c r="H421" i="1"/>
  <c r="D423" i="1" l="1"/>
  <c r="H422" i="1"/>
  <c r="D424" i="1" l="1"/>
  <c r="H423" i="1"/>
  <c r="D425" i="1" l="1"/>
  <c r="H424" i="1"/>
  <c r="D426" i="1" l="1"/>
  <c r="H425" i="1"/>
  <c r="D427" i="1" l="1"/>
  <c r="H426" i="1"/>
  <c r="D428" i="1" l="1"/>
  <c r="H427" i="1"/>
  <c r="D429" i="1" l="1"/>
  <c r="H428" i="1"/>
  <c r="D430" i="1" l="1"/>
  <c r="H429" i="1"/>
  <c r="D431" i="1" l="1"/>
  <c r="H430" i="1"/>
  <c r="D432" i="1" l="1"/>
  <c r="H431" i="1"/>
  <c r="D433" i="1" l="1"/>
  <c r="H432" i="1"/>
  <c r="D434" i="1" l="1"/>
  <c r="H433" i="1"/>
  <c r="D435" i="1" l="1"/>
  <c r="H434" i="1"/>
  <c r="D436" i="1" l="1"/>
  <c r="H435" i="1"/>
  <c r="D437" i="1" l="1"/>
  <c r="H436" i="1"/>
  <c r="D438" i="1" l="1"/>
  <c r="H437" i="1"/>
  <c r="D439" i="1" l="1"/>
  <c r="H438" i="1"/>
  <c r="D440" i="1" l="1"/>
  <c r="H439" i="1"/>
  <c r="I49" i="22"/>
  <c r="D441" i="1" l="1"/>
  <c r="H440" i="1"/>
  <c r="D442" i="1" l="1"/>
  <c r="H441" i="1"/>
  <c r="D443" i="1" l="1"/>
  <c r="H442" i="1"/>
  <c r="D444" i="1" l="1"/>
  <c r="H443" i="1"/>
  <c r="D445" i="1" l="1"/>
  <c r="H444" i="1"/>
  <c r="D446" i="1" l="1"/>
  <c r="H445" i="1"/>
  <c r="D447" i="1" l="1"/>
  <c r="H446" i="1"/>
  <c r="D448" i="1" l="1"/>
  <c r="H447" i="1"/>
  <c r="D449" i="1" l="1"/>
  <c r="H448" i="1"/>
  <c r="D450" i="1" l="1"/>
  <c r="H449" i="1"/>
  <c r="D451" i="1" l="1"/>
  <c r="H450" i="1"/>
  <c r="D452" i="1" l="1"/>
  <c r="H451" i="1"/>
  <c r="D453" i="1" l="1"/>
  <c r="H452" i="1"/>
  <c r="D454" i="1" l="1"/>
  <c r="H453" i="1"/>
  <c r="D455" i="1" l="1"/>
  <c r="H454" i="1"/>
  <c r="D456" i="1" l="1"/>
  <c r="H455" i="1"/>
  <c r="D457" i="1" l="1"/>
  <c r="H456" i="1"/>
  <c r="D458" i="1" l="1"/>
  <c r="H457" i="1"/>
  <c r="D459" i="1" l="1"/>
  <c r="H458" i="1"/>
  <c r="D460" i="1" l="1"/>
  <c r="H459" i="1"/>
  <c r="D461" i="1" l="1"/>
  <c r="H460" i="1"/>
  <c r="D462" i="1" l="1"/>
  <c r="H461" i="1"/>
  <c r="D463" i="1" l="1"/>
  <c r="H462" i="1"/>
  <c r="D464" i="1" l="1"/>
  <c r="H463" i="1"/>
  <c r="D465" i="1" l="1"/>
  <c r="H464" i="1"/>
  <c r="D466" i="1" l="1"/>
  <c r="H465" i="1"/>
  <c r="D467" i="1" l="1"/>
  <c r="H466" i="1"/>
  <c r="D468" i="1" l="1"/>
  <c r="H467" i="1"/>
  <c r="D469" i="1" l="1"/>
  <c r="H468" i="1"/>
  <c r="D470" i="1" l="1"/>
  <c r="H469" i="1"/>
  <c r="D471" i="1" l="1"/>
  <c r="H470" i="1"/>
  <c r="D472" i="1" l="1"/>
  <c r="H471" i="1"/>
  <c r="D473" i="1" l="1"/>
  <c r="H472" i="1"/>
  <c r="D474" i="1" l="1"/>
  <c r="H473" i="1"/>
  <c r="D475" i="1" l="1"/>
  <c r="H474" i="1"/>
  <c r="D476" i="1" l="1"/>
  <c r="H475" i="1"/>
  <c r="D477" i="1" l="1"/>
  <c r="H476" i="1"/>
  <c r="D478" i="1" l="1"/>
  <c r="H477" i="1"/>
  <c r="D479" i="1" l="1"/>
  <c r="H478" i="1"/>
  <c r="D480" i="1" l="1"/>
  <c r="H479" i="1"/>
  <c r="D481" i="1" l="1"/>
  <c r="H480" i="1"/>
  <c r="D482" i="1" l="1"/>
  <c r="H481" i="1"/>
  <c r="D483" i="1" l="1"/>
  <c r="H482" i="1"/>
  <c r="D484" i="1" l="1"/>
  <c r="H483" i="1"/>
  <c r="D485" i="1" l="1"/>
  <c r="H484" i="1"/>
  <c r="D486" i="1" l="1"/>
  <c r="H485" i="1"/>
  <c r="D487" i="1" l="1"/>
  <c r="H486" i="1"/>
  <c r="D488" i="1" l="1"/>
  <c r="H487" i="1"/>
  <c r="D489" i="1" l="1"/>
  <c r="H488" i="1"/>
  <c r="D490" i="1" l="1"/>
  <c r="H489" i="1"/>
  <c r="D491" i="1" l="1"/>
  <c r="H490" i="1"/>
  <c r="D492" i="1" l="1"/>
  <c r="H491" i="1"/>
  <c r="D493" i="1" l="1"/>
  <c r="H493" i="1" s="1"/>
  <c r="H492" i="1"/>
  <c r="J8" i="1" l="1"/>
  <c r="H495" i="1"/>
  <c r="J9" i="1" l="1"/>
  <c r="L9" i="1" s="1"/>
  <c r="F28" i="18" s="1"/>
  <c r="J28" i="18" s="1"/>
  <c r="K28" i="18" s="1"/>
  <c r="J10" i="1"/>
  <c r="L10" i="1" s="1"/>
  <c r="F29" i="18" s="1"/>
  <c r="J29" i="18" s="1"/>
  <c r="K29" i="18" s="1"/>
  <c r="J20" i="1"/>
  <c r="L20" i="1" s="1"/>
  <c r="J21" i="1"/>
  <c r="L21" i="1" s="1"/>
  <c r="J22" i="1"/>
  <c r="L22" i="1" s="1"/>
  <c r="J23" i="1"/>
  <c r="L23" i="1" s="1"/>
  <c r="L8" i="1"/>
  <c r="F18" i="14" l="1" a="1"/>
  <c r="F18" i="14" s="1"/>
  <c r="D25" i="14" s="1"/>
  <c r="F18" i="16" a="1"/>
  <c r="F18" i="16" s="1"/>
  <c r="D27" i="16" s="1"/>
  <c r="M13" i="20"/>
  <c r="M13" i="14"/>
  <c r="L13" i="16"/>
  <c r="M13" i="13"/>
  <c r="F18" i="20" a="1"/>
  <c r="F18" i="20" s="1"/>
  <c r="D25" i="20" s="1"/>
  <c r="M13" i="21"/>
  <c r="F18" i="13" a="1"/>
  <c r="F18" i="13" s="1"/>
  <c r="D25" i="13" s="1"/>
  <c r="F17" i="23" a="1"/>
  <c r="F17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F17" i="22" a="1"/>
  <c r="F17" i="22" s="1"/>
  <c r="D25" i="22" s="1"/>
  <c r="D26" i="22" s="1"/>
  <c r="D27" i="22" s="1"/>
  <c r="D28" i="22" s="1"/>
  <c r="D29" i="22" s="1"/>
  <c r="D30" i="22" s="1"/>
  <c r="D31" i="22" s="1"/>
  <c r="D32" i="22" s="1"/>
  <c r="D33" i="22" s="1"/>
  <c r="D34" i="22" s="1"/>
  <c r="D35" i="22" s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L13" i="17"/>
  <c r="L13" i="19"/>
  <c r="M13" i="18"/>
  <c r="F18" i="21" a="1"/>
  <c r="F18" i="21" s="1"/>
  <c r="D25" i="21" s="1"/>
  <c r="L32" i="1"/>
  <c r="F27" i="18"/>
  <c r="F27" i="19"/>
  <c r="F29" i="19"/>
  <c r="J29" i="19" s="1"/>
  <c r="F28" i="19"/>
  <c r="J28" i="19" s="1"/>
  <c r="M21" i="18" l="1"/>
  <c r="J27" i="18"/>
  <c r="F25" i="13"/>
  <c r="D26" i="13"/>
  <c r="F51" i="18"/>
  <c r="F25" i="21"/>
  <c r="D26" i="21"/>
  <c r="F25" i="20"/>
  <c r="D26" i="20"/>
  <c r="D28" i="16"/>
  <c r="F27" i="16"/>
  <c r="J27" i="19"/>
  <c r="F51" i="19"/>
  <c r="F25" i="14"/>
  <c r="D26" i="14"/>
  <c r="F26" i="21" l="1"/>
  <c r="D27" i="21"/>
  <c r="D29" i="16"/>
  <c r="F28" i="16"/>
  <c r="J28" i="16" s="1"/>
  <c r="K25" i="21"/>
  <c r="F26" i="14"/>
  <c r="D27" i="14"/>
  <c r="J27" i="16"/>
  <c r="K25" i="14"/>
  <c r="K27" i="18"/>
  <c r="J51" i="18"/>
  <c r="F26" i="13"/>
  <c r="D27" i="13"/>
  <c r="D27" i="20"/>
  <c r="F26" i="20"/>
  <c r="L27" i="19"/>
  <c r="K27" i="19"/>
  <c r="K28" i="19" s="1"/>
  <c r="K29" i="19" s="1"/>
  <c r="J51" i="19"/>
  <c r="K25" i="20"/>
  <c r="K25" i="13"/>
  <c r="M27" i="18" l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L27" i="18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O25" i="13"/>
  <c r="N25" i="13"/>
  <c r="L25" i="13"/>
  <c r="M25" i="13"/>
  <c r="K26" i="14"/>
  <c r="D28" i="20"/>
  <c r="F27" i="20"/>
  <c r="F27" i="13"/>
  <c r="D28" i="13"/>
  <c r="K26" i="13"/>
  <c r="M25" i="20"/>
  <c r="N25" i="20"/>
  <c r="O25" i="20"/>
  <c r="L25" i="20"/>
  <c r="K51" i="18"/>
  <c r="M27" i="19"/>
  <c r="O25" i="21"/>
  <c r="L25" i="21"/>
  <c r="M25" i="21"/>
  <c r="N25" i="21"/>
  <c r="K26" i="20"/>
  <c r="L28" i="19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25" i="14"/>
  <c r="N25" i="14"/>
  <c r="M25" i="14"/>
  <c r="O25" i="14"/>
  <c r="F29" i="16"/>
  <c r="D30" i="16"/>
  <c r="K27" i="16"/>
  <c r="K28" i="16" s="1"/>
  <c r="L27" i="16"/>
  <c r="F27" i="21"/>
  <c r="D28" i="21"/>
  <c r="F27" i="14"/>
  <c r="D28" i="14"/>
  <c r="K26" i="21"/>
  <c r="L51" i="19" l="1"/>
  <c r="H63" i="19" s="1"/>
  <c r="M28" i="19"/>
  <c r="M29" i="19" s="1"/>
  <c r="L26" i="14"/>
  <c r="M26" i="14"/>
  <c r="O26" i="14"/>
  <c r="N26" i="14"/>
  <c r="R25" i="21"/>
  <c r="K30" i="19"/>
  <c r="K31" i="19" s="1"/>
  <c r="D31" i="16"/>
  <c r="F30" i="16"/>
  <c r="J30" i="16" s="1"/>
  <c r="N26" i="13"/>
  <c r="L26" i="13"/>
  <c r="O26" i="13"/>
  <c r="M26" i="13"/>
  <c r="F28" i="14"/>
  <c r="D29" i="14"/>
  <c r="F28" i="13"/>
  <c r="D29" i="13"/>
  <c r="M27" i="16"/>
  <c r="J29" i="16"/>
  <c r="K27" i="14"/>
  <c r="K27" i="13"/>
  <c r="R25" i="13"/>
  <c r="F28" i="21"/>
  <c r="D29" i="21"/>
  <c r="K27" i="20"/>
  <c r="M26" i="21"/>
  <c r="L26" i="21"/>
  <c r="N26" i="21"/>
  <c r="R26" i="21" s="1"/>
  <c r="O26" i="21"/>
  <c r="L28" i="16"/>
  <c r="M28" i="16" s="1"/>
  <c r="K27" i="21"/>
  <c r="N26" i="20"/>
  <c r="O26" i="20"/>
  <c r="L26" i="20"/>
  <c r="M26" i="20"/>
  <c r="R25" i="20"/>
  <c r="D29" i="20"/>
  <c r="F28" i="20"/>
  <c r="L51" i="18" l="1"/>
  <c r="G54" i="18" s="1"/>
  <c r="D30" i="20"/>
  <c r="F29" i="20"/>
  <c r="K28" i="13"/>
  <c r="M30" i="19"/>
  <c r="M31" i="19" s="1"/>
  <c r="L29" i="16"/>
  <c r="L30" i="16" s="1"/>
  <c r="M30" i="16" s="1"/>
  <c r="K32" i="19"/>
  <c r="F29" i="14"/>
  <c r="D30" i="14"/>
  <c r="K28" i="20"/>
  <c r="M27" i="20"/>
  <c r="O27" i="20"/>
  <c r="L27" i="20"/>
  <c r="N27" i="20"/>
  <c r="K28" i="14"/>
  <c r="M27" i="13"/>
  <c r="N27" i="13"/>
  <c r="O27" i="13"/>
  <c r="L27" i="13"/>
  <c r="K28" i="21"/>
  <c r="D32" i="16"/>
  <c r="F31" i="16"/>
  <c r="J31" i="16" s="1"/>
  <c r="F29" i="21"/>
  <c r="D30" i="21"/>
  <c r="M27" i="21"/>
  <c r="O27" i="21"/>
  <c r="N27" i="21"/>
  <c r="L27" i="21"/>
  <c r="K29" i="16"/>
  <c r="K30" i="16" s="1"/>
  <c r="N27" i="14"/>
  <c r="M27" i="14"/>
  <c r="O27" i="14"/>
  <c r="L27" i="14"/>
  <c r="F29" i="13"/>
  <c r="D30" i="13"/>
  <c r="L31" i="16" l="1"/>
  <c r="M31" i="16" s="1"/>
  <c r="G63" i="18"/>
  <c r="K31" i="16"/>
  <c r="G56" i="18"/>
  <c r="D31" i="20"/>
  <c r="F30" i="20"/>
  <c r="F30" i="14"/>
  <c r="D31" i="14"/>
  <c r="D33" i="16"/>
  <c r="F32" i="16"/>
  <c r="J32" i="16" s="1"/>
  <c r="K29" i="14"/>
  <c r="L28" i="14"/>
  <c r="M28" i="21"/>
  <c r="O28" i="21"/>
  <c r="N28" i="21"/>
  <c r="L28" i="21"/>
  <c r="M32" i="19"/>
  <c r="K33" i="19"/>
  <c r="N28" i="13"/>
  <c r="O28" i="13"/>
  <c r="M28" i="13"/>
  <c r="L28" i="13"/>
  <c r="F30" i="13"/>
  <c r="D31" i="13"/>
  <c r="K29" i="13"/>
  <c r="O28" i="14"/>
  <c r="L28" i="20"/>
  <c r="O28" i="20"/>
  <c r="M28" i="20"/>
  <c r="N28" i="20"/>
  <c r="M28" i="14"/>
  <c r="N28" i="14"/>
  <c r="M29" i="16"/>
  <c r="F30" i="21"/>
  <c r="D31" i="21"/>
  <c r="K29" i="21"/>
  <c r="K29" i="20"/>
  <c r="K30" i="13" l="1"/>
  <c r="K30" i="14"/>
  <c r="K30" i="20"/>
  <c r="M29" i="21"/>
  <c r="O29" i="21"/>
  <c r="N29" i="21"/>
  <c r="L29" i="21"/>
  <c r="D32" i="20"/>
  <c r="F31" i="20"/>
  <c r="F31" i="21"/>
  <c r="D32" i="21"/>
  <c r="N29" i="20"/>
  <c r="M29" i="20"/>
  <c r="O29" i="20"/>
  <c r="L29" i="20"/>
  <c r="K30" i="21"/>
  <c r="M29" i="14"/>
  <c r="L29" i="14"/>
  <c r="O29" i="14"/>
  <c r="N29" i="14"/>
  <c r="K32" i="16"/>
  <c r="L32" i="16"/>
  <c r="N29" i="13"/>
  <c r="L29" i="13"/>
  <c r="O29" i="13"/>
  <c r="M29" i="13"/>
  <c r="F33" i="16"/>
  <c r="J33" i="16" s="1"/>
  <c r="D34" i="16"/>
  <c r="F31" i="13"/>
  <c r="D32" i="13"/>
  <c r="K34" i="19"/>
  <c r="K35" i="19" s="1"/>
  <c r="M33" i="19"/>
  <c r="D32" i="14"/>
  <c r="F31" i="14"/>
  <c r="M34" i="19" l="1"/>
  <c r="K31" i="21"/>
  <c r="N30" i="20"/>
  <c r="M30" i="20"/>
  <c r="L30" i="20"/>
  <c r="O30" i="20"/>
  <c r="K31" i="20"/>
  <c r="D33" i="20"/>
  <c r="F32" i="20"/>
  <c r="F32" i="14"/>
  <c r="D33" i="14"/>
  <c r="O30" i="21"/>
  <c r="N30" i="21"/>
  <c r="M30" i="21"/>
  <c r="L30" i="21"/>
  <c r="K36" i="19"/>
  <c r="M35" i="19"/>
  <c r="F32" i="13"/>
  <c r="D33" i="13"/>
  <c r="K31" i="14"/>
  <c r="K31" i="13"/>
  <c r="N30" i="14"/>
  <c r="O30" i="14"/>
  <c r="L30" i="14"/>
  <c r="M30" i="14"/>
  <c r="D35" i="16"/>
  <c r="F34" i="16"/>
  <c r="J34" i="16" s="1"/>
  <c r="M32" i="16"/>
  <c r="K33" i="16"/>
  <c r="L33" i="16"/>
  <c r="M33" i="16" s="1"/>
  <c r="F32" i="21"/>
  <c r="D33" i="21"/>
  <c r="O30" i="13"/>
  <c r="M30" i="13"/>
  <c r="L30" i="13"/>
  <c r="N30" i="13"/>
  <c r="F33" i="21" l="1"/>
  <c r="D34" i="21"/>
  <c r="K32" i="14"/>
  <c r="L31" i="20"/>
  <c r="O31" i="20"/>
  <c r="N31" i="20"/>
  <c r="M31" i="20"/>
  <c r="K32" i="21"/>
  <c r="M31" i="14"/>
  <c r="N31" i="14"/>
  <c r="O31" i="14"/>
  <c r="L31" i="14"/>
  <c r="K37" i="19"/>
  <c r="M36" i="19"/>
  <c r="F33" i="13"/>
  <c r="D34" i="13"/>
  <c r="K32" i="20"/>
  <c r="D36" i="16"/>
  <c r="F35" i="16"/>
  <c r="J35" i="16" s="1"/>
  <c r="M31" i="13"/>
  <c r="O31" i="13"/>
  <c r="N31" i="13"/>
  <c r="L31" i="13"/>
  <c r="K32" i="13"/>
  <c r="F33" i="20"/>
  <c r="D34" i="20"/>
  <c r="K34" i="16"/>
  <c r="L34" i="16"/>
  <c r="D34" i="14"/>
  <c r="F33" i="14"/>
  <c r="L31" i="21"/>
  <c r="N31" i="21"/>
  <c r="M31" i="21"/>
  <c r="O31" i="21"/>
  <c r="O32" i="20" l="1"/>
  <c r="L32" i="20"/>
  <c r="M32" i="20"/>
  <c r="N32" i="20"/>
  <c r="F34" i="13"/>
  <c r="D35" i="13"/>
  <c r="M37" i="19"/>
  <c r="K38" i="19"/>
  <c r="K33" i="14"/>
  <c r="O32" i="13"/>
  <c r="N32" i="13"/>
  <c r="L32" i="13"/>
  <c r="M32" i="13"/>
  <c r="M34" i="16"/>
  <c r="K33" i="13"/>
  <c r="F34" i="20"/>
  <c r="D35" i="20"/>
  <c r="K33" i="20"/>
  <c r="L35" i="16"/>
  <c r="M35" i="16" s="1"/>
  <c r="K35" i="16"/>
  <c r="F36" i="16"/>
  <c r="J36" i="16" s="1"/>
  <c r="D37" i="16"/>
  <c r="L32" i="14"/>
  <c r="O32" i="14"/>
  <c r="N32" i="14"/>
  <c r="M32" i="14"/>
  <c r="F34" i="21"/>
  <c r="D35" i="21"/>
  <c r="D35" i="14"/>
  <c r="F34" i="14"/>
  <c r="N32" i="21"/>
  <c r="M32" i="21"/>
  <c r="L32" i="21"/>
  <c r="O32" i="21"/>
  <c r="K33" i="21"/>
  <c r="K34" i="14" l="1"/>
  <c r="M38" i="19"/>
  <c r="M51" i="19" s="1"/>
  <c r="K51" i="19"/>
  <c r="F35" i="13"/>
  <c r="D36" i="13"/>
  <c r="F37" i="16"/>
  <c r="J37" i="16" s="1"/>
  <c r="D38" i="16"/>
  <c r="K34" i="21"/>
  <c r="K34" i="13"/>
  <c r="D36" i="20"/>
  <c r="F35" i="20"/>
  <c r="L33" i="21"/>
  <c r="M33" i="21"/>
  <c r="O33" i="21"/>
  <c r="N33" i="21"/>
  <c r="K36" i="16"/>
  <c r="L36" i="16"/>
  <c r="F35" i="21"/>
  <c r="D36" i="21"/>
  <c r="L20" i="19" a="1"/>
  <c r="L20" i="19" s="1"/>
  <c r="D36" i="14"/>
  <c r="F35" i="14"/>
  <c r="K34" i="20"/>
  <c r="M33" i="20"/>
  <c r="N33" i="20"/>
  <c r="O33" i="20"/>
  <c r="L33" i="20"/>
  <c r="L33" i="13"/>
  <c r="M33" i="13"/>
  <c r="N33" i="13"/>
  <c r="O33" i="13"/>
  <c r="O33" i="14"/>
  <c r="M33" i="14"/>
  <c r="N33" i="14"/>
  <c r="L33" i="14"/>
  <c r="F36" i="13" l="1"/>
  <c r="D37" i="13"/>
  <c r="F37" i="13" s="1"/>
  <c r="K35" i="13"/>
  <c r="F36" i="20"/>
  <c r="D37" i="20"/>
  <c r="F37" i="20" s="1"/>
  <c r="O34" i="20"/>
  <c r="L34" i="20"/>
  <c r="M34" i="20"/>
  <c r="N34" i="20"/>
  <c r="M36" i="16"/>
  <c r="G58" i="19"/>
  <c r="G63" i="19"/>
  <c r="H55" i="19"/>
  <c r="G54" i="19"/>
  <c r="K35" i="21"/>
  <c r="K35" i="14"/>
  <c r="O34" i="13"/>
  <c r="N34" i="13"/>
  <c r="L34" i="13"/>
  <c r="M34" i="13"/>
  <c r="D37" i="14"/>
  <c r="F37" i="14" s="1"/>
  <c r="F36" i="14"/>
  <c r="H62" i="19"/>
  <c r="L21" i="19"/>
  <c r="G62" i="19"/>
  <c r="L34" i="21"/>
  <c r="N34" i="21"/>
  <c r="O34" i="21"/>
  <c r="M34" i="21"/>
  <c r="K35" i="20"/>
  <c r="D39" i="16"/>
  <c r="F39" i="16" s="1"/>
  <c r="F38" i="16"/>
  <c r="J38" i="16" s="1"/>
  <c r="M34" i="14"/>
  <c r="O34" i="14"/>
  <c r="N34" i="14"/>
  <c r="L34" i="14"/>
  <c r="F36" i="21"/>
  <c r="D37" i="21"/>
  <c r="F37" i="21" s="1"/>
  <c r="K37" i="16"/>
  <c r="L37" i="16"/>
  <c r="M37" i="16" s="1"/>
  <c r="K38" i="16" l="1"/>
  <c r="L38" i="16"/>
  <c r="M38" i="16" s="1"/>
  <c r="K37" i="20"/>
  <c r="F49" i="20"/>
  <c r="K36" i="20"/>
  <c r="K37" i="21"/>
  <c r="F49" i="21"/>
  <c r="N35" i="14"/>
  <c r="M35" i="14"/>
  <c r="O35" i="14"/>
  <c r="L35" i="14"/>
  <c r="J39" i="16"/>
  <c r="F51" i="16"/>
  <c r="K36" i="21"/>
  <c r="L35" i="20"/>
  <c r="O35" i="20"/>
  <c r="M35" i="20"/>
  <c r="N35" i="20"/>
  <c r="K36" i="14"/>
  <c r="M35" i="13"/>
  <c r="L35" i="13"/>
  <c r="O35" i="13"/>
  <c r="N35" i="13"/>
  <c r="K37" i="14"/>
  <c r="F49" i="14"/>
  <c r="K37" i="13"/>
  <c r="F49" i="13"/>
  <c r="M51" i="18"/>
  <c r="G59" i="19"/>
  <c r="H58" i="19"/>
  <c r="H59" i="19" s="1"/>
  <c r="L35" i="21"/>
  <c r="M35" i="21"/>
  <c r="O35" i="21"/>
  <c r="N35" i="21"/>
  <c r="M20" i="18" a="1"/>
  <c r="M20" i="18" s="1"/>
  <c r="H54" i="19"/>
  <c r="H56" i="19" s="1"/>
  <c r="G56" i="19"/>
  <c r="K36" i="13"/>
  <c r="K49" i="21" l="1"/>
  <c r="K49" i="13"/>
  <c r="O36" i="14"/>
  <c r="O37" i="14" s="1"/>
  <c r="O49" i="14" s="1"/>
  <c r="M36" i="14"/>
  <c r="L36" i="14"/>
  <c r="L37" i="14" s="1"/>
  <c r="L49" i="14" s="1"/>
  <c r="N36" i="14"/>
  <c r="N37" i="14" s="1"/>
  <c r="N49" i="14" s="1"/>
  <c r="K39" i="16"/>
  <c r="K51" i="16" s="1"/>
  <c r="L39" i="16"/>
  <c r="J51" i="16"/>
  <c r="L36" i="13"/>
  <c r="L37" i="13" s="1"/>
  <c r="L49" i="13" s="1"/>
  <c r="N36" i="13"/>
  <c r="K49" i="14"/>
  <c r="H63" i="18"/>
  <c r="G58" i="18"/>
  <c r="H55" i="18"/>
  <c r="H54" i="18"/>
  <c r="O36" i="13"/>
  <c r="O37" i="13" s="1"/>
  <c r="O49" i="13" s="1"/>
  <c r="H62" i="18"/>
  <c r="G62" i="18"/>
  <c r="K49" i="20"/>
  <c r="N36" i="20"/>
  <c r="N37" i="20" s="1"/>
  <c r="N49" i="20" s="1"/>
  <c r="M36" i="20"/>
  <c r="M37" i="20" s="1"/>
  <c r="M49" i="20" s="1"/>
  <c r="O36" i="20"/>
  <c r="O37" i="20" s="1"/>
  <c r="O49" i="20" s="1"/>
  <c r="L36" i="20"/>
  <c r="L37" i="20" s="1"/>
  <c r="L49" i="20" s="1"/>
  <c r="M36" i="13"/>
  <c r="M37" i="13" s="1"/>
  <c r="M49" i="13" s="1"/>
  <c r="O36" i="21"/>
  <c r="O37" i="21" s="1"/>
  <c r="O49" i="21" s="1"/>
  <c r="N36" i="21"/>
  <c r="N37" i="21" s="1"/>
  <c r="N38" i="21" s="1"/>
  <c r="N49" i="21" s="1"/>
  <c r="M36" i="21"/>
  <c r="M37" i="21" s="1"/>
  <c r="M49" i="21" s="1"/>
  <c r="L36" i="21"/>
  <c r="L37" i="21" s="1"/>
  <c r="L49" i="21" s="1"/>
  <c r="O18" i="20" l="1" a="1"/>
  <c r="O18" i="20" s="1"/>
  <c r="Q18" i="20" s="1"/>
  <c r="P25" i="20" s="1"/>
  <c r="O19" i="14" a="1"/>
  <c r="O19" i="14" s="1"/>
  <c r="H60" i="14" s="1"/>
  <c r="H56" i="18"/>
  <c r="H53" i="13"/>
  <c r="G56" i="13"/>
  <c r="H61" i="13"/>
  <c r="G52" i="13"/>
  <c r="G61" i="13"/>
  <c r="H58" i="18"/>
  <c r="H59" i="18" s="1"/>
  <c r="G59" i="18"/>
  <c r="G54" i="16"/>
  <c r="G63" i="16"/>
  <c r="N37" i="13"/>
  <c r="N49" i="13" s="1"/>
  <c r="O18" i="13" a="1"/>
  <c r="O18" i="13" s="1"/>
  <c r="Q18" i="13" s="1"/>
  <c r="M37" i="14"/>
  <c r="M49" i="14" s="1"/>
  <c r="H53" i="14" s="1"/>
  <c r="O19" i="21" a="1"/>
  <c r="O19" i="21" s="1"/>
  <c r="H61" i="21"/>
  <c r="G56" i="21"/>
  <c r="G61" i="14"/>
  <c r="G52" i="14"/>
  <c r="G56" i="20"/>
  <c r="H61" i="20"/>
  <c r="O18" i="21" a="1"/>
  <c r="O18" i="21" s="1"/>
  <c r="Q18" i="21" s="1"/>
  <c r="G52" i="20"/>
  <c r="G61" i="20"/>
  <c r="H53" i="20"/>
  <c r="G52" i="21"/>
  <c r="H53" i="21"/>
  <c r="G61" i="21"/>
  <c r="M39" i="16"/>
  <c r="M51" i="16" s="1"/>
  <c r="L51" i="16"/>
  <c r="L20" i="16" a="1"/>
  <c r="L20" i="16" s="1"/>
  <c r="O19" i="20" a="1"/>
  <c r="O19" i="20" s="1"/>
  <c r="Q19" i="14" l="1"/>
  <c r="G60" i="14"/>
  <c r="Q25" i="20"/>
  <c r="P26" i="20"/>
  <c r="Q26" i="20" s="1"/>
  <c r="R26" i="20" s="1"/>
  <c r="H52" i="21"/>
  <c r="H54" i="21" s="1"/>
  <c r="G54" i="21"/>
  <c r="H55" i="16"/>
  <c r="G58" i="16"/>
  <c r="H63" i="16"/>
  <c r="H56" i="20"/>
  <c r="H57" i="20" s="1"/>
  <c r="G57" i="20"/>
  <c r="G56" i="14"/>
  <c r="H61" i="14"/>
  <c r="G54" i="13"/>
  <c r="H52" i="13"/>
  <c r="H54" i="13" s="1"/>
  <c r="P25" i="13"/>
  <c r="Q25" i="13" s="1"/>
  <c r="R26" i="13" s="1"/>
  <c r="O19" i="13" a="1"/>
  <c r="O19" i="13" s="1"/>
  <c r="G60" i="20"/>
  <c r="H60" i="20"/>
  <c r="Q19" i="20"/>
  <c r="H56" i="21"/>
  <c r="H57" i="21" s="1"/>
  <c r="G57" i="21"/>
  <c r="G56" i="16"/>
  <c r="H54" i="16"/>
  <c r="G62" i="16"/>
  <c r="H62" i="16"/>
  <c r="L21" i="16"/>
  <c r="G54" i="20"/>
  <c r="H52" i="20"/>
  <c r="H54" i="20" s="1"/>
  <c r="P25" i="21"/>
  <c r="Q25" i="21" s="1"/>
  <c r="G60" i="21"/>
  <c r="Q19" i="21"/>
  <c r="H60" i="21"/>
  <c r="G57" i="13"/>
  <c r="H56" i="13"/>
  <c r="H57" i="13" s="1"/>
  <c r="G54" i="14"/>
  <c r="H52" i="14"/>
  <c r="H54" i="14" s="1"/>
  <c r="O18" i="14" a="1"/>
  <c r="O18" i="14" s="1"/>
  <c r="Q18" i="14" s="1"/>
  <c r="H56" i="16" l="1"/>
  <c r="P26" i="21"/>
  <c r="Q26" i="21" s="1"/>
  <c r="P26" i="13"/>
  <c r="P27" i="20"/>
  <c r="G57" i="14"/>
  <c r="H56" i="14"/>
  <c r="H57" i="14" s="1"/>
  <c r="G60" i="13"/>
  <c r="H60" i="13"/>
  <c r="Q19" i="13"/>
  <c r="H58" i="16"/>
  <c r="H59" i="16" s="1"/>
  <c r="G59" i="16"/>
  <c r="P25" i="14"/>
  <c r="Q25" i="14" s="1"/>
  <c r="P27" i="21" l="1"/>
  <c r="Q27" i="21" s="1"/>
  <c r="R27" i="21" s="1"/>
  <c r="P26" i="14"/>
  <c r="Q26" i="14" s="1"/>
  <c r="R27" i="14" s="1"/>
  <c r="Q27" i="20"/>
  <c r="R27" i="20" s="1"/>
  <c r="P28" i="20"/>
  <c r="R25" i="14"/>
  <c r="R26" i="14"/>
  <c r="Q26" i="13"/>
  <c r="R27" i="13" s="1"/>
  <c r="P27" i="13"/>
  <c r="P28" i="21" l="1"/>
  <c r="Q28" i="21" s="1"/>
  <c r="R28" i="21" s="1"/>
  <c r="P27" i="14"/>
  <c r="Q27" i="14" s="1"/>
  <c r="R28" i="14" s="1"/>
  <c r="Q28" i="20"/>
  <c r="R28" i="20" s="1"/>
  <c r="P29" i="20"/>
  <c r="Q27" i="13"/>
  <c r="P28" i="13"/>
  <c r="P29" i="21" l="1"/>
  <c r="Q29" i="21" s="1"/>
  <c r="R29" i="21" s="1"/>
  <c r="P28" i="14"/>
  <c r="P29" i="14" s="1"/>
  <c r="Q29" i="14" s="1"/>
  <c r="R30" i="14" s="1"/>
  <c r="Q29" i="20"/>
  <c r="R29" i="20" s="1"/>
  <c r="P30" i="20"/>
  <c r="Q28" i="13"/>
  <c r="P29" i="13"/>
  <c r="P30" i="14" l="1"/>
  <c r="P31" i="14" s="1"/>
  <c r="P30" i="21"/>
  <c r="Q30" i="21" s="1"/>
  <c r="R30" i="21" s="1"/>
  <c r="Q28" i="14"/>
  <c r="R29" i="14" s="1"/>
  <c r="Q30" i="20"/>
  <c r="R30" i="20" s="1"/>
  <c r="P31" i="20"/>
  <c r="Q29" i="13"/>
  <c r="R30" i="13" s="1"/>
  <c r="P30" i="13"/>
  <c r="R28" i="13"/>
  <c r="R29" i="13"/>
  <c r="Q30" i="14"/>
  <c r="R31" i="14" s="1"/>
  <c r="P31" i="21" l="1"/>
  <c r="Q31" i="21" s="1"/>
  <c r="R31" i="21" s="1"/>
  <c r="Q31" i="20"/>
  <c r="R31" i="20" s="1"/>
  <c r="P32" i="20"/>
  <c r="Q31" i="14"/>
  <c r="R32" i="14" s="1"/>
  <c r="P32" i="14"/>
  <c r="Q30" i="13"/>
  <c r="R31" i="13" s="1"/>
  <c r="P31" i="13"/>
  <c r="P32" i="21" l="1"/>
  <c r="Q32" i="20"/>
  <c r="R32" i="20" s="1"/>
  <c r="P33" i="20"/>
  <c r="Q31" i="13"/>
  <c r="R32" i="13" s="1"/>
  <c r="P32" i="13"/>
  <c r="Q32" i="14"/>
  <c r="R33" i="14" s="1"/>
  <c r="P33" i="14"/>
  <c r="Q32" i="21" l="1"/>
  <c r="R32" i="21" s="1"/>
  <c r="P33" i="21"/>
  <c r="P34" i="20"/>
  <c r="Q33" i="20"/>
  <c r="R33" i="20" s="1"/>
  <c r="Q32" i="13"/>
  <c r="R33" i="13" s="1"/>
  <c r="P33" i="13"/>
  <c r="Q33" i="14"/>
  <c r="R34" i="14" s="1"/>
  <c r="P34" i="14"/>
  <c r="P34" i="21" l="1"/>
  <c r="Q33" i="21"/>
  <c r="R33" i="21" s="1"/>
  <c r="Q34" i="20"/>
  <c r="R34" i="20" s="1"/>
  <c r="P35" i="20"/>
  <c r="Q34" i="14"/>
  <c r="R35" i="14" s="1"/>
  <c r="P35" i="14"/>
  <c r="Q33" i="13"/>
  <c r="R34" i="13" s="1"/>
  <c r="P34" i="13"/>
  <c r="Q34" i="21" l="1"/>
  <c r="R34" i="21" s="1"/>
  <c r="P35" i="21"/>
  <c r="Q35" i="20"/>
  <c r="R35" i="20" s="1"/>
  <c r="P36" i="20"/>
  <c r="Q34" i="13"/>
  <c r="R35" i="13" s="1"/>
  <c r="P35" i="13"/>
  <c r="Q35" i="14"/>
  <c r="R36" i="14" s="1"/>
  <c r="P36" i="14"/>
  <c r="P36" i="21" l="1"/>
  <c r="Q35" i="21"/>
  <c r="R35" i="21" s="1"/>
  <c r="P37" i="20"/>
  <c r="Q36" i="20"/>
  <c r="R36" i="20" s="1"/>
  <c r="Q36" i="14"/>
  <c r="R37" i="14" s="1"/>
  <c r="P37" i="14"/>
  <c r="Q35" i="13"/>
  <c r="R36" i="13" s="1"/>
  <c r="P36" i="13"/>
  <c r="Q36" i="21" l="1"/>
  <c r="R36" i="21" s="1"/>
  <c r="P37" i="21"/>
  <c r="Q37" i="20"/>
  <c r="R37" i="20" s="1"/>
  <c r="R49" i="20" s="1"/>
  <c r="P38" i="20"/>
  <c r="Q36" i="13"/>
  <c r="R37" i="13" s="1"/>
  <c r="P37" i="13"/>
  <c r="Q37" i="14"/>
  <c r="R38" i="14" s="1"/>
  <c r="P38" i="14"/>
  <c r="Q37" i="21" l="1"/>
  <c r="R37" i="21" s="1"/>
  <c r="P38" i="21"/>
  <c r="P39" i="20"/>
  <c r="Q38" i="20"/>
  <c r="Q37" i="13"/>
  <c r="R38" i="13" s="1"/>
  <c r="P38" i="13"/>
  <c r="Q38" i="14"/>
  <c r="R39" i="14" s="1"/>
  <c r="P39" i="14"/>
  <c r="Q38" i="21" l="1"/>
  <c r="R38" i="21" s="1"/>
  <c r="P39" i="21"/>
  <c r="Q39" i="20"/>
  <c r="P40" i="20"/>
  <c r="Q39" i="14"/>
  <c r="R40" i="14" s="1"/>
  <c r="P40" i="14"/>
  <c r="Q38" i="13"/>
  <c r="R39" i="13" s="1"/>
  <c r="P39" i="13"/>
  <c r="Q39" i="21" l="1"/>
  <c r="R39" i="21" s="1"/>
  <c r="P40" i="21"/>
  <c r="Q40" i="20"/>
  <c r="P41" i="20"/>
  <c r="Q39" i="13"/>
  <c r="R40" i="13" s="1"/>
  <c r="P40" i="13"/>
  <c r="Q40" i="14"/>
  <c r="R41" i="14" s="1"/>
  <c r="P41" i="14"/>
  <c r="Q40" i="21" l="1"/>
  <c r="R40" i="21" s="1"/>
  <c r="P41" i="21"/>
  <c r="Q41" i="20"/>
  <c r="P42" i="20"/>
  <c r="Q41" i="14"/>
  <c r="R42" i="14" s="1"/>
  <c r="P42" i="14"/>
  <c r="Q40" i="13"/>
  <c r="R41" i="13" s="1"/>
  <c r="P41" i="13"/>
  <c r="Q41" i="21" l="1"/>
  <c r="R41" i="21" s="1"/>
  <c r="P42" i="21"/>
  <c r="P43" i="20"/>
  <c r="Q42" i="20"/>
  <c r="Q41" i="13"/>
  <c r="R42" i="13" s="1"/>
  <c r="P42" i="13"/>
  <c r="Q42" i="14"/>
  <c r="R43" i="14" s="1"/>
  <c r="P43" i="14"/>
  <c r="P43" i="21" l="1"/>
  <c r="Q42" i="21"/>
  <c r="R42" i="21" s="1"/>
  <c r="P44" i="20"/>
  <c r="Q43" i="20"/>
  <c r="Q43" i="14"/>
  <c r="R44" i="14" s="1"/>
  <c r="P44" i="14"/>
  <c r="Q42" i="13"/>
  <c r="R43" i="13" s="1"/>
  <c r="P43" i="13"/>
  <c r="Q43" i="21" l="1"/>
  <c r="R43" i="21" s="1"/>
  <c r="P44" i="21"/>
  <c r="Q44" i="20"/>
  <c r="P45" i="20"/>
  <c r="Q43" i="13"/>
  <c r="R44" i="13" s="1"/>
  <c r="P44" i="13"/>
  <c r="Q44" i="14"/>
  <c r="R45" i="14" s="1"/>
  <c r="P45" i="14"/>
  <c r="Q44" i="21" l="1"/>
  <c r="R44" i="21" s="1"/>
  <c r="P45" i="21"/>
  <c r="Q45" i="20"/>
  <c r="P46" i="20"/>
  <c r="Q45" i="14"/>
  <c r="R46" i="14" s="1"/>
  <c r="P46" i="14"/>
  <c r="Q44" i="13"/>
  <c r="R45" i="13" s="1"/>
  <c r="P45" i="13"/>
  <c r="Q45" i="21" l="1"/>
  <c r="R45" i="21" s="1"/>
  <c r="P46" i="21"/>
  <c r="Q46" i="20"/>
  <c r="P47" i="20"/>
  <c r="Q45" i="13"/>
  <c r="R46" i="13" s="1"/>
  <c r="P46" i="13"/>
  <c r="Q46" i="14"/>
  <c r="R47" i="14" s="1"/>
  <c r="P47" i="14"/>
  <c r="Q46" i="21" l="1"/>
  <c r="R46" i="21" s="1"/>
  <c r="P47" i="21"/>
  <c r="P48" i="20"/>
  <c r="Q48" i="20" s="1"/>
  <c r="Q47" i="20"/>
  <c r="Q46" i="13"/>
  <c r="R47" i="13" s="1"/>
  <c r="P47" i="13"/>
  <c r="Q47" i="14"/>
  <c r="R48" i="14" s="1"/>
  <c r="R49" i="14" s="1"/>
  <c r="P48" i="14"/>
  <c r="Q48" i="14" s="1"/>
  <c r="Q47" i="21" l="1"/>
  <c r="R47" i="21" s="1"/>
  <c r="R48" i="21" s="1"/>
  <c r="R49" i="21" s="1"/>
  <c r="P48" i="21"/>
  <c r="Q48" i="21" s="1"/>
  <c r="Q47" i="13"/>
  <c r="R48" i="13" s="1"/>
  <c r="R49" i="13" s="1"/>
  <c r="P48" i="13"/>
  <c r="Q48" i="13" s="1"/>
  <c r="N5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 Yogaswara</author>
  </authors>
  <commentList>
    <comment ref="G56" authorId="0" shapeId="0" xr:uid="{DF0E2FB8-37CA-432D-8C05-D03A8D8140FD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9" authorId="0" shapeId="0" xr:uid="{8ACCD008-F03E-4DFD-A243-1E7D00C88AB1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 Yogaswara</author>
  </authors>
  <commentList>
    <comment ref="G57" authorId="0" shapeId="0" xr:uid="{07AB3AB6-7969-43DA-94A0-65F9FB04B7E2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60" authorId="0" shapeId="0" xr:uid="{91873B11-D2D9-40F8-AF5E-129B87132EBF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CFE3892A-411C-41A6-AB98-7F4B27C6CF9A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9D953399-6302-468A-88A8-BACD4E3943D0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1CE1BB97-4833-4890-9916-F155AA5E0E00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BA4E6CC1-BFE5-4A41-8319-04A213E41A9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27364D96-CB76-4984-A7BB-91F64D907742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87055720-06BD-429F-829B-4BC27565A5AF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Andri Yogaswara</author>
  </authors>
  <commentList>
    <comment ref="F13" authorId="0" shapeId="0" xr:uid="{CFAB357A-77C3-4883-9886-0B0875D3F133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mob-demob</t>
        </r>
      </text>
    </comment>
    <comment ref="F14" authorId="0" shapeId="0" xr:uid="{EC48D4DB-E686-4459-8AA7-3B670DE201B7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biaya solar</t>
        </r>
      </text>
    </comment>
    <comment ref="F15" authorId="0" shapeId="0" xr:uid="{8357F733-C9A0-411B-8CFC-EA876CE10802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biaya sudah termasuk genset, kabel, pengeboran</t>
        </r>
      </text>
    </comment>
    <comment ref="H27" authorId="0" shapeId="0" xr:uid="{2780A688-6ACE-45E3-AAE4-0301DBD7D85B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harga tgl 25 okt</t>
        </r>
      </text>
    </comment>
    <comment ref="G56" authorId="1" shapeId="0" xr:uid="{0ED5B1A1-C8A6-4D34-BF84-4AD10107A9DF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9" authorId="1" shapeId="0" xr:uid="{023D6C07-3668-43F5-BEB3-BCC12343D1D6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 Yogaswara</author>
  </authors>
  <commentList>
    <comment ref="G56" authorId="0" shapeId="0" xr:uid="{D74ADDA6-D2AB-4A97-8EC0-01AE75A38535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9" authorId="0" shapeId="0" xr:uid="{EC0A280F-E6A9-45BE-8669-109A29F804B8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5A5B8467-7BF1-4626-ABD9-7E5A6243A34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F157FB7D-8FB9-4900-BE0A-69D01284A730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C48B348F-CD1F-4026-82B1-C352209D4ED0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95E26B2D-9DC6-4A8D-80BA-67563C4ACB1E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4D41E191-EF11-4A1D-92D5-F9C37C93EDE1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6A3059BB-F572-4B42-B05A-FBDE4896A0B1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21" authorId="0" shapeId="0" xr:uid="{FEAA82A2-2E57-40D3-B67B-C338150D542B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kolom ini tidak dipakai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21" authorId="0" shapeId="0" xr:uid="{E79D73D6-BA02-4489-829C-0B48334B5DB1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kolom tidak dipakai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<sst xmlns="http://schemas.openxmlformats.org/spreadsheetml/2006/main" count="1046" uniqueCount="202">
  <si>
    <t>GAS</t>
  </si>
  <si>
    <t>OIL</t>
  </si>
  <si>
    <t>Average Gas Price</t>
  </si>
  <si>
    <t>PSC</t>
  </si>
  <si>
    <t>GOI</t>
  </si>
  <si>
    <t>$/BBL</t>
  </si>
  <si>
    <t>$/MMCF</t>
  </si>
  <si>
    <t>Average Oil Price</t>
  </si>
  <si>
    <t>Discrete Mid Year</t>
  </si>
  <si>
    <t>Share of Gross Revenue for Cost Recovery</t>
  </si>
  <si>
    <t>Share of Gross Revenue for Gross Split</t>
  </si>
  <si>
    <t xml:space="preserve">Project: </t>
  </si>
  <si>
    <t xml:space="preserve">AFE No.: </t>
  </si>
  <si>
    <t xml:space="preserve">KKKS/Field: </t>
  </si>
  <si>
    <t xml:space="preserve">Reference Year: </t>
  </si>
  <si>
    <t xml:space="preserve">Discount Rate: </t>
  </si>
  <si>
    <t xml:space="preserve">Discount Method: </t>
  </si>
  <si>
    <t>OBJECTIVE:</t>
  </si>
  <si>
    <t>Cost Breakdown:</t>
  </si>
  <si>
    <t>PDATE</t>
  </si>
  <si>
    <t>Cumm Gain OIL</t>
  </si>
  <si>
    <t>Remarks</t>
  </si>
  <si>
    <t>MMCF</t>
  </si>
  <si>
    <t>BBL</t>
  </si>
  <si>
    <t>Annual Decline Rate</t>
  </si>
  <si>
    <t>Daily Decline Rate</t>
  </si>
  <si>
    <t>BASIC ASSUMPTION:</t>
  </si>
  <si>
    <t>Cost Recovery</t>
  </si>
  <si>
    <t>Operating cost (USD)</t>
  </si>
  <si>
    <t>Technology cost (USD)</t>
  </si>
  <si>
    <t>Months of Production</t>
  </si>
  <si>
    <t>NO</t>
  </si>
  <si>
    <t>MONTH</t>
  </si>
  <si>
    <t>Preparation cost (USD)</t>
  </si>
  <si>
    <t>Observation Period</t>
  </si>
  <si>
    <t>months</t>
  </si>
  <si>
    <t>Exchange Rate (15-Nov-21)</t>
  </si>
  <si>
    <t>XXX-02
(BBL)</t>
  </si>
  <si>
    <t>XXX-03
(BBL)</t>
  </si>
  <si>
    <t>XXX-04
(BBL)</t>
  </si>
  <si>
    <t>Production Profile:</t>
  </si>
  <si>
    <t>Total Cummulative Production:</t>
  </si>
  <si>
    <t>$</t>
  </si>
  <si>
    <t>Gross Revenue</t>
  </si>
  <si>
    <t>Note: Jika sumur aktif, maka kehilangan produksi selama proses instalasi akan dihitung sebagai cost</t>
  </si>
  <si>
    <t>%</t>
  </si>
  <si>
    <t>Incremental Gain</t>
  </si>
  <si>
    <t>Shareable Cost</t>
  </si>
  <si>
    <t>Net PSC Equity, USD</t>
  </si>
  <si>
    <t>Investment Credit, USD</t>
  </si>
  <si>
    <t>PSC Share, USD</t>
  </si>
  <si>
    <t>GOI Equity + Tax, USD</t>
  </si>
  <si>
    <t>GOI Share, USD</t>
  </si>
  <si>
    <t>BBLS</t>
  </si>
  <si>
    <t>NPV @ observation Period</t>
  </si>
  <si>
    <t>NPV @ end of production</t>
  </si>
  <si>
    <t>NPV for Gross Split</t>
  </si>
  <si>
    <t>Cumm Oil</t>
  </si>
  <si>
    <t>Start Production</t>
  </si>
  <si>
    <t>PAYMENT</t>
  </si>
  <si>
    <t>MIN</t>
  </si>
  <si>
    <t>Oil</t>
  </si>
  <si>
    <t>Onshore</t>
  </si>
  <si>
    <t>Offshore</t>
  </si>
  <si>
    <t>Gas</t>
  </si>
  <si>
    <t>Gross Split</t>
  </si>
  <si>
    <t>OIL SPLIT:</t>
  </si>
  <si>
    <t>GAS SPLIT:</t>
  </si>
  <si>
    <t>Percent</t>
  </si>
  <si>
    <t>Month</t>
  </si>
  <si>
    <t>NET CASH FLOW</t>
  </si>
  <si>
    <t>MINIMUM NET CASH FLOW</t>
  </si>
  <si>
    <t>Min. Cost
to BEP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</si>
  <si>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</si>
  <si>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</si>
  <si>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</si>
  <si>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</si>
  <si>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</si>
  <si>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</si>
  <si>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</si>
  <si>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</si>
  <si>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</si>
  <si>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</si>
  <si>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</si>
  <si>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</si>
  <si>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</si>
  <si>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</si>
  <si>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</si>
  <si>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</si>
  <si>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Notes:</t>
  </si>
  <si>
    <t>Incremental Gain GAS</t>
  </si>
  <si>
    <t>Incremental Gain OIL</t>
  </si>
  <si>
    <t>No.</t>
  </si>
  <si>
    <t>Min. Cost to Break Even Point</t>
  </si>
  <si>
    <t>Net Cash Flow PSC</t>
  </si>
  <si>
    <t>Net Cash Flow GOI</t>
  </si>
  <si>
    <t>Minimum Net Cash Flow PSC</t>
  </si>
  <si>
    <t>Minimum Net Cash Flow GOI</t>
  </si>
  <si>
    <t>Accumulation to Break Even Point</t>
  </si>
  <si>
    <t>Accumulation to Term of Payment</t>
  </si>
  <si>
    <t>Payment</t>
  </si>
  <si>
    <t>Summary of preparation cost</t>
  </si>
  <si>
    <t>Summary of operation cost</t>
  </si>
  <si>
    <t>Summary of technology cost</t>
  </si>
  <si>
    <t>is monthly?</t>
  </si>
  <si>
    <t>Max. Period:</t>
  </si>
  <si>
    <t>Max. Volume:</t>
  </si>
  <si>
    <t>NPV for Cost Recovery</t>
  </si>
  <si>
    <t>ACC. BEP</t>
  </si>
  <si>
    <t>ACC. TOP</t>
  </si>
  <si>
    <t>Min. Volume:</t>
  </si>
  <si>
    <t>Min. Period:</t>
  </si>
  <si>
    <t>NPV &gt; 0</t>
  </si>
  <si>
    <t>Start PIS/POP</t>
  </si>
  <si>
    <t>Monthly Saving</t>
  </si>
  <si>
    <t>MONTHLY</t>
  </si>
  <si>
    <t>XXX-01
(BBL)</t>
  </si>
  <si>
    <t>LAMPIRAN 5 – TKO No. B7-030/PHE52000/2022-S9 Rev.0
KERTAS KERJA PERHITUNGAN CURE CRITERIA UNTUK 
KKKS COST RECOVERY DENGAN PEMBAYARAN SETELAH FULL CURE DAN ONETIME PAYMENT</t>
  </si>
  <si>
    <t>LAMPIRAN 5 – TKO No. B7-030/PHE52000/2022-S9 Rev.0
KERTAS KERJA PERHITUNGAN CURE CRITERIA UNTUK 
KKKS GROSS SPLIT DENGAN PEMBAYARAN SETELAH FULL CURE DAN ONETIME PAYMENT</t>
  </si>
  <si>
    <t>[PENJELASAN TERKAIT IMPLEMENTASI TEKNOLOGI]</t>
  </si>
  <si>
    <t>LAMPIRAN 5 – TKO No. B7-030/PHE52000/2022-S9 Rev.0
KERTAS KERJA PERHITUNGAN CURE CRITERIA UNTUK 
KKKS COST RECOVERY DENGAN PEMBAYARAN SETELAH PARTIAL CURE DAN ONETIME PAYMENT</t>
  </si>
  <si>
    <t>LAMPIRAN 5 – TKO No. B7-030/PHE52000/2022-S9 Rev.0
KERTAS KERJA PERHITUNGAN CURE CRITERIA UNTUK 
KKKS GROSS SPLIT DENGAN PEMBAYARAN SETELAH PARTIAL CURE DAN ONETIME PAYMENT</t>
  </si>
  <si>
    <t>LAMPIRAN 5 – TKO No. B7-030/PHE52000/2022-S9 Rev.0
KERTAS KERJA PERHITUNGAN CURE CRITERIA UNTUK 
KKKS COST RECOVERY DENGAN PEMBAYARAN SETELAH FULL CURE DAN MONTHLY PAYMENT</t>
  </si>
  <si>
    <t>LAMPIRAN 5 – TKO No. B7-030/PHE52000/2022-S9 Rev.0
KERTAS KERJA PERHITUNGAN CURE CRITERIA UNTUK 
KKKS GROSS SPLIT DENGAN PEMBAYARAN SETELAH FULL CURE DAN MONTHLY PAYMENT</t>
  </si>
  <si>
    <t>LAMPIRAN 5 – TKO No. B7-030/PHE52000/2022-S9 Rev.0
KERTAS KERJA PERHITUNGAN CURE CRITERIA UNTUK 
KKKS COST RECOVERY DENGAN PEMBAYARAN SETELAH PARTIAL CURE DAN MONTHLY PAYMENT</t>
  </si>
  <si>
    <t>LAMPIRAN 5 – TKO No. B7-030/PHE52000/2022-S9 Rev.0
KERTAS KERJA PERHITUNGAN CURE CRITERIA UNTUK 
KKKS GROSS SPLIT DENGAN PEMBAYARAN SETELAH PARTIAL CURE DAN MONTHLY PAYMENT</t>
  </si>
  <si>
    <t>LAMPIRAN 5 – TKO No. B7-030/PHE52000/2022-S9 Rev.0
KERTAS KERJA PERHITUNGAN CURE CRITERIA UNTUK 
PROGRAM COST EFISIENSI DAN MONTHLY PAYMENT</t>
  </si>
  <si>
    <t>LAMPIRAN 5 – TKO No. B7-030/PHE52000/2022-S9 Rev.0
KERTAS KERJA PERHITUNGAN CURE CRITERIA UNTUK 
PROGRAM COST EFISIENSI DAN ONETIME PAYMENT</t>
  </si>
  <si>
    <t>Exchange Rate (1-Sep-2022)</t>
  </si>
  <si>
    <t>INCREMENTAL HYDROCARBON GAIN</t>
  </si>
  <si>
    <t>09-2022</t>
  </si>
  <si>
    <t>TAX:</t>
  </si>
  <si>
    <t>NET SPLIT:</t>
  </si>
  <si>
    <t>Contract Period</t>
  </si>
  <si>
    <t>Observation Period
(Kriteria teknis terpenuhi)</t>
  </si>
  <si>
    <t>(minimal observation periode +1)</t>
  </si>
  <si>
    <t>sekali beli</t>
  </si>
  <si>
    <t>Note</t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</si>
  <si>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FULL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 xml:space="preserve">ONETIME </t>
    </r>
    <r>
      <rPr>
        <sz val="11"/>
        <color theme="1"/>
        <rFont val="Calibri"/>
        <family val="2"/>
        <scheme val="minor"/>
      </rPr>
      <t>PAYMENT</t>
    </r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</si>
  <si>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PARTIAL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ONETIME</t>
    </r>
    <r>
      <rPr>
        <sz val="11"/>
        <color theme="1"/>
        <rFont val="Calibri"/>
        <family val="2"/>
        <scheme val="minor"/>
      </rPr>
      <t xml:space="preserve"> PAYMENT</t>
    </r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</si>
  <si>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FULL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PAYMENT</t>
    </r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</si>
  <si>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PARTIAL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 xml:space="preserve">MONTHLY </t>
    </r>
    <r>
      <rPr>
        <sz val="11"/>
        <color theme="1"/>
        <rFont val="Calibri"/>
        <family val="2"/>
        <scheme val="minor"/>
      </rPr>
      <t>PAYMENT</t>
    </r>
  </si>
  <si>
    <t>NCNP</t>
  </si>
  <si>
    <t>1. Kontrak Berbasis Kinerja</t>
  </si>
  <si>
    <t>2.Parameter Kinerja Utama adalah NPV&gt; 0 yang berasal dari:</t>
  </si>
  <si>
    <t>a. Incremental Production Gain</t>
  </si>
  <si>
    <t>b. Cost Efficiency</t>
  </si>
  <si>
    <t xml:space="preserve">PEP itu KKKS Cost Recovery </t>
  </si>
  <si>
    <r>
      <rPr>
        <b/>
        <sz val="11"/>
        <color theme="1"/>
        <rFont val="Calibri"/>
        <family val="2"/>
        <scheme val="minor"/>
      </rPr>
      <t>Field Trial,</t>
    </r>
    <r>
      <rPr>
        <sz val="11"/>
        <color theme="1"/>
        <rFont val="Calibri"/>
        <family val="2"/>
        <scheme val="minor"/>
      </rPr>
      <t xml:space="preserve"> apabila </t>
    </r>
    <r>
      <rPr>
        <b/>
        <sz val="11"/>
        <color theme="1"/>
        <rFont val="Calibri"/>
        <family val="2"/>
        <scheme val="minor"/>
      </rPr>
      <t>berhasi</t>
    </r>
    <r>
      <rPr>
        <sz val="11"/>
        <color theme="1"/>
        <rFont val="Calibri"/>
        <family val="2"/>
        <scheme val="minor"/>
      </rPr>
      <t>l selama masa observasi, maka bisa</t>
    </r>
    <r>
      <rPr>
        <b/>
        <sz val="11"/>
        <color theme="1"/>
        <rFont val="Calibri"/>
        <family val="2"/>
        <scheme val="minor"/>
      </rPr>
      <t xml:space="preserve"> lanjut ke Full Scale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</si>
  <si>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Field Trial,</t>
    </r>
    <r>
      <rPr>
        <sz val="11"/>
        <color theme="1"/>
        <rFont val="Calibri"/>
        <family val="2"/>
        <scheme val="minor"/>
      </rPr>
      <t xml:space="preserve"> apabila </t>
    </r>
    <r>
      <rPr>
        <b/>
        <sz val="11"/>
        <color theme="1"/>
        <rFont val="Calibri"/>
        <family val="2"/>
        <scheme val="minor"/>
      </rPr>
      <t>berhasi</t>
    </r>
    <r>
      <rPr>
        <sz val="11"/>
        <color theme="1"/>
        <rFont val="Calibri"/>
        <family val="2"/>
        <scheme val="minor"/>
      </rPr>
      <t xml:space="preserve">l selama masa observasi, maka tidak bisa </t>
    </r>
    <r>
      <rPr>
        <b/>
        <sz val="11"/>
        <color theme="1"/>
        <rFont val="Calibri"/>
        <family val="2"/>
        <scheme val="minor"/>
      </rPr>
      <t xml:space="preserve"> lanjut ke Full Scale</t>
    </r>
    <r>
      <rPr>
        <sz val="11"/>
        <color theme="1"/>
        <rFont val="Calibri"/>
        <family val="2"/>
        <scheme val="minor"/>
      </rPr>
      <t xml:space="preserve"> karena belum diatur dalam TKO NCNP. Mungkin bisa lanjut dengan Performance base dgn TKO terpisah</t>
    </r>
  </si>
  <si>
    <t>Sheet 1</t>
  </si>
  <si>
    <t>Sheet 3</t>
  </si>
  <si>
    <t>Sheet 5</t>
  </si>
  <si>
    <t>Sheet 7</t>
  </si>
  <si>
    <t>Sheet 9</t>
  </si>
  <si>
    <t>Sheet 10</t>
  </si>
  <si>
    <r>
      <t xml:space="preserve">PROGRAM </t>
    </r>
    <r>
      <rPr>
        <b/>
        <sz val="11"/>
        <color theme="1"/>
        <rFont val="Calibri"/>
        <family val="2"/>
        <scheme val="minor"/>
      </rPr>
      <t>COST EFISIENSI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ONETIME</t>
    </r>
    <r>
      <rPr>
        <sz val="11"/>
        <color theme="1"/>
        <rFont val="Calibri"/>
        <family val="2"/>
        <scheme val="minor"/>
      </rPr>
      <t xml:space="preserve"> PAYMENT (Barang sekali beli)</t>
    </r>
  </si>
  <si>
    <t>PROGRAM COST EFISIENSI DAN MONTHLY PAYMENT (sewa per bulan)</t>
  </si>
  <si>
    <t>Nilai Monthly Saving harus lebih besar dari Shareable Cost</t>
  </si>
  <si>
    <t xml:space="preserve">Technology Cost : Biaya yang dikeluarkan vendor </t>
  </si>
  <si>
    <t>Operation Cost    : Biaya agar teknoogi tetap berjalan, misl butuh genset</t>
  </si>
  <si>
    <t>Preparation cost  : Biaya yang dikeluarkan contoh mobdemo</t>
  </si>
  <si>
    <t>Untuk Sheet 9 dan 10,Nilai Shareable cost harus lebih kecil dari Monthly Saving</t>
  </si>
  <si>
    <t>Shareable cost   : Biaya Prepartaion cost+Operation Cost+Technology cost</t>
  </si>
  <si>
    <t>Monthly Saving : Biaya yang dikeluarkan PEP selama satu bulan (mis: biaya pemakaian chemical, biaya pengantian pipa, biaya maintenance, dll)</t>
  </si>
  <si>
    <t>Discount Rate</t>
  </si>
  <si>
    <t>: 13%</t>
  </si>
  <si>
    <t>Apabila Field Trial berhasil selama masa observasi, maka vendor berhak untuk mendapatkan  sertifikat NCNP dan dapat mendaftar ke KKKS PEP dengan sistem tunjuk langsung</t>
  </si>
  <si>
    <t>Net Cah Flow harus bernilai positif baru bisa payment</t>
  </si>
  <si>
    <t>PRODUCTION SHARING CONTRACT</t>
  </si>
  <si>
    <t>GOVERNMENT OF INTAKE</t>
  </si>
  <si>
    <t>PEP HANYA PUNYA ONSHORE SAJA</t>
  </si>
  <si>
    <t>Net to split</t>
  </si>
  <si>
    <t>No</t>
  </si>
  <si>
    <t>Parameter</t>
  </si>
  <si>
    <t>Lokasi</t>
  </si>
  <si>
    <t>Current</t>
  </si>
  <si>
    <t>Cure criteria</t>
  </si>
  <si>
    <t>Keterangan</t>
  </si>
  <si>
    <t>Pressure</t>
  </si>
  <si>
    <t>Flowline (Wellhead)</t>
  </si>
  <si>
    <t>Temperature</t>
  </si>
  <si>
    <t>Flowline (point 1)</t>
  </si>
  <si>
    <r>
      <t>&gt; 100</t>
    </r>
    <r>
      <rPr>
        <sz val="11"/>
        <color theme="1"/>
        <rFont val="Calibri"/>
        <family val="2"/>
      </rPr>
      <t>˚C</t>
    </r>
  </si>
  <si>
    <t>Flowline surface di simpang (data current diambil dari pour point yaitu 54˚C)</t>
  </si>
  <si>
    <t>Viscosity</t>
  </si>
  <si>
    <t>Flowline (point 2)</t>
  </si>
  <si>
    <t>921,45 mm2/s</t>
  </si>
  <si>
    <t>&lt; 921,45 mm2/s</t>
  </si>
  <si>
    <r>
      <t xml:space="preserve">di temperature 122 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F (di SP)</t>
    </r>
  </si>
  <si>
    <r>
      <t>&gt; 100</t>
    </r>
    <r>
      <rPr>
        <sz val="11"/>
        <color rgb="FFFF0000"/>
        <rFont val="Calibri"/>
        <family val="2"/>
      </rPr>
      <t>˚C</t>
    </r>
  </si>
  <si>
    <r>
      <t>Flowline di outlet separator (pour point 54</t>
    </r>
    <r>
      <rPr>
        <sz val="11"/>
        <color theme="1"/>
        <rFont val="Calibri"/>
        <family val="2"/>
      </rPr>
      <t>˚C)</t>
    </r>
  </si>
  <si>
    <t>Tidak terjadi plugging mulai dari wellhead sampai SP A</t>
  </si>
  <si>
    <t>Rate produksi oil lebih besar dari baseline yang didukung oleh parameter cure criteria di tabel</t>
  </si>
  <si>
    <t>PR</t>
  </si>
  <si>
    <t>Baseline</t>
  </si>
  <si>
    <t>bopd</t>
  </si>
  <si>
    <t>Annual Parameter Decline Rate</t>
  </si>
  <si>
    <t>Memastikan genset yang akan dipakai</t>
  </si>
  <si>
    <t>Simulasi temperatur</t>
  </si>
  <si>
    <t xml:space="preserve">Updating proposal </t>
  </si>
  <si>
    <t>Delta Pressure flowline dari wellhead ke SP (data pressure wellhead 165 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</si>
</sst>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[$-409]dd/mmm/yy;@"/>
    <numFmt numFmtId="166" formatCode="_(* #,##0_);_(* \(#,##0\);_(* &quot;-&quot;??_);_(@_)"/>
    <numFmt numFmtId="167" formatCode="_(&quot;$&quot;* #,##0_);_(&quot;$&quot;* \(#,##0\);_(&quot;$&quot;* &quot;-&quot;??_);_(@_)"/>
    <numFmt numFmtId="168" formatCode="0_);[Red]\(0\)"/>
    <numFmt numFmtId="169" formatCode="0.0%"/>
    <numFmt numFmtId="170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1"/>
      <name val="Courier New"/>
      <family val="3"/>
    </font>
    <font>
      <sz val="14"/>
      <color rgb="FFFFFF00"/>
      <name val="Courier New"/>
      <family val="3"/>
    </font>
    <font>
      <b/>
      <u/>
      <sz val="8"/>
      <color theme="1"/>
      <name val="Courier New"/>
      <family val="3"/>
    </font>
    <font>
      <sz val="8"/>
      <color rgb="FFFF0000"/>
      <name val="Courier New"/>
      <family val="3"/>
    </font>
    <font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Courier New"/>
      <family val="3"/>
    </font>
    <font>
      <b/>
      <sz val="8"/>
      <name val="Courier New"/>
      <family val="3"/>
    </font>
    <font>
      <b/>
      <sz val="8"/>
      <color theme="0"/>
      <name val="Courier New"/>
      <family val="3"/>
    </font>
    <font>
      <sz val="9"/>
      <color indexed="81"/>
      <name val="Tahoma"/>
      <family val="2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00206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0">
    <xf numFmtId="0" fontId="0" fillId="0" borderId="0" xfId="0"/>
    <xf numFmtId="0" fontId="3" fillId="0" borderId="0" xfId="0" applyFont="1" applyAlignment="1">
      <alignment vertical="center"/>
    </xf>
    <xf numFmtId="166" fontId="3" fillId="0" borderId="0" xfId="1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66" fontId="3" fillId="0" borderId="0" xfId="1" applyNumberFormat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166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66" fontId="3" fillId="0" borderId="5" xfId="1" applyNumberFormat="1" applyFont="1" applyBorder="1" applyAlignment="1">
      <alignment vertical="center"/>
    </xf>
    <xf numFmtId="43" fontId="3" fillId="0" borderId="5" xfId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6" fontId="6" fillId="0" borderId="0" xfId="1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166" fontId="3" fillId="0" borderId="6" xfId="1" applyNumberFormat="1" applyFont="1" applyBorder="1" applyAlignment="1">
      <alignment vertical="center"/>
    </xf>
    <xf numFmtId="43" fontId="3" fillId="0" borderId="6" xfId="1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6" fontId="3" fillId="0" borderId="15" xfId="1" applyNumberFormat="1" applyFont="1" applyBorder="1" applyAlignment="1">
      <alignment vertical="center"/>
    </xf>
    <xf numFmtId="43" fontId="3" fillId="0" borderId="15" xfId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3" fontId="3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9" fontId="3" fillId="0" borderId="0" xfId="2" applyFont="1" applyFill="1" applyBorder="1" applyAlignment="1">
      <alignment vertical="center"/>
    </xf>
    <xf numFmtId="9" fontId="3" fillId="0" borderId="6" xfId="2" applyFont="1" applyFill="1" applyBorder="1" applyAlignment="1">
      <alignment vertical="center"/>
    </xf>
    <xf numFmtId="9" fontId="3" fillId="0" borderId="15" xfId="2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6" fontId="3" fillId="0" borderId="13" xfId="1" applyNumberFormat="1" applyFont="1" applyFill="1" applyBorder="1" applyAlignment="1">
      <alignment vertical="center"/>
    </xf>
    <xf numFmtId="43" fontId="3" fillId="0" borderId="13" xfId="1" applyFont="1" applyFill="1" applyBorder="1" applyAlignment="1">
      <alignment vertical="center"/>
    </xf>
    <xf numFmtId="8" fontId="3" fillId="0" borderId="0" xfId="0" applyNumberFormat="1" applyFont="1" applyAlignment="1">
      <alignment vertical="center"/>
    </xf>
    <xf numFmtId="166" fontId="3" fillId="0" borderId="8" xfId="1" applyNumberFormat="1" applyFont="1" applyBorder="1" applyAlignment="1">
      <alignment vertical="center"/>
    </xf>
    <xf numFmtId="9" fontId="3" fillId="0" borderId="0" xfId="0" applyNumberFormat="1" applyFont="1" applyAlignment="1">
      <alignment horizontal="left" vertical="center"/>
    </xf>
    <xf numFmtId="43" fontId="6" fillId="0" borderId="0" xfId="1" applyFont="1" applyBorder="1" applyAlignment="1">
      <alignment vertical="center"/>
    </xf>
    <xf numFmtId="43" fontId="8" fillId="0" borderId="6" xfId="1" applyFont="1" applyBorder="1" applyAlignment="1">
      <alignment vertical="center"/>
    </xf>
    <xf numFmtId="43" fontId="3" fillId="2" borderId="1" xfId="1" applyFont="1" applyFill="1" applyBorder="1" applyAlignment="1">
      <alignment horizontal="center" vertical="center"/>
    </xf>
    <xf numFmtId="43" fontId="3" fillId="0" borderId="0" xfId="0" applyNumberFormat="1" applyFont="1" applyAlignment="1">
      <alignment vertical="center"/>
    </xf>
    <xf numFmtId="40" fontId="3" fillId="0" borderId="1" xfId="1" applyNumberFormat="1" applyFont="1" applyBorder="1" applyAlignment="1">
      <alignment vertical="center"/>
    </xf>
    <xf numFmtId="40" fontId="3" fillId="0" borderId="1" xfId="1" applyNumberFormat="1" applyFont="1" applyFill="1" applyBorder="1" applyAlignment="1">
      <alignment vertical="center"/>
    </xf>
    <xf numFmtId="38" fontId="3" fillId="0" borderId="1" xfId="1" applyNumberFormat="1" applyFont="1" applyBorder="1" applyAlignment="1">
      <alignment vertical="center"/>
    </xf>
    <xf numFmtId="9" fontId="3" fillId="0" borderId="1" xfId="2" applyFont="1" applyBorder="1" applyAlignment="1">
      <alignment vertical="center"/>
    </xf>
    <xf numFmtId="40" fontId="3" fillId="3" borderId="1" xfId="1" applyNumberFormat="1" applyFont="1" applyFill="1" applyBorder="1" applyAlignment="1">
      <alignment vertical="center"/>
    </xf>
    <xf numFmtId="166" fontId="8" fillId="2" borderId="1" xfId="1" applyNumberFormat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center" vertical="center"/>
    </xf>
    <xf numFmtId="38" fontId="3" fillId="3" borderId="1" xfId="1" applyNumberFormat="1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38" fontId="8" fillId="2" borderId="16" xfId="1" applyNumberFormat="1" applyFont="1" applyFill="1" applyBorder="1" applyAlignment="1">
      <alignment vertical="center"/>
    </xf>
    <xf numFmtId="40" fontId="8" fillId="0" borderId="0" xfId="0" applyNumberFormat="1" applyFont="1" applyAlignment="1">
      <alignment vertical="center"/>
    </xf>
    <xf numFmtId="40" fontId="8" fillId="2" borderId="16" xfId="1" applyNumberFormat="1" applyFont="1" applyFill="1" applyBorder="1" applyAlignment="1">
      <alignment vertical="center"/>
    </xf>
    <xf numFmtId="43" fontId="8" fillId="0" borderId="0" xfId="1" applyFont="1" applyAlignment="1">
      <alignment vertical="center"/>
    </xf>
    <xf numFmtId="9" fontId="8" fillId="2" borderId="1" xfId="0" applyNumberFormat="1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4" xfId="1" applyNumberFormat="1" applyFont="1" applyFill="1" applyBorder="1" applyAlignment="1">
      <alignment horizontal="center" vertical="center"/>
    </xf>
    <xf numFmtId="167" fontId="3" fillId="0" borderId="0" xfId="1" applyNumberFormat="1" applyFont="1" applyFill="1" applyBorder="1" applyAlignment="1">
      <alignment vertical="center"/>
    </xf>
    <xf numFmtId="167" fontId="3" fillId="0" borderId="6" xfId="1" applyNumberFormat="1" applyFont="1" applyFill="1" applyBorder="1" applyAlignment="1">
      <alignment vertical="center"/>
    </xf>
    <xf numFmtId="167" fontId="3" fillId="0" borderId="15" xfId="1" applyNumberFormat="1" applyFont="1" applyFill="1" applyBorder="1" applyAlignment="1">
      <alignment vertical="center"/>
    </xf>
    <xf numFmtId="167" fontId="3" fillId="0" borderId="1" xfId="1" applyNumberFormat="1" applyFont="1" applyFill="1" applyBorder="1" applyAlignment="1">
      <alignment vertical="center"/>
    </xf>
    <xf numFmtId="9" fontId="8" fillId="0" borderId="0" xfId="2" applyFont="1" applyBorder="1" applyAlignment="1">
      <alignment horizontal="left" vertical="center"/>
    </xf>
    <xf numFmtId="43" fontId="8" fillId="0" borderId="0" xfId="0" applyNumberFormat="1" applyFont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38" fontId="8" fillId="0" borderId="0" xfId="0" applyNumberFormat="1" applyFont="1" applyAlignment="1">
      <alignment horizontal="left" vertical="center"/>
    </xf>
    <xf numFmtId="43" fontId="3" fillId="0" borderId="0" xfId="0" applyNumberFormat="1" applyFont="1" applyAlignment="1">
      <alignment horizontal="left" vertical="center"/>
    </xf>
    <xf numFmtId="167" fontId="3" fillId="0" borderId="0" xfId="1" applyNumberFormat="1" applyFont="1" applyBorder="1" applyAlignment="1">
      <alignment vertical="center"/>
    </xf>
    <xf numFmtId="41" fontId="9" fillId="0" borderId="11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66" fontId="10" fillId="0" borderId="0" xfId="1" applyNumberFormat="1" applyFont="1" applyBorder="1" applyAlignment="1">
      <alignment vertical="center"/>
    </xf>
    <xf numFmtId="17" fontId="3" fillId="0" borderId="0" xfId="0" applyNumberFormat="1" applyFont="1" applyAlignment="1">
      <alignment horizontal="center" vertical="center"/>
    </xf>
    <xf numFmtId="38" fontId="8" fillId="0" borderId="6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43" fontId="3" fillId="0" borderId="1" xfId="2" applyNumberFormat="1" applyFont="1" applyBorder="1" applyAlignment="1">
      <alignment vertical="center"/>
    </xf>
    <xf numFmtId="43" fontId="8" fillId="2" borderId="1" xfId="0" applyNumberFormat="1" applyFont="1" applyFill="1" applyBorder="1" applyAlignment="1">
      <alignment vertical="center"/>
    </xf>
    <xf numFmtId="166" fontId="3" fillId="0" borderId="0" xfId="1" applyNumberFormat="1" applyFont="1" applyBorder="1" applyAlignment="1">
      <alignment horizontal="right" vertical="center"/>
    </xf>
    <xf numFmtId="0" fontId="8" fillId="0" borderId="15" xfId="0" applyFont="1" applyBorder="1" applyAlignment="1">
      <alignment vertical="center"/>
    </xf>
    <xf numFmtId="0" fontId="8" fillId="2" borderId="1" xfId="0" quotePrefix="1" applyFont="1" applyFill="1" applyBorder="1" applyAlignment="1">
      <alignment horizontal="center" vertical="center"/>
    </xf>
    <xf numFmtId="1" fontId="8" fillId="0" borderId="0" xfId="3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8" fontId="6" fillId="0" borderId="0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8" fillId="0" borderId="1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38" fontId="6" fillId="0" borderId="0" xfId="1" applyNumberFormat="1" applyFont="1" applyBorder="1" applyAlignment="1">
      <alignment vertical="center"/>
    </xf>
    <xf numFmtId="17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center" vertical="center"/>
    </xf>
    <xf numFmtId="166" fontId="3" fillId="0" borderId="5" xfId="0" applyNumberFormat="1" applyFont="1" applyBorder="1" applyAlignment="1">
      <alignment vertical="center"/>
    </xf>
    <xf numFmtId="166" fontId="3" fillId="0" borderId="0" xfId="0" applyNumberFormat="1" applyFont="1" applyAlignment="1">
      <alignment horizontal="left" vertical="center"/>
    </xf>
    <xf numFmtId="166" fontId="8" fillId="2" borderId="1" xfId="0" quotePrefix="1" applyNumberFormat="1" applyFont="1" applyFill="1" applyBorder="1" applyAlignment="1">
      <alignment horizontal="center" vertical="center"/>
    </xf>
    <xf numFmtId="166" fontId="3" fillId="0" borderId="1" xfId="1" applyNumberFormat="1" applyFont="1" applyBorder="1" applyAlignment="1">
      <alignment vertical="center"/>
    </xf>
    <xf numFmtId="166" fontId="8" fillId="2" borderId="16" xfId="1" applyNumberFormat="1" applyFont="1" applyFill="1" applyBorder="1" applyAlignment="1">
      <alignment vertical="center"/>
    </xf>
    <xf numFmtId="43" fontId="8" fillId="0" borderId="6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0" fontId="3" fillId="3" borderId="0" xfId="0" applyNumberFormat="1" applyFont="1" applyFill="1" applyAlignment="1">
      <alignment horizontal="left" vertical="center"/>
    </xf>
    <xf numFmtId="10" fontId="3" fillId="3" borderId="0" xfId="2" applyNumberFormat="1" applyFont="1" applyFill="1" applyAlignment="1">
      <alignment horizontal="left" vertical="center"/>
    </xf>
    <xf numFmtId="43" fontId="9" fillId="0" borderId="0" xfId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3" fontId="7" fillId="0" borderId="1" xfId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43" fontId="8" fillId="0" borderId="0" xfId="1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43" fontId="8" fillId="5" borderId="1" xfId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43" fontId="11" fillId="0" borderId="0" xfId="1" applyFont="1" applyBorder="1" applyAlignment="1">
      <alignment horizontal="center" vertical="center"/>
    </xf>
    <xf numFmtId="43" fontId="8" fillId="0" borderId="0" xfId="1" applyFont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9" fontId="13" fillId="0" borderId="1" xfId="2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" fontId="3" fillId="0" borderId="0" xfId="0" quotePrefix="1" applyNumberFormat="1" applyFont="1" applyAlignment="1">
      <alignment horizontal="center" vertical="center"/>
    </xf>
    <xf numFmtId="0" fontId="8" fillId="0" borderId="15" xfId="0" applyFont="1" applyBorder="1" applyAlignment="1">
      <alignment horizontal="right" vertical="center"/>
    </xf>
    <xf numFmtId="169" fontId="3" fillId="0" borderId="0" xfId="0" applyNumberFormat="1" applyFont="1" applyAlignment="1">
      <alignment horizontal="left" vertical="center"/>
    </xf>
    <xf numFmtId="43" fontId="6" fillId="0" borderId="0" xfId="1" applyFont="1" applyAlignment="1">
      <alignment vertical="center"/>
    </xf>
    <xf numFmtId="43" fontId="3" fillId="0" borderId="0" xfId="1" applyFont="1" applyAlignment="1">
      <alignment horizontal="left" vertical="center"/>
    </xf>
    <xf numFmtId="43" fontId="8" fillId="2" borderId="1" xfId="1" quotePrefix="1" applyFont="1" applyFill="1" applyBorder="1" applyAlignment="1">
      <alignment horizontal="center" vertical="center"/>
    </xf>
    <xf numFmtId="43" fontId="3" fillId="0" borderId="1" xfId="1" applyFont="1" applyBorder="1" applyAlignment="1">
      <alignment vertical="center"/>
    </xf>
    <xf numFmtId="43" fontId="8" fillId="2" borderId="16" xfId="1" applyFont="1" applyFill="1" applyBorder="1" applyAlignment="1">
      <alignment vertical="center"/>
    </xf>
    <xf numFmtId="43" fontId="3" fillId="0" borderId="13" xfId="1" applyFont="1" applyBorder="1" applyAlignment="1">
      <alignment vertical="center"/>
    </xf>
    <xf numFmtId="169" fontId="8" fillId="0" borderId="0" xfId="2" applyNumberFormat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5" fillId="0" borderId="0" xfId="0" applyFont="1"/>
    <xf numFmtId="170" fontId="16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/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43" fontId="8" fillId="2" borderId="4" xfId="0" applyNumberFormat="1" applyFont="1" applyFill="1" applyBorder="1" applyAlignment="1">
      <alignment horizontal="center" vertical="center" wrapText="1"/>
    </xf>
    <xf numFmtId="43" fontId="8" fillId="2" borderId="16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left" vertical="center"/>
    </xf>
    <xf numFmtId="43" fontId="8" fillId="2" borderId="4" xfId="1" applyFont="1" applyFill="1" applyBorder="1" applyAlignment="1">
      <alignment horizontal="center" vertical="center" wrapText="1"/>
    </xf>
    <xf numFmtId="43" fontId="8" fillId="2" borderId="16" xfId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6" fontId="8" fillId="2" borderId="4" xfId="0" applyNumberFormat="1" applyFont="1" applyFill="1" applyBorder="1" applyAlignment="1">
      <alignment horizontal="center" vertical="center" wrapText="1"/>
    </xf>
    <xf numFmtId="166" fontId="8" fillId="2" borderId="1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3" fontId="8" fillId="5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77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105781</xdr:colOff>
      <xdr:row>0</xdr:row>
      <xdr:rowOff>45792</xdr:rowOff>
    </xdr:from>
    <xdr:to>
      <xdr:col>19</xdr:col>
      <xdr:colOff>415344</xdr:colOff>
      <xdr:row>7</xdr:row>
      <xdr:rowOff>14196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730A14-D198-1BE0-9EC1-6404F602C1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071" t="64381" r="24633" b="19585"/>
        <a:stretch/>
      </xdr:blipFill>
      <xdr:spPr>
        <a:xfrm>
          <a:off x="6084550" y="45792"/>
          <a:ext cx="5782775" cy="1148039"/>
        </a:xfrm>
        <a:prstGeom prst="rect">
          <a:avLst/>
        </a:prstGeom>
      </xdr:spPr>
    </xdr:pic>
    <xdr:clientData/>
  </xdr:twoCellAnchor>
  <xdr:twoCellAnchor editAs="oneCell">
    <xdr:from>
      <xdr:col>9</xdr:col>
      <xdr:colOff>527540</xdr:colOff>
      <xdr:row>8</xdr:row>
      <xdr:rowOff>58616</xdr:rowOff>
    </xdr:from>
    <xdr:to>
      <xdr:col>21</xdr:col>
      <xdr:colOff>58616</xdr:colOff>
      <xdr:row>20</xdr:row>
      <xdr:rowOff>146538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7798DB-FD59-50F9-FB40-A3BBDD5FDB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64" t="44176" r="25883" b="26973"/>
        <a:stretch/>
      </xdr:blipFill>
      <xdr:spPr>
        <a:xfrm>
          <a:off x="5942136" y="1406770"/>
          <a:ext cx="6784730" cy="2110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41AF-005A-4AEF-93EB-905DB874EF51}">
  <sheetPr>
    <tabColor rgb="FFFFC000"/>
    <pageSetUpPr fitToPage="1"/>
  </sheetPr>
  <dimension ref="A1:T66"/>
  <sheetViews>
    <sheetView view="pageBreakPreview" zoomScaleNormal="130" zoomScaleSheetLayoutView="100" workbookViewId="0">
      <selection activeCell="B2" sqref="B2:N2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10.5703125" style="1" customWidth="1"/>
    <col min="5" max="5" width="10.140625" style="1" customWidth="1"/>
    <col min="6" max="6" width="10.140625" style="2" customWidth="1"/>
    <col min="7" max="8" width="12.28515625" style="3" customWidth="1"/>
    <col min="9" max="9" width="8.85546875" style="3" customWidth="1"/>
    <col min="10" max="10" width="16.42578125" style="1" customWidth="1"/>
    <col min="11" max="12" width="14.7109375" style="1" customWidth="1"/>
    <col min="13" max="13" width="16.140625" style="1" bestFit="1" customWidth="1"/>
    <col min="14" max="14" width="2.85546875" style="1" customWidth="1"/>
    <col min="15" max="15" width="13.140625" style="3" bestFit="1" customWidth="1"/>
    <col min="16" max="16" width="12.5703125" style="1" bestFit="1" customWidth="1"/>
    <col min="17" max="17" width="9.140625" style="1"/>
    <col min="18" max="18" width="12.7109375" style="1" bestFit="1" customWidth="1"/>
    <col min="19" max="20" width="11.140625" style="3" bestFit="1" customWidth="1"/>
    <col min="21" max="21" width="10.7109375" style="1" bestFit="1" customWidth="1"/>
    <col min="22" max="16384" width="9.140625" style="1"/>
  </cols>
  <sheetData>
    <row r="1" spans="2:14" ht="12" thickBot="1" x14ac:dyDescent="0.3"/>
    <row r="2" spans="2:14" ht="57.6" customHeight="1" x14ac:dyDescent="0.25">
      <c r="B2" s="174" t="s">
        <v>117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6"/>
    </row>
    <row r="3" spans="2:14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101"/>
    </row>
    <row r="4" spans="2:14" x14ac:dyDescent="0.25">
      <c r="B4" s="4"/>
      <c r="F4" s="8"/>
      <c r="G4" s="9"/>
      <c r="H4" s="9"/>
      <c r="I4" s="9"/>
      <c r="L4" s="10" t="s">
        <v>11</v>
      </c>
      <c r="M4" s="80"/>
      <c r="N4" s="102"/>
    </row>
    <row r="5" spans="2:14" x14ac:dyDescent="0.25">
      <c r="B5" s="4"/>
      <c r="F5" s="8"/>
      <c r="G5" s="9"/>
      <c r="H5" s="9"/>
      <c r="I5" s="9"/>
      <c r="L5" s="10" t="s">
        <v>13</v>
      </c>
      <c r="M5" s="116" t="s">
        <v>27</v>
      </c>
      <c r="N5" s="102"/>
    </row>
    <row r="6" spans="2:14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4" t="s">
        <v>12</v>
      </c>
      <c r="M6" s="99"/>
      <c r="N6" s="102"/>
    </row>
    <row r="7" spans="2:14" ht="12" thickTop="1" x14ac:dyDescent="0.25">
      <c r="B7" s="4"/>
      <c r="C7" s="15" t="s">
        <v>17</v>
      </c>
      <c r="D7" s="15"/>
      <c r="F7" s="8"/>
      <c r="G7" s="9"/>
      <c r="H7" s="9"/>
      <c r="I7" s="9"/>
      <c r="N7" s="102"/>
    </row>
    <row r="8" spans="2:14" x14ac:dyDescent="0.25">
      <c r="B8" s="4"/>
      <c r="C8" s="1" t="s">
        <v>119</v>
      </c>
      <c r="D8" s="15"/>
      <c r="F8" s="8"/>
      <c r="G8" s="9"/>
      <c r="H8" s="9"/>
      <c r="I8" s="9"/>
      <c r="N8" s="102"/>
    </row>
    <row r="9" spans="2:14" x14ac:dyDescent="0.25">
      <c r="B9" s="4"/>
      <c r="C9" s="15"/>
      <c r="D9" s="15"/>
      <c r="F9" s="8"/>
      <c r="G9" s="9"/>
      <c r="H9" s="9"/>
      <c r="I9" s="9"/>
      <c r="N9" s="102"/>
    </row>
    <row r="10" spans="2:14" x14ac:dyDescent="0.25">
      <c r="B10" s="4"/>
      <c r="F10" s="8"/>
      <c r="G10" s="9"/>
      <c r="H10" s="9"/>
      <c r="I10" s="9"/>
      <c r="N10" s="102"/>
    </row>
    <row r="11" spans="2:14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K11" s="79" t="s">
        <v>40</v>
      </c>
      <c r="L11" s="20"/>
      <c r="M11" s="20"/>
      <c r="N11" s="102"/>
    </row>
    <row r="12" spans="2:14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K12" s="1" t="s">
        <v>41</v>
      </c>
      <c r="L12" s="15"/>
      <c r="M12" s="15"/>
      <c r="N12" s="102"/>
    </row>
    <row r="13" spans="2:14" x14ac:dyDescent="0.25">
      <c r="B13" s="4"/>
      <c r="C13" s="173" t="s">
        <v>33</v>
      </c>
      <c r="D13" s="173"/>
      <c r="E13" s="173"/>
      <c r="F13" s="16">
        <v>500000</v>
      </c>
      <c r="G13" s="100">
        <v>0</v>
      </c>
      <c r="H13" s="47" t="s">
        <v>101</v>
      </c>
      <c r="I13" s="1"/>
      <c r="K13" s="17" t="s">
        <v>1</v>
      </c>
      <c r="L13" s="82">
        <f>SUM('Prod Profile'!J8:J31)</f>
        <v>10127.518691736792</v>
      </c>
      <c r="M13" s="17" t="s">
        <v>23</v>
      </c>
      <c r="N13" s="102"/>
    </row>
    <row r="14" spans="2:14" x14ac:dyDescent="0.25">
      <c r="B14" s="4"/>
      <c r="C14" s="173" t="s">
        <v>28</v>
      </c>
      <c r="D14" s="173"/>
      <c r="E14" s="173"/>
      <c r="F14" s="16">
        <v>1000</v>
      </c>
      <c r="G14" s="100">
        <v>1</v>
      </c>
      <c r="H14" s="47" t="s">
        <v>102</v>
      </c>
      <c r="I14" s="1"/>
      <c r="K14" s="17" t="s">
        <v>0</v>
      </c>
      <c r="L14" s="82">
        <v>0</v>
      </c>
      <c r="M14" s="17" t="s">
        <v>22</v>
      </c>
      <c r="N14" s="102"/>
    </row>
    <row r="15" spans="2:14" x14ac:dyDescent="0.25">
      <c r="B15" s="4"/>
      <c r="C15" s="173" t="s">
        <v>29</v>
      </c>
      <c r="D15" s="173"/>
      <c r="E15" s="173"/>
      <c r="F15" s="16">
        <v>400000</v>
      </c>
      <c r="G15" s="100">
        <v>0</v>
      </c>
      <c r="H15" s="47" t="s">
        <v>103</v>
      </c>
      <c r="I15" s="18"/>
      <c r="J15" s="18"/>
      <c r="K15" s="18"/>
      <c r="L15" s="18"/>
      <c r="M15" s="16"/>
      <c r="N15" s="102"/>
    </row>
    <row r="16" spans="2:14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102"/>
    </row>
    <row r="17" spans="1:20" x14ac:dyDescent="0.25">
      <c r="B17" s="4"/>
      <c r="C17" s="23"/>
      <c r="D17" s="23"/>
      <c r="E17" s="23"/>
      <c r="F17" s="24"/>
      <c r="G17" s="25"/>
      <c r="H17" s="25"/>
      <c r="I17" s="25"/>
      <c r="J17" s="23"/>
      <c r="K17" s="96"/>
      <c r="L17" s="1">
        <f>1000*L18</f>
        <v>150</v>
      </c>
      <c r="N17" s="102"/>
    </row>
    <row r="18" spans="1:20" x14ac:dyDescent="0.25">
      <c r="B18" s="4"/>
      <c r="C18" s="163" t="s">
        <v>58</v>
      </c>
      <c r="D18" s="163"/>
      <c r="E18" s="163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0" t="s">
        <v>14</v>
      </c>
      <c r="J18" s="80">
        <v>2022</v>
      </c>
      <c r="K18" s="10" t="s">
        <v>66</v>
      </c>
      <c r="L18" s="72">
        <v>0.15</v>
      </c>
      <c r="M18" s="39" t="s">
        <v>68</v>
      </c>
      <c r="N18" s="102"/>
    </row>
    <row r="19" spans="1:20" x14ac:dyDescent="0.25">
      <c r="B19" s="4"/>
      <c r="C19" s="163" t="s">
        <v>30</v>
      </c>
      <c r="D19" s="163"/>
      <c r="E19" s="163"/>
      <c r="F19" s="5">
        <v>13</v>
      </c>
      <c r="G19" s="76" t="s">
        <v>35</v>
      </c>
      <c r="H19" s="76"/>
      <c r="I19" s="10" t="s">
        <v>15</v>
      </c>
      <c r="J19" s="46">
        <v>0.1</v>
      </c>
      <c r="K19" s="10" t="s">
        <v>67</v>
      </c>
      <c r="L19" s="72">
        <v>0.3</v>
      </c>
      <c r="M19" s="39" t="s">
        <v>68</v>
      </c>
      <c r="N19" s="103"/>
    </row>
    <row r="20" spans="1:20" x14ac:dyDescent="0.25">
      <c r="B20" s="4"/>
      <c r="C20" s="163" t="s">
        <v>34</v>
      </c>
      <c r="D20" s="163"/>
      <c r="E20" s="163"/>
      <c r="F20" s="5">
        <v>6</v>
      </c>
      <c r="G20" s="76" t="s">
        <v>35</v>
      </c>
      <c r="H20" s="76"/>
      <c r="I20" s="10" t="s">
        <v>16</v>
      </c>
      <c r="J20" s="80" t="s">
        <v>8</v>
      </c>
      <c r="K20" s="10" t="s">
        <v>105</v>
      </c>
      <c r="L20" s="98" cm="1">
        <f t="array" ref="L20">IF(VLOOKUP(MIN(IF(L27:L50&gt;0,L27:L50)),$L$27:$N$50,3,FALSE)=0,$F$19,VLOOKUP(MIN(IF(L27:L50&gt;0,L27:L50)),$L$27:$N$50,3,FALSE))</f>
        <v>13</v>
      </c>
      <c r="M20" s="39" t="s">
        <v>69</v>
      </c>
      <c r="N20" s="102"/>
    </row>
    <row r="21" spans="1:20" x14ac:dyDescent="0.25">
      <c r="B21" s="4"/>
      <c r="C21" s="80"/>
      <c r="D21" s="80"/>
      <c r="E21" s="80"/>
      <c r="F21" s="5"/>
      <c r="G21" s="76"/>
      <c r="H21" s="76"/>
      <c r="I21" s="10"/>
      <c r="J21" s="80"/>
      <c r="K21" s="10" t="s">
        <v>106</v>
      </c>
      <c r="L21" s="75">
        <f>SUMIFS($F$27:$F$50,$C$27:$C$50,"&lt;="&amp;L20)</f>
        <v>520.80551994817972</v>
      </c>
      <c r="M21" s="75" t="s">
        <v>53</v>
      </c>
      <c r="N21" s="102"/>
    </row>
    <row r="22" spans="1:20" x14ac:dyDescent="0.25">
      <c r="B22" s="4"/>
      <c r="C22" s="80"/>
      <c r="D22" s="80"/>
      <c r="E22" s="80"/>
      <c r="F22" s="5"/>
      <c r="G22" s="76"/>
      <c r="H22" s="76"/>
      <c r="I22" s="10"/>
      <c r="J22" s="80"/>
      <c r="L22" s="80"/>
      <c r="N22" s="102"/>
    </row>
    <row r="23" spans="1:20" s="26" customFormat="1" ht="11.25" customHeight="1" x14ac:dyDescent="0.25">
      <c r="B23" s="27"/>
      <c r="C23" s="170" t="s">
        <v>31</v>
      </c>
      <c r="D23" s="170" t="s">
        <v>32</v>
      </c>
      <c r="E23" s="171" t="s">
        <v>46</v>
      </c>
      <c r="F23" s="172"/>
      <c r="G23" s="168" t="s">
        <v>47</v>
      </c>
      <c r="H23" s="166" t="s">
        <v>7</v>
      </c>
      <c r="I23" s="166" t="s">
        <v>2</v>
      </c>
      <c r="J23" s="166" t="s">
        <v>43</v>
      </c>
      <c r="K23" s="171" t="s">
        <v>70</v>
      </c>
      <c r="L23" s="172"/>
      <c r="M23" s="166" t="s">
        <v>59</v>
      </c>
      <c r="N23" s="102"/>
      <c r="O23" s="28"/>
      <c r="S23" s="28"/>
      <c r="T23" s="28"/>
    </row>
    <row r="24" spans="1:20" s="5" customFormat="1" ht="11.25" customHeight="1" x14ac:dyDescent="0.25">
      <c r="A24" s="29"/>
      <c r="B24" s="30"/>
      <c r="C24" s="170"/>
      <c r="D24" s="170"/>
      <c r="E24" s="81" t="s">
        <v>0</v>
      </c>
      <c r="F24" s="56" t="s">
        <v>1</v>
      </c>
      <c r="G24" s="169"/>
      <c r="H24" s="167"/>
      <c r="I24" s="167"/>
      <c r="J24" s="167"/>
      <c r="K24" s="81" t="s">
        <v>3</v>
      </c>
      <c r="L24" s="81" t="s">
        <v>4</v>
      </c>
      <c r="M24" s="167"/>
      <c r="N24" s="102"/>
      <c r="O24" s="31"/>
      <c r="S24" s="31"/>
      <c r="T24" s="31"/>
    </row>
    <row r="25" spans="1:20" s="5" customFormat="1" ht="11.25" customHeight="1" x14ac:dyDescent="0.25">
      <c r="A25" s="29"/>
      <c r="B25" s="30"/>
      <c r="C25" s="170"/>
      <c r="D25" s="170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65" t="s">
        <v>42</v>
      </c>
      <c r="N25" s="102"/>
      <c r="O25" s="31"/>
      <c r="S25" s="31"/>
      <c r="T25" s="31"/>
    </row>
    <row r="26" spans="1:20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97" t="s">
        <v>80</v>
      </c>
      <c r="K26" s="97" t="s">
        <v>81</v>
      </c>
      <c r="L26" s="97" t="s">
        <v>82</v>
      </c>
      <c r="M26" s="97" t="s">
        <v>83</v>
      </c>
      <c r="N26" s="102"/>
      <c r="O26" s="31"/>
      <c r="S26" s="31"/>
      <c r="T26" s="31"/>
    </row>
    <row r="27" spans="1:20" ht="11.25" customHeight="1" x14ac:dyDescent="0.25">
      <c r="A27" s="29"/>
      <c r="B27" s="32"/>
      <c r="C27" s="66">
        <v>1</v>
      </c>
      <c r="D27" s="33" t="str">
        <f>F18</f>
        <v>12-2023</v>
      </c>
      <c r="E27" s="53">
        <f t="shared" ref="E27:E50" si="0">IF(C27&lt;&gt;0,$L$14/$F$19,0)</f>
        <v>0</v>
      </c>
      <c r="F27" s="53">
        <f>_xlfn.IFNA(VLOOKUP(D27,'Prod Profile'!$K$8:$L$31,2,FALSE),0)</f>
        <v>520.80551994817972</v>
      </c>
      <c r="G27" s="53">
        <f>IF(C27&lt;&gt;0,IF(C27=1,$F$13+$F$14+$F$15,$F$13*$G$13+$F$14*$G$14+$F$15*$G$15),0)</f>
        <v>901000</v>
      </c>
      <c r="H27" s="52">
        <v>65</v>
      </c>
      <c r="I27" s="52">
        <v>2.5</v>
      </c>
      <c r="J27" s="51">
        <f t="shared" ref="J27:J50" si="1">F27*H27+E27*I27*1000</f>
        <v>33852.358796631685</v>
      </c>
      <c r="K27" s="51">
        <f>IF(C27&lt;&gt;0,J27*$L$18,0)</f>
        <v>5077.8538194947523</v>
      </c>
      <c r="L27" s="51">
        <f>IF(C27&lt;&gt;0,J27*(1-$L$18)-G27,0)</f>
        <v>-872225.49502286303</v>
      </c>
      <c r="M27" s="93">
        <f>IF(L27&lt;=0,0,$F$15)</f>
        <v>0</v>
      </c>
      <c r="N27" s="88">
        <v>1</v>
      </c>
      <c r="O27" s="31"/>
      <c r="P27" s="5"/>
      <c r="Q27" s="5"/>
      <c r="R27" s="5"/>
    </row>
    <row r="28" spans="1:20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01-2024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ref="G28:G50" si="2">IF(C28&lt;&gt;0,IF(C28=1,$F$13+$F$14+$F$15,$F$13*$G$13+$F$14*$G$14+$F$15*$G$15),0)</f>
        <v>1000</v>
      </c>
      <c r="H28" s="52">
        <v>65</v>
      </c>
      <c r="I28" s="52">
        <v>2.5</v>
      </c>
      <c r="J28" s="51">
        <f t="shared" si="1"/>
        <v>0</v>
      </c>
      <c r="K28" s="51">
        <f t="shared" ref="K28:K50" si="3">IF(C28&lt;&gt;0,J28*$L$18+K27,0)</f>
        <v>5077.8538194947523</v>
      </c>
      <c r="L28" s="51">
        <f t="shared" ref="L28:L50" si="4">IF(C28&lt;&gt;0,J28*(1-$L$18)-G28+L27,0)</f>
        <v>-873225.49502286303</v>
      </c>
      <c r="M28" s="93">
        <f>IF(L28&lt;=0,0,IF(SUM($M$27)&gt;=$F$15,0,$F$15-SUM($M$27)))</f>
        <v>0</v>
      </c>
      <c r="N28" s="88">
        <v>2</v>
      </c>
      <c r="O28" s="31"/>
      <c r="P28" s="5"/>
      <c r="Q28" s="5"/>
      <c r="R28" s="5"/>
    </row>
    <row r="29" spans="1:20" x14ac:dyDescent="0.25">
      <c r="A29" s="29"/>
      <c r="B29" s="32"/>
      <c r="C29" s="66">
        <f t="shared" ref="C29:C50" si="5">IF(AND(C28&lt;$F$19,C28&lt;&gt;0),C28+1,0)</f>
        <v>3</v>
      </c>
      <c r="D29" s="33" t="str">
        <f t="shared" ref="D29:D50" si="6">IF(C29&lt;&gt;0,RIGHT("0"&amp;MONTH(EOMONTH(D28,1)),2)&amp;"-"&amp;YEAR(EOMONTH(D28,1)),"-")</f>
        <v>02-2024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2"/>
        <v>1000</v>
      </c>
      <c r="H29" s="52">
        <v>65</v>
      </c>
      <c r="I29" s="52">
        <v>2.5</v>
      </c>
      <c r="J29" s="51">
        <f t="shared" si="1"/>
        <v>0</v>
      </c>
      <c r="K29" s="51">
        <f t="shared" si="3"/>
        <v>5077.8538194947523</v>
      </c>
      <c r="L29" s="51">
        <f t="shared" si="4"/>
        <v>-874225.49502286303</v>
      </c>
      <c r="M29" s="93">
        <f>IF(L29&lt;=0,0,IF(SUM($M$27:M28)&gt;=$F$15,0,$F$15-SUM($M$27:M28)))</f>
        <v>0</v>
      </c>
      <c r="N29" s="88">
        <v>3</v>
      </c>
      <c r="O29" s="31"/>
      <c r="P29" s="5"/>
      <c r="Q29" s="5"/>
      <c r="R29" s="5"/>
    </row>
    <row r="30" spans="1:20" x14ac:dyDescent="0.25">
      <c r="A30" s="29"/>
      <c r="B30" s="32"/>
      <c r="C30" s="66">
        <f t="shared" si="5"/>
        <v>4</v>
      </c>
      <c r="D30" s="33" t="str">
        <f t="shared" si="6"/>
        <v>03-2024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2"/>
        <v>1000</v>
      </c>
      <c r="H30" s="52">
        <v>65</v>
      </c>
      <c r="I30" s="52">
        <v>2.5</v>
      </c>
      <c r="J30" s="51">
        <f t="shared" si="1"/>
        <v>0</v>
      </c>
      <c r="K30" s="51">
        <f t="shared" si="3"/>
        <v>5077.8538194947523</v>
      </c>
      <c r="L30" s="51">
        <f t="shared" si="4"/>
        <v>-875225.49502286303</v>
      </c>
      <c r="M30" s="93">
        <f>IF(L30&lt;=0,0,IF(SUM($M$27:M29)&gt;=$F$15,0,$F$15-SUM($M$27:M29)))</f>
        <v>0</v>
      </c>
      <c r="N30" s="88">
        <v>4</v>
      </c>
      <c r="O30" s="31"/>
      <c r="P30" s="5"/>
      <c r="Q30" s="5"/>
      <c r="R30" s="5"/>
    </row>
    <row r="31" spans="1:20" x14ac:dyDescent="0.25">
      <c r="A31" s="29"/>
      <c r="B31" s="32"/>
      <c r="C31" s="66">
        <f t="shared" si="5"/>
        <v>5</v>
      </c>
      <c r="D31" s="33" t="str">
        <f t="shared" si="6"/>
        <v>04-2024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2"/>
        <v>1000</v>
      </c>
      <c r="H31" s="52">
        <v>65</v>
      </c>
      <c r="I31" s="52">
        <v>2.5</v>
      </c>
      <c r="J31" s="51">
        <f t="shared" si="1"/>
        <v>0</v>
      </c>
      <c r="K31" s="51">
        <f t="shared" si="3"/>
        <v>5077.8538194947523</v>
      </c>
      <c r="L31" s="51">
        <f t="shared" si="4"/>
        <v>-876225.49502286303</v>
      </c>
      <c r="M31" s="93">
        <f>IF(L31&lt;=0,0,IF(SUM($M$27:M30)&gt;=$F$15,0,$F$15-SUM($M$27:M30)))</f>
        <v>0</v>
      </c>
      <c r="N31" s="90">
        <v>5</v>
      </c>
      <c r="O31" s="31"/>
      <c r="P31" s="5"/>
      <c r="Q31" s="5"/>
      <c r="R31" s="5"/>
    </row>
    <row r="32" spans="1:20" x14ac:dyDescent="0.25">
      <c r="A32" s="29"/>
      <c r="B32" s="32"/>
      <c r="C32" s="66">
        <f t="shared" si="5"/>
        <v>6</v>
      </c>
      <c r="D32" s="33" t="str">
        <f t="shared" si="6"/>
        <v>05-2024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2"/>
        <v>1000</v>
      </c>
      <c r="H32" s="52">
        <v>65</v>
      </c>
      <c r="I32" s="52">
        <v>2.5</v>
      </c>
      <c r="J32" s="51">
        <f t="shared" si="1"/>
        <v>0</v>
      </c>
      <c r="K32" s="51">
        <f t="shared" si="3"/>
        <v>5077.8538194947523</v>
      </c>
      <c r="L32" s="51">
        <f t="shared" si="4"/>
        <v>-877225.49502286303</v>
      </c>
      <c r="M32" s="93">
        <f>IF(L32&lt;=0,0,IF(SUM($M$27:M31)&gt;=$F$15,0,$F$15-SUM($M$27:M31)))</f>
        <v>0</v>
      </c>
      <c r="N32" s="90">
        <v>6</v>
      </c>
      <c r="O32" s="31"/>
      <c r="P32" s="5"/>
      <c r="Q32" s="5"/>
      <c r="R32" s="5"/>
      <c r="S32" s="1"/>
      <c r="T32" s="1"/>
    </row>
    <row r="33" spans="1:20" x14ac:dyDescent="0.25">
      <c r="A33" s="29"/>
      <c r="B33" s="32"/>
      <c r="C33" s="66">
        <f t="shared" si="5"/>
        <v>7</v>
      </c>
      <c r="D33" s="33" t="str">
        <f t="shared" si="6"/>
        <v>06-2024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2"/>
        <v>1000</v>
      </c>
      <c r="H33" s="52">
        <v>65</v>
      </c>
      <c r="I33" s="52">
        <v>2.5</v>
      </c>
      <c r="J33" s="51">
        <f t="shared" si="1"/>
        <v>0</v>
      </c>
      <c r="K33" s="51">
        <f t="shared" si="3"/>
        <v>5077.8538194947523</v>
      </c>
      <c r="L33" s="51">
        <f t="shared" si="4"/>
        <v>-878225.49502286303</v>
      </c>
      <c r="M33" s="93">
        <f>IF(L33&lt;=0,0,IF(SUM($M$27:M32)&gt;=$F$15,0,$F$15-SUM($M$27:M32)))</f>
        <v>0</v>
      </c>
      <c r="N33" s="90">
        <v>7</v>
      </c>
      <c r="O33" s="31"/>
      <c r="P33" s="5"/>
      <c r="Q33" s="5"/>
      <c r="R33" s="5"/>
      <c r="S33" s="1"/>
      <c r="T33" s="1"/>
    </row>
    <row r="34" spans="1:20" x14ac:dyDescent="0.25">
      <c r="A34" s="29"/>
      <c r="B34" s="32"/>
      <c r="C34" s="66">
        <f t="shared" si="5"/>
        <v>8</v>
      </c>
      <c r="D34" s="33" t="str">
        <f t="shared" si="6"/>
        <v>07-2024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2"/>
        <v>1000</v>
      </c>
      <c r="H34" s="52">
        <v>65</v>
      </c>
      <c r="I34" s="52">
        <v>2.5</v>
      </c>
      <c r="J34" s="51">
        <f t="shared" si="1"/>
        <v>0</v>
      </c>
      <c r="K34" s="51">
        <f t="shared" si="3"/>
        <v>5077.8538194947523</v>
      </c>
      <c r="L34" s="51">
        <f t="shared" si="4"/>
        <v>-879225.49502286303</v>
      </c>
      <c r="M34" s="93">
        <f>IF(L34&lt;=0,0,IF(SUM($M$27:M33)&gt;=$F$15,0,$F$15-SUM($M$27:M33)))</f>
        <v>0</v>
      </c>
      <c r="N34" s="90">
        <v>8</v>
      </c>
      <c r="O34" s="31"/>
      <c r="P34" s="5"/>
      <c r="Q34" s="5"/>
      <c r="R34" s="5"/>
      <c r="S34" s="1"/>
      <c r="T34" s="1"/>
    </row>
    <row r="35" spans="1:20" x14ac:dyDescent="0.25">
      <c r="A35" s="29"/>
      <c r="B35" s="32"/>
      <c r="C35" s="66">
        <f t="shared" si="5"/>
        <v>9</v>
      </c>
      <c r="D35" s="33" t="str">
        <f t="shared" si="6"/>
        <v>08-2024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2"/>
        <v>1000</v>
      </c>
      <c r="H35" s="52">
        <v>65</v>
      </c>
      <c r="I35" s="52">
        <v>2.5</v>
      </c>
      <c r="J35" s="51">
        <f t="shared" si="1"/>
        <v>0</v>
      </c>
      <c r="K35" s="51">
        <f t="shared" si="3"/>
        <v>5077.8538194947523</v>
      </c>
      <c r="L35" s="51">
        <f t="shared" si="4"/>
        <v>-880225.49502286303</v>
      </c>
      <c r="M35" s="93">
        <f>IF(L35&lt;=0,0,IF(SUM($M$27:M34)&gt;=$F$15,0,$F$15-SUM($M$27:M34)))</f>
        <v>0</v>
      </c>
      <c r="N35" s="90">
        <v>9</v>
      </c>
      <c r="O35" s="31"/>
      <c r="P35" s="5"/>
      <c r="Q35" s="5"/>
      <c r="R35" s="5"/>
      <c r="S35" s="1"/>
      <c r="T35" s="1"/>
    </row>
    <row r="36" spans="1:20" x14ac:dyDescent="0.25">
      <c r="A36" s="29"/>
      <c r="B36" s="32"/>
      <c r="C36" s="66">
        <f t="shared" si="5"/>
        <v>10</v>
      </c>
      <c r="D36" s="33" t="str">
        <f t="shared" si="6"/>
        <v>09-2024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2"/>
        <v>1000</v>
      </c>
      <c r="H36" s="52">
        <v>65</v>
      </c>
      <c r="I36" s="52">
        <v>2.5</v>
      </c>
      <c r="J36" s="51">
        <f t="shared" si="1"/>
        <v>0</v>
      </c>
      <c r="K36" s="51">
        <f t="shared" si="3"/>
        <v>5077.8538194947523</v>
      </c>
      <c r="L36" s="51">
        <f t="shared" si="4"/>
        <v>-881225.49502286303</v>
      </c>
      <c r="M36" s="93">
        <f>IF(L36&lt;=0,0,IF(SUM($M$27:M35)&gt;=$F$15,0,$F$15-SUM($M$27:M35)))</f>
        <v>0</v>
      </c>
      <c r="N36" s="90">
        <v>10</v>
      </c>
      <c r="O36" s="31"/>
      <c r="P36" s="5"/>
      <c r="Q36" s="5"/>
      <c r="R36" s="5"/>
      <c r="S36" s="1"/>
      <c r="T36" s="1"/>
    </row>
    <row r="37" spans="1:20" x14ac:dyDescent="0.25">
      <c r="A37" s="29"/>
      <c r="B37" s="32"/>
      <c r="C37" s="66">
        <f t="shared" si="5"/>
        <v>11</v>
      </c>
      <c r="D37" s="33" t="str">
        <f t="shared" si="6"/>
        <v>10-2024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2"/>
        <v>1000</v>
      </c>
      <c r="H37" s="52">
        <v>65</v>
      </c>
      <c r="I37" s="52">
        <v>2.5</v>
      </c>
      <c r="J37" s="51">
        <f t="shared" si="1"/>
        <v>0</v>
      </c>
      <c r="K37" s="51">
        <f t="shared" si="3"/>
        <v>5077.8538194947523</v>
      </c>
      <c r="L37" s="51">
        <f t="shared" si="4"/>
        <v>-882225.49502286303</v>
      </c>
      <c r="M37" s="93">
        <f>IF(L37&lt;=0,0,IF(SUM($M$27:M36)&gt;=$F$15,0,$F$15-SUM($M$27:M36)))</f>
        <v>0</v>
      </c>
      <c r="N37" s="90">
        <v>11</v>
      </c>
      <c r="O37" s="31"/>
      <c r="P37" s="5"/>
      <c r="Q37" s="5"/>
      <c r="R37" s="5"/>
    </row>
    <row r="38" spans="1:20" x14ac:dyDescent="0.25">
      <c r="A38" s="29"/>
      <c r="B38" s="32"/>
      <c r="C38" s="66">
        <f t="shared" si="5"/>
        <v>12</v>
      </c>
      <c r="D38" s="33" t="str">
        <f t="shared" si="6"/>
        <v>11-2024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2"/>
        <v>1000</v>
      </c>
      <c r="H38" s="52">
        <v>65</v>
      </c>
      <c r="I38" s="52">
        <v>2.5</v>
      </c>
      <c r="J38" s="51">
        <f t="shared" si="1"/>
        <v>0</v>
      </c>
      <c r="K38" s="51">
        <f t="shared" si="3"/>
        <v>5077.8538194947523</v>
      </c>
      <c r="L38" s="51">
        <f t="shared" si="4"/>
        <v>-883225.49502286303</v>
      </c>
      <c r="M38" s="93">
        <f>IF(L38&lt;=0,0,IF(SUM($M$27:M37)&gt;=$F$15,0,$F$15-SUM($M$27:M37)))</f>
        <v>0</v>
      </c>
      <c r="N38" s="90">
        <v>12</v>
      </c>
      <c r="O38" s="31"/>
      <c r="P38" s="5"/>
      <c r="Q38" s="5"/>
      <c r="R38" s="5"/>
    </row>
    <row r="39" spans="1:20" x14ac:dyDescent="0.25">
      <c r="A39" s="29"/>
      <c r="B39" s="32"/>
      <c r="C39" s="66">
        <f t="shared" si="5"/>
        <v>13</v>
      </c>
      <c r="D39" s="33" t="str">
        <f t="shared" si="6"/>
        <v>12-2024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2"/>
        <v>1000</v>
      </c>
      <c r="H39" s="52">
        <v>65</v>
      </c>
      <c r="I39" s="52">
        <v>2.5</v>
      </c>
      <c r="J39" s="51">
        <f t="shared" si="1"/>
        <v>0</v>
      </c>
      <c r="K39" s="51">
        <f t="shared" si="3"/>
        <v>5077.8538194947523</v>
      </c>
      <c r="L39" s="51">
        <f t="shared" si="4"/>
        <v>-884225.49502286303</v>
      </c>
      <c r="M39" s="93">
        <f>IF(L39&lt;=0,0,IF(SUM($M$27:M38)&gt;=$F$15,0,$F$15-SUM($M$27:M38)))</f>
        <v>0</v>
      </c>
      <c r="N39" s="90">
        <v>13</v>
      </c>
      <c r="O39" s="31"/>
      <c r="P39" s="5"/>
      <c r="Q39" s="5"/>
      <c r="R39" s="5"/>
    </row>
    <row r="40" spans="1:20" x14ac:dyDescent="0.25">
      <c r="A40" s="29"/>
      <c r="B40" s="32"/>
      <c r="C40" s="66">
        <f t="shared" si="5"/>
        <v>0</v>
      </c>
      <c r="D40" s="33" t="str">
        <f t="shared" si="6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2"/>
        <v>0</v>
      </c>
      <c r="H40" s="52">
        <v>65</v>
      </c>
      <c r="I40" s="52">
        <v>2.5</v>
      </c>
      <c r="J40" s="51">
        <f t="shared" si="1"/>
        <v>0</v>
      </c>
      <c r="K40" s="51">
        <f t="shared" si="3"/>
        <v>0</v>
      </c>
      <c r="L40" s="51">
        <f t="shared" si="4"/>
        <v>0</v>
      </c>
      <c r="M40" s="93">
        <f>IF(L40&lt;=0,0,IF(SUM($M$27:M39)&gt;=$F$15,0,$F$15-SUM($M$27:M39)))</f>
        <v>0</v>
      </c>
      <c r="N40" s="90">
        <v>0</v>
      </c>
      <c r="O40" s="31"/>
      <c r="P40" s="5"/>
      <c r="Q40" s="5"/>
      <c r="R40" s="5"/>
    </row>
    <row r="41" spans="1:20" x14ac:dyDescent="0.25">
      <c r="A41" s="29"/>
      <c r="B41" s="32"/>
      <c r="C41" s="66">
        <f t="shared" si="5"/>
        <v>0</v>
      </c>
      <c r="D41" s="33" t="str">
        <f t="shared" si="6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2"/>
        <v>0</v>
      </c>
      <c r="H41" s="52">
        <v>65</v>
      </c>
      <c r="I41" s="52">
        <v>2.5</v>
      </c>
      <c r="J41" s="51">
        <f t="shared" si="1"/>
        <v>0</v>
      </c>
      <c r="K41" s="51">
        <f t="shared" si="3"/>
        <v>0</v>
      </c>
      <c r="L41" s="51">
        <f t="shared" si="4"/>
        <v>0</v>
      </c>
      <c r="M41" s="93">
        <f>IF(L41&lt;=0,0,IF(SUM($M$27:M40)&gt;=$F$15,0,$F$15-SUM($M$27:M40)))</f>
        <v>0</v>
      </c>
      <c r="N41" s="90">
        <v>0</v>
      </c>
      <c r="O41" s="31"/>
      <c r="P41" s="5"/>
      <c r="Q41" s="5"/>
      <c r="R41" s="5"/>
    </row>
    <row r="42" spans="1:20" x14ac:dyDescent="0.25">
      <c r="A42" s="29"/>
      <c r="B42" s="32"/>
      <c r="C42" s="66">
        <f t="shared" si="5"/>
        <v>0</v>
      </c>
      <c r="D42" s="33" t="str">
        <f t="shared" si="6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2"/>
        <v>0</v>
      </c>
      <c r="H42" s="52">
        <v>65</v>
      </c>
      <c r="I42" s="52">
        <v>2.5</v>
      </c>
      <c r="J42" s="51">
        <f t="shared" si="1"/>
        <v>0</v>
      </c>
      <c r="K42" s="51">
        <f t="shared" si="3"/>
        <v>0</v>
      </c>
      <c r="L42" s="51">
        <f t="shared" si="4"/>
        <v>0</v>
      </c>
      <c r="M42" s="93">
        <f>IF(L42&lt;=0,0,IF(SUM($M$27:M41)&gt;=$F$15,0,$F$15-SUM($M$27:M41)))</f>
        <v>0</v>
      </c>
      <c r="N42" s="90">
        <v>0</v>
      </c>
      <c r="O42" s="31"/>
      <c r="P42" s="5"/>
      <c r="Q42" s="5"/>
      <c r="R42" s="5"/>
    </row>
    <row r="43" spans="1:20" x14ac:dyDescent="0.25">
      <c r="A43" s="29"/>
      <c r="B43" s="32"/>
      <c r="C43" s="66">
        <f t="shared" si="5"/>
        <v>0</v>
      </c>
      <c r="D43" s="33" t="str">
        <f t="shared" si="6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2"/>
        <v>0</v>
      </c>
      <c r="H43" s="52">
        <v>65</v>
      </c>
      <c r="I43" s="52">
        <v>2.5</v>
      </c>
      <c r="J43" s="51">
        <f t="shared" si="1"/>
        <v>0</v>
      </c>
      <c r="K43" s="51">
        <f t="shared" si="3"/>
        <v>0</v>
      </c>
      <c r="L43" s="51">
        <f t="shared" si="4"/>
        <v>0</v>
      </c>
      <c r="M43" s="93">
        <f>IF(L43&lt;=0,0,IF(SUM($M$27:M42)&gt;=$F$15,0,$F$15-SUM($M$27:M42)))</f>
        <v>0</v>
      </c>
      <c r="N43" s="90">
        <v>0</v>
      </c>
      <c r="O43" s="31"/>
      <c r="P43" s="5"/>
      <c r="Q43" s="5"/>
      <c r="R43" s="5"/>
    </row>
    <row r="44" spans="1:20" x14ac:dyDescent="0.25">
      <c r="A44" s="29"/>
      <c r="B44" s="32"/>
      <c r="C44" s="66">
        <f t="shared" si="5"/>
        <v>0</v>
      </c>
      <c r="D44" s="33" t="str">
        <f t="shared" si="6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2"/>
        <v>0</v>
      </c>
      <c r="H44" s="52">
        <v>65</v>
      </c>
      <c r="I44" s="52">
        <v>2.5</v>
      </c>
      <c r="J44" s="51">
        <f t="shared" si="1"/>
        <v>0</v>
      </c>
      <c r="K44" s="51">
        <f t="shared" si="3"/>
        <v>0</v>
      </c>
      <c r="L44" s="51">
        <f t="shared" si="4"/>
        <v>0</v>
      </c>
      <c r="M44" s="93">
        <f>IF(L44&lt;=0,0,IF(SUM($M$27:M43)&gt;=$F$15,0,$F$15-SUM($M$27:M43)))</f>
        <v>0</v>
      </c>
      <c r="N44" s="90">
        <v>0</v>
      </c>
      <c r="O44" s="31"/>
      <c r="P44" s="5"/>
      <c r="Q44" s="5"/>
      <c r="R44" s="5"/>
    </row>
    <row r="45" spans="1:20" x14ac:dyDescent="0.25">
      <c r="A45" s="29"/>
      <c r="B45" s="32"/>
      <c r="C45" s="66">
        <f t="shared" si="5"/>
        <v>0</v>
      </c>
      <c r="D45" s="33" t="str">
        <f t="shared" si="6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2"/>
        <v>0</v>
      </c>
      <c r="H45" s="52">
        <v>65</v>
      </c>
      <c r="I45" s="52">
        <v>2.5</v>
      </c>
      <c r="J45" s="51">
        <f t="shared" si="1"/>
        <v>0</v>
      </c>
      <c r="K45" s="51">
        <f t="shared" si="3"/>
        <v>0</v>
      </c>
      <c r="L45" s="51">
        <f t="shared" si="4"/>
        <v>0</v>
      </c>
      <c r="M45" s="93">
        <f>IF(L45&lt;=0,0,IF(SUM($M$27:M44)&gt;=$F$15,0,$F$15-SUM($M$27:M44)))</f>
        <v>0</v>
      </c>
      <c r="N45" s="90">
        <v>0</v>
      </c>
      <c r="O45" s="31"/>
      <c r="P45" s="5"/>
      <c r="Q45" s="5"/>
      <c r="R45" s="5"/>
    </row>
    <row r="46" spans="1:20" x14ac:dyDescent="0.25">
      <c r="A46" s="29"/>
      <c r="B46" s="32"/>
      <c r="C46" s="66">
        <f t="shared" si="5"/>
        <v>0</v>
      </c>
      <c r="D46" s="33" t="str">
        <f t="shared" si="6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2"/>
        <v>0</v>
      </c>
      <c r="H46" s="52">
        <v>65</v>
      </c>
      <c r="I46" s="52">
        <v>2.5</v>
      </c>
      <c r="J46" s="51">
        <f t="shared" si="1"/>
        <v>0</v>
      </c>
      <c r="K46" s="51">
        <f t="shared" si="3"/>
        <v>0</v>
      </c>
      <c r="L46" s="51">
        <f t="shared" si="4"/>
        <v>0</v>
      </c>
      <c r="M46" s="93">
        <f>IF(L46&lt;=0,0,IF(SUM($M$27:M45)&gt;=$F$15,0,$F$15-SUM($M$27:M45)))</f>
        <v>0</v>
      </c>
      <c r="N46" s="90">
        <v>0</v>
      </c>
      <c r="O46" s="31"/>
      <c r="P46" s="5"/>
      <c r="Q46" s="5"/>
      <c r="R46" s="5"/>
    </row>
    <row r="47" spans="1:20" x14ac:dyDescent="0.25">
      <c r="A47" s="29"/>
      <c r="B47" s="32"/>
      <c r="C47" s="67">
        <f t="shared" si="5"/>
        <v>0</v>
      </c>
      <c r="D47" s="33" t="str">
        <f t="shared" si="6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2"/>
        <v>0</v>
      </c>
      <c r="H47" s="52">
        <v>65</v>
      </c>
      <c r="I47" s="52">
        <v>2.5</v>
      </c>
      <c r="J47" s="51">
        <f t="shared" si="1"/>
        <v>0</v>
      </c>
      <c r="K47" s="51">
        <f t="shared" si="3"/>
        <v>0</v>
      </c>
      <c r="L47" s="51">
        <f t="shared" si="4"/>
        <v>0</v>
      </c>
      <c r="M47" s="93">
        <f>IF(L47&lt;=0,0,IF(SUM($M$27:M46)&gt;=$F$15,0,$F$15-SUM($M$27:M46)))</f>
        <v>0</v>
      </c>
      <c r="N47" s="90">
        <v>0</v>
      </c>
      <c r="O47" s="31"/>
      <c r="P47" s="5"/>
      <c r="Q47" s="5"/>
      <c r="R47" s="5"/>
    </row>
    <row r="48" spans="1:20" x14ac:dyDescent="0.25">
      <c r="A48" s="29"/>
      <c r="B48" s="32"/>
      <c r="C48" s="66">
        <f t="shared" si="5"/>
        <v>0</v>
      </c>
      <c r="D48" s="33" t="str">
        <f t="shared" si="6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2"/>
        <v>0</v>
      </c>
      <c r="H48" s="52">
        <v>65</v>
      </c>
      <c r="I48" s="52">
        <v>2.5</v>
      </c>
      <c r="J48" s="51">
        <f t="shared" si="1"/>
        <v>0</v>
      </c>
      <c r="K48" s="51">
        <f t="shared" si="3"/>
        <v>0</v>
      </c>
      <c r="L48" s="51">
        <f t="shared" si="4"/>
        <v>0</v>
      </c>
      <c r="M48" s="93">
        <f>IF(L48&lt;=0,0,IF(SUM($M$27:M47)&gt;=$F$15,0,$F$15-SUM($M$27:M47)))</f>
        <v>0</v>
      </c>
      <c r="N48" s="90">
        <v>0</v>
      </c>
      <c r="O48" s="31"/>
      <c r="P48" s="5"/>
      <c r="Q48" s="5"/>
      <c r="R48" s="5"/>
    </row>
    <row r="49" spans="1:20" x14ac:dyDescent="0.25">
      <c r="A49" s="29"/>
      <c r="B49" s="32"/>
      <c r="C49" s="66">
        <f t="shared" si="5"/>
        <v>0</v>
      </c>
      <c r="D49" s="33" t="str">
        <f t="shared" si="6"/>
        <v>-</v>
      </c>
      <c r="E49" s="53">
        <f t="shared" si="0"/>
        <v>0</v>
      </c>
      <c r="F49" s="53">
        <f>_xlfn.IFNA(VLOOKUP(D49,'Prod Profile'!$K$8:$L$31,2,FALSE),0)</f>
        <v>0</v>
      </c>
      <c r="G49" s="53">
        <f t="shared" si="2"/>
        <v>0</v>
      </c>
      <c r="H49" s="52">
        <v>65</v>
      </c>
      <c r="I49" s="52">
        <v>2.5</v>
      </c>
      <c r="J49" s="51">
        <f t="shared" si="1"/>
        <v>0</v>
      </c>
      <c r="K49" s="51">
        <f t="shared" si="3"/>
        <v>0</v>
      </c>
      <c r="L49" s="51">
        <f t="shared" si="4"/>
        <v>0</v>
      </c>
      <c r="M49" s="93">
        <f>IF(L49&lt;=0,0,IF(SUM($M$27:M48)&gt;=$F$15,0,$F$15-SUM($M$27:M48)))</f>
        <v>0</v>
      </c>
      <c r="N49" s="90">
        <v>0</v>
      </c>
      <c r="O49" s="31"/>
      <c r="P49" s="5"/>
      <c r="Q49" s="5"/>
      <c r="R49" s="5"/>
    </row>
    <row r="50" spans="1:20" x14ac:dyDescent="0.25">
      <c r="A50" s="29"/>
      <c r="B50" s="32"/>
      <c r="C50" s="66">
        <f t="shared" si="5"/>
        <v>0</v>
      </c>
      <c r="D50" s="33" t="str">
        <f t="shared" si="6"/>
        <v>-</v>
      </c>
      <c r="E50" s="53">
        <f t="shared" si="0"/>
        <v>0</v>
      </c>
      <c r="F50" s="53">
        <f>_xlfn.IFNA(VLOOKUP(D50,'Prod Profile'!$K$8:$L$31,2,FALSE),0)</f>
        <v>0</v>
      </c>
      <c r="G50" s="53">
        <f t="shared" si="2"/>
        <v>0</v>
      </c>
      <c r="H50" s="52">
        <v>65</v>
      </c>
      <c r="I50" s="52">
        <v>2.5</v>
      </c>
      <c r="J50" s="51">
        <f t="shared" si="1"/>
        <v>0</v>
      </c>
      <c r="K50" s="51">
        <f t="shared" si="3"/>
        <v>0</v>
      </c>
      <c r="L50" s="51">
        <f t="shared" si="4"/>
        <v>0</v>
      </c>
      <c r="M50" s="93">
        <f>IF(L50&lt;=0,0,IF(SUM($M$27:M49)&gt;=$F$15,0,$F$15-SUM($M$27:M49)))</f>
        <v>0</v>
      </c>
      <c r="N50" s="90">
        <v>0</v>
      </c>
      <c r="O50" s="31"/>
      <c r="P50" s="5"/>
      <c r="Q50" s="5"/>
      <c r="R50" s="5"/>
    </row>
    <row r="51" spans="1:20" s="39" customFormat="1" x14ac:dyDescent="0.25">
      <c r="A51" s="59"/>
      <c r="B51" s="60"/>
      <c r="E51" s="61">
        <f>SUM(E27:E50)</f>
        <v>0</v>
      </c>
      <c r="F51" s="61">
        <f>SUM(F27:F50)</f>
        <v>520.80551994817972</v>
      </c>
      <c r="G51" s="61">
        <f>SUM(G27:G50)</f>
        <v>913000</v>
      </c>
      <c r="H51" s="76"/>
      <c r="I51" s="62"/>
      <c r="J51" s="63">
        <f>SUM(J27:J50)</f>
        <v>33852.358796631685</v>
      </c>
      <c r="K51" s="63">
        <f>MAX(K27:K50)</f>
        <v>5077.8538194947523</v>
      </c>
      <c r="L51" s="63">
        <f>MAX(L27:L50)</f>
        <v>0</v>
      </c>
      <c r="M51" s="94">
        <f>SUM(M27:M50)</f>
        <v>0</v>
      </c>
      <c r="N51" s="104"/>
      <c r="O51" s="64"/>
      <c r="S51" s="64"/>
      <c r="T51" s="64"/>
    </row>
    <row r="52" spans="1:20" x14ac:dyDescent="0.25">
      <c r="A52" s="29"/>
      <c r="B52" s="32"/>
      <c r="E52" s="8"/>
      <c r="F52" s="8"/>
      <c r="G52" s="9"/>
      <c r="H52" s="76"/>
      <c r="I52" s="9"/>
      <c r="K52" s="50"/>
      <c r="L52" s="80"/>
      <c r="N52" s="102"/>
    </row>
    <row r="53" spans="1:20" x14ac:dyDescent="0.25">
      <c r="B53" s="4"/>
      <c r="C53" s="39" t="s">
        <v>9</v>
      </c>
      <c r="D53" s="34"/>
      <c r="E53" s="34"/>
      <c r="F53" s="8"/>
      <c r="G53" s="77"/>
      <c r="H53" s="9"/>
      <c r="J53" s="162" t="s">
        <v>89</v>
      </c>
      <c r="K53" s="162"/>
      <c r="L53" s="8"/>
      <c r="M53" s="9"/>
      <c r="N53" s="102"/>
    </row>
    <row r="54" spans="1:20" x14ac:dyDescent="0.25">
      <c r="B54" s="4"/>
      <c r="D54" s="163" t="s">
        <v>48</v>
      </c>
      <c r="E54" s="163"/>
      <c r="F54" s="163"/>
      <c r="G54" s="68">
        <f>K51*0.75</f>
        <v>3808.3903646210642</v>
      </c>
      <c r="H54" s="36">
        <f>G54/SUM(K51:L51)</f>
        <v>0.75</v>
      </c>
      <c r="J54" s="1">
        <v>1</v>
      </c>
      <c r="K54" s="1" t="s">
        <v>92</v>
      </c>
      <c r="N54" s="102"/>
    </row>
    <row r="55" spans="1:20" x14ac:dyDescent="0.25">
      <c r="B55" s="4"/>
      <c r="D55" s="165" t="s">
        <v>49</v>
      </c>
      <c r="E55" s="165"/>
      <c r="F55" s="165"/>
      <c r="G55" s="69">
        <v>0</v>
      </c>
      <c r="H55" s="37">
        <f>G55/SUM(K51:L51)</f>
        <v>0</v>
      </c>
      <c r="J55" s="1">
        <v>2</v>
      </c>
      <c r="K55" s="1" t="s">
        <v>69</v>
      </c>
      <c r="N55" s="102"/>
    </row>
    <row r="56" spans="1:20" x14ac:dyDescent="0.25">
      <c r="B56" s="4"/>
      <c r="D56" s="163" t="s">
        <v>50</v>
      </c>
      <c r="E56" s="163"/>
      <c r="F56" s="163"/>
      <c r="G56" s="68">
        <f>SUM(G54:G55)</f>
        <v>3808.3903646210642</v>
      </c>
      <c r="H56" s="36">
        <f>SUM(H54:H55)</f>
        <v>0.75</v>
      </c>
      <c r="J56" s="1">
        <v>3</v>
      </c>
      <c r="K56" s="1" t="s">
        <v>90</v>
      </c>
      <c r="N56" s="102"/>
    </row>
    <row r="57" spans="1:20" x14ac:dyDescent="0.25">
      <c r="B57" s="4"/>
      <c r="F57" s="8"/>
      <c r="G57" s="68"/>
      <c r="H57" s="36"/>
      <c r="J57" s="1">
        <v>4</v>
      </c>
      <c r="K57" s="1" t="s">
        <v>91</v>
      </c>
      <c r="N57" s="102"/>
    </row>
    <row r="58" spans="1:20" x14ac:dyDescent="0.25">
      <c r="B58" s="4"/>
      <c r="D58" s="165" t="s">
        <v>51</v>
      </c>
      <c r="E58" s="165"/>
      <c r="F58" s="165"/>
      <c r="G58" s="69">
        <f>L51+K51*0.25</f>
        <v>1269.4634548736881</v>
      </c>
      <c r="H58" s="37">
        <f>G58/SUM(K51:L51)</f>
        <v>0.25</v>
      </c>
      <c r="J58" s="1">
        <v>5</v>
      </c>
      <c r="K58" s="1" t="s">
        <v>47</v>
      </c>
      <c r="N58" s="102"/>
    </row>
    <row r="59" spans="1:20" x14ac:dyDescent="0.25">
      <c r="B59" s="4"/>
      <c r="D59" s="163" t="s">
        <v>52</v>
      </c>
      <c r="E59" s="163"/>
      <c r="F59" s="163"/>
      <c r="G59" s="70">
        <f>SUM(G58)</f>
        <v>1269.4634548736881</v>
      </c>
      <c r="H59" s="38">
        <f>SUM(H58)</f>
        <v>0.25</v>
      </c>
      <c r="J59" s="1">
        <v>6</v>
      </c>
      <c r="K59" s="1" t="s">
        <v>7</v>
      </c>
      <c r="N59" s="102"/>
    </row>
    <row r="60" spans="1:20" x14ac:dyDescent="0.25">
      <c r="B60" s="4"/>
      <c r="F60" s="34"/>
      <c r="G60" s="35"/>
      <c r="H60" s="35"/>
      <c r="J60" s="1">
        <v>7</v>
      </c>
      <c r="K60" s="1" t="s">
        <v>2</v>
      </c>
      <c r="N60" s="102"/>
    </row>
    <row r="61" spans="1:20" x14ac:dyDescent="0.25">
      <c r="B61" s="4"/>
      <c r="C61" s="39" t="s">
        <v>107</v>
      </c>
      <c r="F61" s="95"/>
      <c r="G61" s="49" t="s">
        <v>3</v>
      </c>
      <c r="H61" s="49" t="s">
        <v>4</v>
      </c>
      <c r="J61" s="1">
        <v>8</v>
      </c>
      <c r="K61" s="1" t="s">
        <v>43</v>
      </c>
      <c r="N61" s="102"/>
    </row>
    <row r="62" spans="1:20" x14ac:dyDescent="0.25">
      <c r="B62" s="4"/>
      <c r="D62" s="164" t="s">
        <v>54</v>
      </c>
      <c r="E62" s="164"/>
      <c r="F62" s="164"/>
      <c r="G62" s="71">
        <f>NPV($J$19/12*$L$20,VLOOKUP($L$20,$C$27:$N$50,9,FALSE))</f>
        <v>4581.5222431531602</v>
      </c>
      <c r="H62" s="71">
        <f>NPV($J$19/12*$L$20,VLOOKUP($L$20,$C$27:$N$50,10,FALSE))</f>
        <v>-797797.43911837263</v>
      </c>
      <c r="J62" s="1">
        <v>9</v>
      </c>
      <c r="K62" s="1" t="s">
        <v>94</v>
      </c>
      <c r="N62" s="102"/>
    </row>
    <row r="63" spans="1:20" x14ac:dyDescent="0.25">
      <c r="B63" s="4"/>
      <c r="D63" s="164" t="s">
        <v>55</v>
      </c>
      <c r="E63" s="164"/>
      <c r="F63" s="164"/>
      <c r="G63" s="71">
        <f>NPV($J$19,K51)</f>
        <v>4616.2307449952286</v>
      </c>
      <c r="H63" s="71">
        <f>NPV($J$19,L51)</f>
        <v>0</v>
      </c>
      <c r="J63" s="1">
        <v>10</v>
      </c>
      <c r="K63" s="1" t="s">
        <v>95</v>
      </c>
      <c r="N63" s="102"/>
    </row>
    <row r="64" spans="1:20" x14ac:dyDescent="0.25">
      <c r="B64" s="4"/>
      <c r="F64" s="8"/>
      <c r="G64" s="9"/>
      <c r="H64" s="9"/>
      <c r="J64" s="1">
        <v>11</v>
      </c>
      <c r="K64" s="1" t="s">
        <v>100</v>
      </c>
      <c r="N64" s="102"/>
    </row>
    <row r="65" spans="2:14" ht="12" thickBot="1" x14ac:dyDescent="0.3">
      <c r="B65" s="40"/>
      <c r="C65" s="41"/>
      <c r="D65" s="41"/>
      <c r="E65" s="41"/>
      <c r="F65" s="42"/>
      <c r="G65" s="43"/>
      <c r="H65" s="43"/>
      <c r="I65" s="43"/>
      <c r="J65" s="41"/>
      <c r="K65" s="41"/>
      <c r="L65" s="41"/>
      <c r="M65" s="41"/>
      <c r="N65" s="105"/>
    </row>
    <row r="66" spans="2:14" ht="15" customHeight="1" x14ac:dyDescent="0.25">
      <c r="J66" s="44"/>
      <c r="K66" s="44"/>
      <c r="L66" s="45"/>
    </row>
  </sheetData>
  <mergeCells count="26">
    <mergeCell ref="C15:E15"/>
    <mergeCell ref="B2:N2"/>
    <mergeCell ref="C6:E6"/>
    <mergeCell ref="C12:E12"/>
    <mergeCell ref="C13:E13"/>
    <mergeCell ref="C14:E14"/>
    <mergeCell ref="M23:M24"/>
    <mergeCell ref="G23:G24"/>
    <mergeCell ref="C18:E18"/>
    <mergeCell ref="C19:E19"/>
    <mergeCell ref="C20:E20"/>
    <mergeCell ref="C23:C25"/>
    <mergeCell ref="D23:D25"/>
    <mergeCell ref="E23:F23"/>
    <mergeCell ref="J23:J24"/>
    <mergeCell ref="I23:I24"/>
    <mergeCell ref="H23:H24"/>
    <mergeCell ref="K23:L23"/>
    <mergeCell ref="J53:K53"/>
    <mergeCell ref="D59:F59"/>
    <mergeCell ref="D62:F62"/>
    <mergeCell ref="D63:F63"/>
    <mergeCell ref="D54:F54"/>
    <mergeCell ref="D55:F55"/>
    <mergeCell ref="D56:F56"/>
    <mergeCell ref="D58:F58"/>
  </mergeCells>
  <printOptions horizontalCentered="1"/>
  <pageMargins left="0.2" right="0.2" top="0.25" bottom="0.25" header="0" footer="0"/>
  <pageSetup paperSize="9" scale="7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7703-F814-4E09-BA22-137D2CE8FEE2}">
  <sheetPr>
    <pageSetUpPr fitToPage="1"/>
  </sheetPr>
  <dimension ref="A1:N67"/>
  <sheetViews>
    <sheetView view="pageBreakPreview" topLeftCell="A4" zoomScale="140" zoomScaleNormal="100" zoomScaleSheetLayoutView="140" workbookViewId="0">
      <selection activeCell="M35" sqref="M35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9.5703125" style="1" customWidth="1"/>
    <col min="5" max="5" width="10" style="1" customWidth="1"/>
    <col min="6" max="6" width="10" style="2" customWidth="1"/>
    <col min="7" max="8" width="12.28515625" style="3" customWidth="1"/>
    <col min="9" max="9" width="8.85546875" style="3" customWidth="1"/>
    <col min="10" max="10" width="16.42578125" style="3" customWidth="1"/>
    <col min="11" max="12" width="14.7109375" style="1" customWidth="1"/>
    <col min="13" max="13" width="16.140625" style="1" bestFit="1" customWidth="1"/>
    <col min="14" max="14" width="2.85546875" style="1" customWidth="1"/>
    <col min="15" max="16384" width="9.140625" style="1"/>
  </cols>
  <sheetData>
    <row r="1" spans="2:14" ht="12" thickBot="1" x14ac:dyDescent="0.3"/>
    <row r="2" spans="2:14" ht="59.45" customHeight="1" x14ac:dyDescent="0.25">
      <c r="B2" s="174" t="s">
        <v>118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</row>
    <row r="3" spans="2:14" x14ac:dyDescent="0.25">
      <c r="B3" s="4"/>
      <c r="C3" s="5"/>
      <c r="D3" s="5"/>
      <c r="E3" s="5"/>
      <c r="F3" s="6"/>
      <c r="G3" s="7"/>
      <c r="H3" s="7"/>
      <c r="I3" s="7"/>
      <c r="J3" s="31"/>
      <c r="K3" s="5"/>
      <c r="L3" s="5"/>
      <c r="M3" s="5"/>
      <c r="N3" s="101"/>
    </row>
    <row r="4" spans="2:14" x14ac:dyDescent="0.25">
      <c r="B4" s="4"/>
      <c r="F4" s="8"/>
      <c r="G4" s="9"/>
      <c r="H4" s="9"/>
      <c r="I4" s="9"/>
      <c r="L4" s="10" t="s">
        <v>11</v>
      </c>
      <c r="M4" s="80"/>
      <c r="N4" s="102"/>
    </row>
    <row r="5" spans="2:14" x14ac:dyDescent="0.25">
      <c r="B5" s="4"/>
      <c r="F5" s="8"/>
      <c r="G5" s="9"/>
      <c r="H5" s="9"/>
      <c r="I5" s="9"/>
      <c r="L5" s="10" t="s">
        <v>13</v>
      </c>
      <c r="M5" s="116" t="s">
        <v>65</v>
      </c>
      <c r="N5" s="102"/>
    </row>
    <row r="6" spans="2:14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2"/>
      <c r="K6" s="13"/>
      <c r="L6" s="14" t="s">
        <v>12</v>
      </c>
      <c r="M6" s="99"/>
      <c r="N6" s="102"/>
    </row>
    <row r="7" spans="2:14" ht="12" thickTop="1" x14ac:dyDescent="0.25">
      <c r="B7" s="4"/>
      <c r="C7" s="15" t="s">
        <v>17</v>
      </c>
      <c r="D7" s="15"/>
      <c r="F7" s="8"/>
      <c r="G7" s="9"/>
      <c r="H7" s="9"/>
      <c r="I7" s="9"/>
      <c r="N7" s="102"/>
    </row>
    <row r="8" spans="2:14" x14ac:dyDescent="0.25">
      <c r="B8" s="4"/>
      <c r="C8" s="1" t="s">
        <v>119</v>
      </c>
      <c r="D8" s="15"/>
      <c r="F8" s="8"/>
      <c r="G8" s="9"/>
      <c r="H8" s="9"/>
      <c r="I8" s="9"/>
      <c r="J8" s="3">
        <v>6100000</v>
      </c>
      <c r="N8" s="102"/>
    </row>
    <row r="9" spans="2:14" x14ac:dyDescent="0.25">
      <c r="B9" s="4"/>
      <c r="C9" s="15"/>
      <c r="D9" s="15"/>
      <c r="F9" s="8"/>
      <c r="G9" s="9"/>
      <c r="H9" s="9"/>
      <c r="I9" s="9"/>
      <c r="J9" s="3">
        <f>J8/F12*30</f>
        <v>12295.081967213115</v>
      </c>
      <c r="N9" s="102"/>
    </row>
    <row r="10" spans="2:14" x14ac:dyDescent="0.25">
      <c r="B10" s="4"/>
      <c r="F10" s="8"/>
      <c r="G10" s="9"/>
      <c r="H10" s="9"/>
      <c r="I10" s="9"/>
      <c r="N10" s="102"/>
    </row>
    <row r="11" spans="2:14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K11" s="79" t="s">
        <v>40</v>
      </c>
      <c r="L11" s="20"/>
      <c r="M11" s="20"/>
      <c r="N11" s="102"/>
    </row>
    <row r="12" spans="2:14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K12" s="1" t="s">
        <v>41</v>
      </c>
      <c r="L12" s="15"/>
      <c r="M12" s="15"/>
      <c r="N12" s="102"/>
    </row>
    <row r="13" spans="2:14" x14ac:dyDescent="0.25">
      <c r="B13" s="4"/>
      <c r="C13" s="173" t="s">
        <v>33</v>
      </c>
      <c r="D13" s="173"/>
      <c r="E13" s="173"/>
      <c r="F13" s="16">
        <v>0</v>
      </c>
      <c r="G13" s="100">
        <v>0</v>
      </c>
      <c r="H13" s="47" t="s">
        <v>101</v>
      </c>
      <c r="I13" s="1"/>
      <c r="K13" s="17" t="s">
        <v>1</v>
      </c>
      <c r="L13" s="82">
        <f>SUM('Prod Profile'!J8:J31)</f>
        <v>10127.518691736792</v>
      </c>
      <c r="M13" s="17" t="s">
        <v>23</v>
      </c>
      <c r="N13" s="102"/>
    </row>
    <row r="14" spans="2:14" x14ac:dyDescent="0.25">
      <c r="B14" s="4"/>
      <c r="C14" s="173" t="s">
        <v>28</v>
      </c>
      <c r="D14" s="173"/>
      <c r="E14" s="173"/>
      <c r="F14" s="16">
        <v>5235</v>
      </c>
      <c r="G14" s="100">
        <v>1</v>
      </c>
      <c r="H14" s="47" t="s">
        <v>102</v>
      </c>
      <c r="I14" s="1"/>
      <c r="K14" s="17" t="s">
        <v>0</v>
      </c>
      <c r="L14" s="82">
        <v>0</v>
      </c>
      <c r="M14" s="17" t="s">
        <v>22</v>
      </c>
      <c r="N14" s="102"/>
    </row>
    <row r="15" spans="2:14" x14ac:dyDescent="0.25">
      <c r="B15" s="4"/>
      <c r="C15" s="173" t="s">
        <v>29</v>
      </c>
      <c r="D15" s="173"/>
      <c r="E15" s="173"/>
      <c r="F15" s="16">
        <v>330390.5</v>
      </c>
      <c r="G15" s="100">
        <v>0</v>
      </c>
      <c r="H15" s="47" t="s">
        <v>103</v>
      </c>
      <c r="I15" s="18"/>
      <c r="J15" s="145"/>
      <c r="K15" s="18"/>
      <c r="L15" s="18"/>
      <c r="M15" s="16"/>
      <c r="N15" s="102"/>
    </row>
    <row r="16" spans="2:14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2"/>
      <c r="K16" s="20"/>
      <c r="L16" s="20"/>
      <c r="M16" s="20"/>
      <c r="N16" s="102"/>
    </row>
    <row r="17" spans="1:14" x14ac:dyDescent="0.25">
      <c r="B17" s="4"/>
      <c r="C17" s="23"/>
      <c r="D17" s="23"/>
      <c r="E17" s="23"/>
      <c r="F17" s="24"/>
      <c r="G17" s="25"/>
      <c r="H17" s="25"/>
      <c r="I17" s="25"/>
      <c r="J17" s="25"/>
      <c r="K17" s="143" t="s">
        <v>131</v>
      </c>
      <c r="L17" s="46">
        <v>0.25</v>
      </c>
      <c r="N17" s="102"/>
    </row>
    <row r="18" spans="1:14" x14ac:dyDescent="0.25">
      <c r="B18" s="4"/>
      <c r="C18" s="163" t="s">
        <v>58</v>
      </c>
      <c r="D18" s="163"/>
      <c r="E18" s="163"/>
      <c r="F18" s="142" t="s">
        <v>130</v>
      </c>
      <c r="G18" s="74"/>
      <c r="H18" s="74"/>
      <c r="I18" s="10" t="s">
        <v>14</v>
      </c>
      <c r="J18" s="146">
        <v>2022</v>
      </c>
      <c r="K18" s="10" t="s">
        <v>66</v>
      </c>
      <c r="L18" s="151">
        <v>0.71499999999999997</v>
      </c>
      <c r="M18" s="39" t="s">
        <v>68</v>
      </c>
      <c r="N18" s="102"/>
    </row>
    <row r="19" spans="1:14" x14ac:dyDescent="0.25">
      <c r="B19" s="4"/>
      <c r="C19" s="163" t="s">
        <v>30</v>
      </c>
      <c r="D19" s="163"/>
      <c r="E19" s="163"/>
      <c r="F19" s="5">
        <v>24</v>
      </c>
      <c r="G19" s="76" t="s">
        <v>35</v>
      </c>
      <c r="H19" s="76"/>
      <c r="I19" s="10" t="s">
        <v>15</v>
      </c>
      <c r="J19" s="146">
        <v>0.1</v>
      </c>
      <c r="K19" s="10" t="s">
        <v>67</v>
      </c>
      <c r="L19" s="151">
        <v>0.65</v>
      </c>
      <c r="M19" s="39" t="s">
        <v>68</v>
      </c>
      <c r="N19" s="103"/>
    </row>
    <row r="20" spans="1:14" x14ac:dyDescent="0.25">
      <c r="B20" s="4"/>
      <c r="C20" s="163" t="s">
        <v>34</v>
      </c>
      <c r="D20" s="163"/>
      <c r="E20" s="163"/>
      <c r="F20" s="5">
        <v>24</v>
      </c>
      <c r="G20" s="76" t="s">
        <v>35</v>
      </c>
      <c r="H20" s="76"/>
      <c r="I20" s="10" t="s">
        <v>16</v>
      </c>
      <c r="J20" s="146" t="s">
        <v>8</v>
      </c>
      <c r="K20" s="10" t="s">
        <v>105</v>
      </c>
      <c r="L20" s="98" cm="1">
        <f t="array" ref="L20">IF(VLOOKUP(MIN(IF(K27:K50&gt;0,K27:K50)),$K$27:$N$50,4,FALSE)=0,$F$19,VLOOKUP(MIN(IF(K27:K50&gt;0,K27:K50)),$K$27:$N$50,4,FALSE))</f>
        <v>2</v>
      </c>
      <c r="M20" s="39" t="s">
        <v>69</v>
      </c>
      <c r="N20" s="102"/>
    </row>
    <row r="21" spans="1:14" x14ac:dyDescent="0.25">
      <c r="B21" s="4"/>
      <c r="C21" s="80"/>
      <c r="D21" s="80"/>
      <c r="E21" s="80"/>
      <c r="F21" s="5"/>
      <c r="G21" s="76"/>
      <c r="H21" s="76"/>
      <c r="I21" s="10"/>
      <c r="J21" s="146"/>
      <c r="K21" s="10" t="s">
        <v>106</v>
      </c>
      <c r="L21" s="75">
        <f>SUMIFS($F$27:$F$50,$C$27:$C$50,"&lt;="&amp;L20)</f>
        <v>7716.1602054317327</v>
      </c>
      <c r="M21" s="75" t="s">
        <v>53</v>
      </c>
      <c r="N21" s="102"/>
    </row>
    <row r="22" spans="1:14" x14ac:dyDescent="0.25">
      <c r="B22" s="4"/>
      <c r="C22" s="80"/>
      <c r="D22" s="80"/>
      <c r="E22" s="80"/>
      <c r="F22" s="5"/>
      <c r="G22" s="76"/>
      <c r="H22" s="76"/>
      <c r="I22" s="10"/>
      <c r="J22" s="146"/>
      <c r="K22" s="10" t="s">
        <v>132</v>
      </c>
      <c r="L22" s="144">
        <f>L18-L18*L17</f>
        <v>0.53625</v>
      </c>
      <c r="N22" s="102"/>
    </row>
    <row r="23" spans="1:14" s="26" customFormat="1" ht="11.25" customHeight="1" x14ac:dyDescent="0.25">
      <c r="B23" s="27"/>
      <c r="C23" s="170" t="s">
        <v>31</v>
      </c>
      <c r="D23" s="170" t="s">
        <v>32</v>
      </c>
      <c r="E23" s="171" t="s">
        <v>46</v>
      </c>
      <c r="F23" s="172"/>
      <c r="G23" s="168" t="s">
        <v>47</v>
      </c>
      <c r="H23" s="166" t="s">
        <v>7</v>
      </c>
      <c r="I23" s="166" t="s">
        <v>2</v>
      </c>
      <c r="J23" s="178" t="s">
        <v>43</v>
      </c>
      <c r="K23" s="171" t="s">
        <v>70</v>
      </c>
      <c r="L23" s="172"/>
      <c r="M23" s="166" t="s">
        <v>59</v>
      </c>
      <c r="N23" s="102"/>
    </row>
    <row r="24" spans="1:14" s="5" customFormat="1" ht="11.25" customHeight="1" x14ac:dyDescent="0.25">
      <c r="A24" s="29"/>
      <c r="B24" s="30"/>
      <c r="C24" s="170"/>
      <c r="D24" s="170"/>
      <c r="E24" s="81" t="s">
        <v>0</v>
      </c>
      <c r="F24" s="56" t="s">
        <v>1</v>
      </c>
      <c r="G24" s="169"/>
      <c r="H24" s="167"/>
      <c r="I24" s="167"/>
      <c r="J24" s="179"/>
      <c r="K24" s="81" t="s">
        <v>3</v>
      </c>
      <c r="L24" s="81" t="s">
        <v>4</v>
      </c>
      <c r="M24" s="167"/>
      <c r="N24" s="102"/>
    </row>
    <row r="25" spans="1:14" s="5" customFormat="1" ht="11.25" customHeight="1" x14ac:dyDescent="0.25">
      <c r="A25" s="29"/>
      <c r="B25" s="30"/>
      <c r="C25" s="170"/>
      <c r="D25" s="170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65" t="s">
        <v>42</v>
      </c>
      <c r="N25" s="102"/>
    </row>
    <row r="26" spans="1:14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147" t="s">
        <v>80</v>
      </c>
      <c r="K26" s="97" t="s">
        <v>81</v>
      </c>
      <c r="L26" s="97" t="s">
        <v>82</v>
      </c>
      <c r="M26" s="97" t="s">
        <v>83</v>
      </c>
      <c r="N26" s="102"/>
    </row>
    <row r="27" spans="1:14" ht="11.25" customHeight="1" x14ac:dyDescent="0.25">
      <c r="A27" s="29"/>
      <c r="B27" s="32"/>
      <c r="C27" s="66">
        <v>1</v>
      </c>
      <c r="D27" s="33" t="str">
        <f>F18</f>
        <v>09-2022</v>
      </c>
      <c r="E27" s="53">
        <f t="shared" ref="E27:E50" si="0">IF(C27&lt;&gt;0,$L$14/$F$19,0)</f>
        <v>0</v>
      </c>
      <c r="F27" s="53">
        <v>3826.9785624861915</v>
      </c>
      <c r="G27" s="53">
        <f>IF(C27&lt;&gt;0,IF(C27=1,$F$13+$F$14+$F$15,$F$13*$G$13+$F$14*$G$14+$F$15*$G$15),0)</f>
        <v>335625.5</v>
      </c>
      <c r="H27" s="52">
        <v>63</v>
      </c>
      <c r="I27" s="52">
        <v>2.5</v>
      </c>
      <c r="J27" s="148">
        <f t="shared" ref="J27:J50" si="1">F27*H27+E27*I27*1000</f>
        <v>241099.64943663008</v>
      </c>
      <c r="K27" s="55">
        <f>IF(C27&lt;&gt;0,J27*$L$18-G27,0)</f>
        <v>-163239.25065280951</v>
      </c>
      <c r="L27" s="51">
        <f>J27*(1-$L$18)</f>
        <v>68713.400089439572</v>
      </c>
      <c r="M27" s="93">
        <f>IF(K27&lt;=0,0,$F$15)</f>
        <v>0</v>
      </c>
      <c r="N27" s="88">
        <v>1</v>
      </c>
    </row>
    <row r="28" spans="1:14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10-2022</v>
      </c>
      <c r="E28" s="53">
        <f t="shared" si="0"/>
        <v>0</v>
      </c>
      <c r="F28" s="53">
        <v>3889.1816429455412</v>
      </c>
      <c r="G28" s="53">
        <f>IF(C28&lt;&gt;0,IF(C28=1,$F$13+$F$14+$F$15,$F$13*$G$13+$F$14*$G$14+$F$15*$G$15),0)</f>
        <v>5235</v>
      </c>
      <c r="H28" s="52">
        <v>63</v>
      </c>
      <c r="I28" s="52">
        <v>2.5</v>
      </c>
      <c r="J28" s="148">
        <f t="shared" si="1"/>
        <v>245018.4435055691</v>
      </c>
      <c r="K28" s="55">
        <f t="shared" ref="K28:K50" si="2">IF(C28&lt;&gt;0,J28*$L$18-G28+K27,0)</f>
        <v>6713.9364536723879</v>
      </c>
      <c r="L28" s="51">
        <f t="shared" ref="L28:L50" si="3">J28*(1-$L$18)+L27</f>
        <v>138543.65648852679</v>
      </c>
      <c r="M28" s="93">
        <f>IF(K28&lt;=0,0,IF(SUM($M$27)&gt;=$F$15,0,$F$15-SUM($M$27)))</f>
        <v>330390.5</v>
      </c>
      <c r="N28" s="88">
        <v>2</v>
      </c>
    </row>
    <row r="29" spans="1:14" x14ac:dyDescent="0.25">
      <c r="A29" s="29"/>
      <c r="B29" s="32"/>
      <c r="C29" s="66">
        <f t="shared" ref="C29:C50" si="4">IF(AND(C28&lt;$F$19,C28&lt;&gt;0),C28+1,0)</f>
        <v>3</v>
      </c>
      <c r="D29" s="33" t="str">
        <f t="shared" ref="D29:D50" si="5">IF(C29&lt;&gt;0,RIGHT("0"&amp;MONTH(EOMONTH(D28,1)),2)&amp;"-"&amp;YEAR(EOMONTH(D28,1)),"-")</f>
        <v>11-2022</v>
      </c>
      <c r="E29" s="53">
        <f t="shared" si="0"/>
        <v>0</v>
      </c>
      <c r="F29" s="53">
        <v>3824.899124563995</v>
      </c>
      <c r="G29" s="53">
        <f t="shared" ref="G29:G50" si="6">IF(C29&lt;&gt;0,IF(C29=1,$F$13+$F$14+$F$15,$F$13*$G$13+$F$14*$G$14+$F$15*$G$15),0)</f>
        <v>5235</v>
      </c>
      <c r="H29" s="52">
        <v>63</v>
      </c>
      <c r="I29" s="52">
        <v>2.5</v>
      </c>
      <c r="J29" s="148">
        <f t="shared" si="1"/>
        <v>240968.64484753169</v>
      </c>
      <c r="K29" s="55">
        <f t="shared" si="2"/>
        <v>173771.51751965753</v>
      </c>
      <c r="L29" s="51">
        <f t="shared" si="3"/>
        <v>207219.72027007333</v>
      </c>
      <c r="M29" s="93">
        <f>IF(K29&lt;=0,0,IF(SUM($M$27:M28)&gt;=$F$15,0,$F$15-SUM($M$27:M28)))</f>
        <v>0</v>
      </c>
      <c r="N29" s="88">
        <v>3</v>
      </c>
    </row>
    <row r="30" spans="1:14" x14ac:dyDescent="0.25">
      <c r="A30" s="29"/>
      <c r="B30" s="32"/>
      <c r="C30" s="66">
        <f t="shared" si="4"/>
        <v>4</v>
      </c>
      <c r="D30" s="33" t="str">
        <f t="shared" si="5"/>
        <v>12-2022</v>
      </c>
      <c r="E30" s="53">
        <f t="shared" si="0"/>
        <v>0</v>
      </c>
      <c r="F30" s="53">
        <v>3640.3346155703102</v>
      </c>
      <c r="G30" s="53">
        <f t="shared" si="6"/>
        <v>5235</v>
      </c>
      <c r="H30" s="52">
        <v>63</v>
      </c>
      <c r="I30" s="52">
        <v>2.5</v>
      </c>
      <c r="J30" s="148">
        <f t="shared" si="1"/>
        <v>229341.08078092954</v>
      </c>
      <c r="K30" s="55">
        <f t="shared" si="2"/>
        <v>332515.39027802215</v>
      </c>
      <c r="L30" s="51">
        <f t="shared" si="3"/>
        <v>272581.92829263827</v>
      </c>
      <c r="M30" s="93">
        <f>IF(K30&lt;=0,0,IF(SUM($M$27:M29)&gt;=$F$15,0,$F$15-SUM($M$27:M29)))</f>
        <v>0</v>
      </c>
      <c r="N30" s="88">
        <v>4</v>
      </c>
    </row>
    <row r="31" spans="1:14" x14ac:dyDescent="0.25">
      <c r="A31" s="29"/>
      <c r="B31" s="32"/>
      <c r="C31" s="66">
        <f t="shared" si="4"/>
        <v>5</v>
      </c>
      <c r="D31" s="33" t="str">
        <f t="shared" si="5"/>
        <v>01-2023</v>
      </c>
      <c r="E31" s="53">
        <f t="shared" si="0"/>
        <v>0</v>
      </c>
      <c r="F31" s="53">
        <v>3699.5040159978244</v>
      </c>
      <c r="G31" s="53">
        <f t="shared" si="6"/>
        <v>5235</v>
      </c>
      <c r="H31" s="52">
        <v>63</v>
      </c>
      <c r="I31" s="52">
        <v>2.5</v>
      </c>
      <c r="J31" s="148">
        <f t="shared" si="1"/>
        <v>233068.75300786292</v>
      </c>
      <c r="K31" s="55">
        <f t="shared" si="2"/>
        <v>493924.54867864412</v>
      </c>
      <c r="L31" s="51">
        <f t="shared" si="3"/>
        <v>339006.5228998792</v>
      </c>
      <c r="M31" s="93">
        <f>IF(K31&lt;=0,0,IF(SUM($M$27:M30)&gt;=$F$15,0,$F$15-SUM($M$27:M30)))</f>
        <v>0</v>
      </c>
      <c r="N31" s="90">
        <v>5</v>
      </c>
    </row>
    <row r="32" spans="1:14" x14ac:dyDescent="0.25">
      <c r="A32" s="29"/>
      <c r="B32" s="32"/>
      <c r="C32" s="66">
        <f t="shared" si="4"/>
        <v>6</v>
      </c>
      <c r="D32" s="33" t="str">
        <f t="shared" si="5"/>
        <v>02-2023</v>
      </c>
      <c r="E32" s="53">
        <f t="shared" si="0"/>
        <v>0</v>
      </c>
      <c r="F32" s="53">
        <v>3520.9902513215779</v>
      </c>
      <c r="G32" s="53">
        <f t="shared" si="6"/>
        <v>5235</v>
      </c>
      <c r="H32" s="52">
        <v>63</v>
      </c>
      <c r="I32" s="52">
        <v>2.5</v>
      </c>
      <c r="J32" s="148">
        <f t="shared" si="1"/>
        <v>221822.38583325941</v>
      </c>
      <c r="K32" s="55">
        <f t="shared" si="2"/>
        <v>647292.55454942456</v>
      </c>
      <c r="L32" s="51">
        <f t="shared" si="3"/>
        <v>402225.90286235814</v>
      </c>
      <c r="M32" s="93">
        <f>IF(K32&lt;=0,0,IF(SUM($M$27:M31)&gt;=$F$15,0,$F$15-SUM($M$27:M31)))</f>
        <v>0</v>
      </c>
      <c r="N32" s="90">
        <v>6</v>
      </c>
    </row>
    <row r="33" spans="1:14" x14ac:dyDescent="0.25">
      <c r="A33" s="29"/>
      <c r="B33" s="32"/>
      <c r="C33" s="66">
        <f t="shared" si="4"/>
        <v>7</v>
      </c>
      <c r="D33" s="33" t="str">
        <f t="shared" si="5"/>
        <v>03-2023</v>
      </c>
      <c r="E33" s="53">
        <f t="shared" si="0"/>
        <v>0</v>
      </c>
      <c r="F33" s="53">
        <v>3578.2198480709367</v>
      </c>
      <c r="G33" s="53">
        <f t="shared" si="6"/>
        <v>5235</v>
      </c>
      <c r="H33" s="52">
        <v>63</v>
      </c>
      <c r="I33" s="52">
        <v>2.5</v>
      </c>
      <c r="J33" s="148">
        <f t="shared" si="1"/>
        <v>225427.85042846901</v>
      </c>
      <c r="K33" s="55">
        <f t="shared" si="2"/>
        <v>803238.46760577988</v>
      </c>
      <c r="L33" s="51">
        <f t="shared" si="3"/>
        <v>466472.84023447183</v>
      </c>
      <c r="M33" s="93">
        <f>IF(K33&lt;=0,0,IF(SUM($M$27:M32)&gt;=$F$15,0,$F$15-SUM($M$27:M32)))</f>
        <v>0</v>
      </c>
      <c r="N33" s="90">
        <v>7</v>
      </c>
    </row>
    <row r="34" spans="1:14" x14ac:dyDescent="0.25">
      <c r="A34" s="29"/>
      <c r="B34" s="32"/>
      <c r="C34" s="66">
        <f t="shared" si="4"/>
        <v>8</v>
      </c>
      <c r="D34" s="33" t="str">
        <f t="shared" si="5"/>
        <v>04-2023</v>
      </c>
      <c r="E34" s="53">
        <f t="shared" si="0"/>
        <v>0</v>
      </c>
      <c r="F34" s="53">
        <v>3519.0770760756964</v>
      </c>
      <c r="G34" s="53">
        <f t="shared" si="6"/>
        <v>5235</v>
      </c>
      <c r="H34" s="52">
        <v>63</v>
      </c>
      <c r="I34" s="52">
        <v>2.5</v>
      </c>
      <c r="J34" s="148">
        <f t="shared" si="1"/>
        <v>221701.85579276888</v>
      </c>
      <c r="K34" s="55">
        <f t="shared" si="2"/>
        <v>956520.2944976096</v>
      </c>
      <c r="L34" s="51">
        <f t="shared" si="3"/>
        <v>529657.86913541099</v>
      </c>
      <c r="M34" s="93">
        <f>IF(K34&lt;=0,0,IF(SUM($M$27:M33)&gt;=$F$15,0,$F$15-SUM($M$27:M33)))</f>
        <v>0</v>
      </c>
      <c r="N34" s="90">
        <v>8</v>
      </c>
    </row>
    <row r="35" spans="1:14" x14ac:dyDescent="0.25">
      <c r="A35" s="29"/>
      <c r="B35" s="32"/>
      <c r="C35" s="66">
        <f t="shared" si="4"/>
        <v>9</v>
      </c>
      <c r="D35" s="33" t="str">
        <f t="shared" si="5"/>
        <v>05-2023</v>
      </c>
      <c r="E35" s="53">
        <f t="shared" si="0"/>
        <v>0</v>
      </c>
      <c r="F35" s="53">
        <v>3237.6272127560028</v>
      </c>
      <c r="G35" s="53">
        <f t="shared" si="6"/>
        <v>5235</v>
      </c>
      <c r="H35" s="52">
        <v>63</v>
      </c>
      <c r="I35" s="52">
        <v>2.5</v>
      </c>
      <c r="J35" s="148">
        <f t="shared" si="1"/>
        <v>203970.51440362819</v>
      </c>
      <c r="K35" s="55">
        <f t="shared" si="2"/>
        <v>1097124.2122962037</v>
      </c>
      <c r="L35" s="51">
        <f t="shared" si="3"/>
        <v>587789.46574044507</v>
      </c>
      <c r="M35" s="93">
        <f>IF(K35&lt;=0,0,IF(SUM($M$27:M34)&gt;=$F$15,0,$F$15-SUM($M$27:M34)))</f>
        <v>0</v>
      </c>
      <c r="N35" s="90">
        <v>9</v>
      </c>
    </row>
    <row r="36" spans="1:14" x14ac:dyDescent="0.25">
      <c r="A36" s="29"/>
      <c r="B36" s="32"/>
      <c r="C36" s="66">
        <f t="shared" si="4"/>
        <v>10</v>
      </c>
      <c r="D36" s="33" t="str">
        <f t="shared" si="5"/>
        <v>06-2023</v>
      </c>
      <c r="E36" s="53">
        <f t="shared" si="0"/>
        <v>0</v>
      </c>
      <c r="F36" s="53">
        <v>3403.7080068175528</v>
      </c>
      <c r="G36" s="53">
        <f t="shared" si="6"/>
        <v>5235</v>
      </c>
      <c r="H36" s="52">
        <v>63</v>
      </c>
      <c r="I36" s="52">
        <v>2.5</v>
      </c>
      <c r="J36" s="148">
        <f t="shared" si="1"/>
        <v>214433.60442950582</v>
      </c>
      <c r="K36" s="55">
        <f t="shared" si="2"/>
        <v>1245209.2394633004</v>
      </c>
      <c r="L36" s="51">
        <f t="shared" si="3"/>
        <v>648903.04300285422</v>
      </c>
      <c r="M36" s="93">
        <f>IF(K36&lt;=0,0,IF(SUM($M$27:M35)&gt;=$F$15,0,$F$15-SUM($M$27:M35)))</f>
        <v>0</v>
      </c>
      <c r="N36" s="90">
        <v>10</v>
      </c>
    </row>
    <row r="37" spans="1:14" x14ac:dyDescent="0.25">
      <c r="A37" s="29"/>
      <c r="B37" s="32"/>
      <c r="C37" s="66">
        <f t="shared" si="4"/>
        <v>11</v>
      </c>
      <c r="D37" s="33" t="str">
        <f t="shared" si="5"/>
        <v>07-2023</v>
      </c>
      <c r="E37" s="53">
        <f t="shared" si="0"/>
        <v>0</v>
      </c>
      <c r="F37" s="53">
        <v>3239.4674146927118</v>
      </c>
      <c r="G37" s="53">
        <f t="shared" si="6"/>
        <v>5235</v>
      </c>
      <c r="H37" s="52">
        <v>63</v>
      </c>
      <c r="I37" s="52">
        <v>2.5</v>
      </c>
      <c r="J37" s="148">
        <f t="shared" si="1"/>
        <v>204086.44712564084</v>
      </c>
      <c r="K37" s="55">
        <f t="shared" si="2"/>
        <v>1385896.0491581336</v>
      </c>
      <c r="L37" s="51">
        <f t="shared" si="3"/>
        <v>707067.68043366191</v>
      </c>
      <c r="M37" s="93">
        <f>IF(K37&lt;=0,0,IF(SUM($M$27:M36)&gt;=$F$15,0,$F$15-SUM($M$27:M36)))</f>
        <v>0</v>
      </c>
      <c r="N37" s="90">
        <v>11</v>
      </c>
    </row>
    <row r="38" spans="1:14" x14ac:dyDescent="0.25">
      <c r="A38" s="29"/>
      <c r="B38" s="32"/>
      <c r="C38" s="66">
        <f t="shared" si="4"/>
        <v>12</v>
      </c>
      <c r="D38" s="33" t="str">
        <f t="shared" si="5"/>
        <v>08-2023</v>
      </c>
      <c r="E38" s="53">
        <f t="shared" si="0"/>
        <v>0</v>
      </c>
      <c r="F38" s="53">
        <v>3292.1211855334532</v>
      </c>
      <c r="G38" s="53">
        <f t="shared" si="6"/>
        <v>5235</v>
      </c>
      <c r="H38" s="52">
        <v>63</v>
      </c>
      <c r="I38" s="52">
        <v>2.5</v>
      </c>
      <c r="J38" s="148">
        <f t="shared" si="1"/>
        <v>207403.63468860756</v>
      </c>
      <c r="K38" s="55">
        <f t="shared" si="2"/>
        <v>1528954.647960488</v>
      </c>
      <c r="L38" s="51">
        <f t="shared" si="3"/>
        <v>766177.71631991502</v>
      </c>
      <c r="M38" s="93">
        <f>IF(K38&lt;=0,0,IF(SUM($M$27:M37)&gt;=$F$15,0,$F$15-SUM($M$27:M37)))</f>
        <v>0</v>
      </c>
      <c r="N38" s="90">
        <v>12</v>
      </c>
    </row>
    <row r="39" spans="1:14" x14ac:dyDescent="0.25">
      <c r="A39" s="29"/>
      <c r="B39" s="32"/>
      <c r="C39" s="66">
        <f t="shared" si="4"/>
        <v>13</v>
      </c>
      <c r="D39" s="33" t="str">
        <f t="shared" si="5"/>
        <v>09-2023</v>
      </c>
      <c r="E39" s="53">
        <f t="shared" si="0"/>
        <v>0</v>
      </c>
      <c r="F39" s="53">
        <v>3133.2650404776105</v>
      </c>
      <c r="G39" s="53">
        <f t="shared" si="6"/>
        <v>5235</v>
      </c>
      <c r="H39" s="52">
        <v>63</v>
      </c>
      <c r="I39" s="52">
        <v>2.5</v>
      </c>
      <c r="J39" s="148">
        <f t="shared" si="1"/>
        <v>197395.69755008945</v>
      </c>
      <c r="K39" s="55">
        <f t="shared" si="2"/>
        <v>1664857.5717088019</v>
      </c>
      <c r="L39" s="51">
        <f t="shared" si="3"/>
        <v>822435.49012169056</v>
      </c>
      <c r="M39" s="93">
        <f>IF(K39&lt;=0,0,IF(SUM($M$27:M38)&gt;=$F$15,0,$F$15-SUM($M$27:M38)))</f>
        <v>0</v>
      </c>
      <c r="N39" s="90">
        <v>13</v>
      </c>
    </row>
    <row r="40" spans="1:14" x14ac:dyDescent="0.25">
      <c r="A40" s="29"/>
      <c r="B40" s="32"/>
      <c r="C40" s="66">
        <f t="shared" si="4"/>
        <v>14</v>
      </c>
      <c r="D40" s="33" t="str">
        <f t="shared" si="5"/>
        <v>10-2023</v>
      </c>
      <c r="E40" s="53">
        <f t="shared" si="0"/>
        <v>0</v>
      </c>
      <c r="F40" s="53">
        <v>3184.1926153858681</v>
      </c>
      <c r="G40" s="53">
        <f t="shared" si="6"/>
        <v>5235</v>
      </c>
      <c r="H40" s="52">
        <v>63</v>
      </c>
      <c r="I40" s="52">
        <v>2.5</v>
      </c>
      <c r="J40" s="148">
        <f t="shared" si="1"/>
        <v>200604.13476930969</v>
      </c>
      <c r="K40" s="55">
        <f t="shared" si="2"/>
        <v>1803054.5280688582</v>
      </c>
      <c r="L40" s="51">
        <f t="shared" si="3"/>
        <v>879607.6685309438</v>
      </c>
      <c r="M40" s="93">
        <f>IF(K40&lt;=0,0,IF(SUM($M$27:M39)&gt;=$F$15,0,$F$15-SUM($M$27:M39)))</f>
        <v>0</v>
      </c>
      <c r="N40" s="90">
        <v>0</v>
      </c>
    </row>
    <row r="41" spans="1:14" x14ac:dyDescent="0.25">
      <c r="A41" s="29"/>
      <c r="B41" s="32"/>
      <c r="C41" s="66">
        <f t="shared" si="4"/>
        <v>15</v>
      </c>
      <c r="D41" s="33" t="str">
        <f t="shared" si="5"/>
        <v>11-2023</v>
      </c>
      <c r="E41" s="53">
        <f t="shared" si="0"/>
        <v>0</v>
      </c>
      <c r="F41" s="53">
        <v>3131.5625407015941</v>
      </c>
      <c r="G41" s="53">
        <f t="shared" si="6"/>
        <v>5235</v>
      </c>
      <c r="H41" s="52">
        <v>63</v>
      </c>
      <c r="I41" s="52">
        <v>2.5</v>
      </c>
      <c r="J41" s="148">
        <f t="shared" si="1"/>
        <v>197288.44006420043</v>
      </c>
      <c r="K41" s="55">
        <f t="shared" si="2"/>
        <v>1938880.7627147615</v>
      </c>
      <c r="L41" s="51">
        <f t="shared" si="3"/>
        <v>935834.87394924089</v>
      </c>
      <c r="M41" s="93">
        <f>IF(K41&lt;=0,0,IF(SUM($M$27:M40)&gt;=$F$15,0,$F$15-SUM($M$27:M40)))</f>
        <v>0</v>
      </c>
      <c r="N41" s="90">
        <v>0</v>
      </c>
    </row>
    <row r="42" spans="1:14" x14ac:dyDescent="0.25">
      <c r="A42" s="29"/>
      <c r="B42" s="32"/>
      <c r="C42" s="66">
        <f t="shared" si="4"/>
        <v>16</v>
      </c>
      <c r="D42" s="33" t="str">
        <f t="shared" si="5"/>
        <v>12-2023</v>
      </c>
      <c r="E42" s="53">
        <f t="shared" si="0"/>
        <v>0</v>
      </c>
      <c r="F42" s="53">
        <v>2980.4539012617256</v>
      </c>
      <c r="G42" s="53">
        <f t="shared" si="6"/>
        <v>5235</v>
      </c>
      <c r="H42" s="52">
        <v>63</v>
      </c>
      <c r="I42" s="52">
        <v>2.5</v>
      </c>
      <c r="J42" s="148">
        <f t="shared" si="1"/>
        <v>187768.59577948871</v>
      </c>
      <c r="K42" s="55">
        <f t="shared" si="2"/>
        <v>2067900.3086970961</v>
      </c>
      <c r="L42" s="51">
        <f t="shared" si="3"/>
        <v>989348.92374639516</v>
      </c>
      <c r="M42" s="93">
        <f>IF(K42&lt;=0,0,IF(SUM($M$27:M41)&gt;=$F$15,0,$F$15-SUM($M$27:M41)))</f>
        <v>0</v>
      </c>
      <c r="N42" s="90">
        <v>0</v>
      </c>
    </row>
    <row r="43" spans="1:14" x14ac:dyDescent="0.25">
      <c r="A43" s="29"/>
      <c r="B43" s="32"/>
      <c r="C43" s="66">
        <f t="shared" si="4"/>
        <v>17</v>
      </c>
      <c r="D43" s="33" t="str">
        <f t="shared" si="5"/>
        <v>01-2024</v>
      </c>
      <c r="E43" s="53">
        <f t="shared" si="0"/>
        <v>0</v>
      </c>
      <c r="F43" s="53">
        <v>3028.8977090329181</v>
      </c>
      <c r="G43" s="53">
        <f t="shared" si="6"/>
        <v>5235</v>
      </c>
      <c r="H43" s="52">
        <v>63</v>
      </c>
      <c r="I43" s="52">
        <v>2.5</v>
      </c>
      <c r="J43" s="148">
        <f t="shared" si="1"/>
        <v>190820.55566907383</v>
      </c>
      <c r="K43" s="55">
        <f t="shared" si="2"/>
        <v>2199102.0060004839</v>
      </c>
      <c r="L43" s="51">
        <f t="shared" si="3"/>
        <v>1043732.7821120812</v>
      </c>
      <c r="M43" s="93">
        <f>IF(K43&lt;=0,0,IF(SUM($M$27:M42)&gt;=$F$15,0,$F$15-SUM($M$27:M42)))</f>
        <v>0</v>
      </c>
      <c r="N43" s="90">
        <v>0</v>
      </c>
    </row>
    <row r="44" spans="1:14" x14ac:dyDescent="0.25">
      <c r="A44" s="29"/>
      <c r="B44" s="32"/>
      <c r="C44" s="66">
        <f t="shared" si="4"/>
        <v>18</v>
      </c>
      <c r="D44" s="33" t="str">
        <f t="shared" si="5"/>
        <v>02-2024</v>
      </c>
      <c r="E44" s="53">
        <f t="shared" si="0"/>
        <v>0</v>
      </c>
      <c r="F44" s="53">
        <v>2882.7430000447407</v>
      </c>
      <c r="G44" s="53">
        <f t="shared" si="6"/>
        <v>5235</v>
      </c>
      <c r="H44" s="52">
        <v>63</v>
      </c>
      <c r="I44" s="52">
        <v>2.5</v>
      </c>
      <c r="J44" s="148">
        <f t="shared" si="1"/>
        <v>181612.80900281866</v>
      </c>
      <c r="K44" s="55">
        <f t="shared" si="2"/>
        <v>2323720.1644374994</v>
      </c>
      <c r="L44" s="51">
        <f t="shared" si="3"/>
        <v>1095492.4326778846</v>
      </c>
      <c r="M44" s="93">
        <f>IF(K44&lt;=0,0,IF(SUM($M$27:M43)&gt;=$F$15,0,$F$15-SUM($M$27:M43)))</f>
        <v>0</v>
      </c>
      <c r="N44" s="90">
        <v>0</v>
      </c>
    </row>
    <row r="45" spans="1:14" x14ac:dyDescent="0.25">
      <c r="A45" s="29"/>
      <c r="B45" s="32"/>
      <c r="C45" s="66">
        <f t="shared" si="4"/>
        <v>19</v>
      </c>
      <c r="D45" s="33" t="str">
        <f t="shared" si="5"/>
        <v>03-2024</v>
      </c>
      <c r="E45" s="53">
        <f t="shared" si="0"/>
        <v>0</v>
      </c>
      <c r="F45" s="53">
        <v>2929.5986308897</v>
      </c>
      <c r="G45" s="53">
        <f t="shared" si="6"/>
        <v>5235</v>
      </c>
      <c r="H45" s="52">
        <v>63</v>
      </c>
      <c r="I45" s="52">
        <v>2.5</v>
      </c>
      <c r="J45" s="148">
        <f t="shared" si="1"/>
        <v>184564.7137460511</v>
      </c>
      <c r="K45" s="55">
        <f t="shared" si="2"/>
        <v>2450448.9347659261</v>
      </c>
      <c r="L45" s="51">
        <f t="shared" si="3"/>
        <v>1148093.3760955092</v>
      </c>
      <c r="M45" s="93">
        <f>IF(K45&lt;=0,0,IF(SUM($M$27:M44)&gt;=$F$15,0,$F$15-SUM($M$27:M44)))</f>
        <v>0</v>
      </c>
      <c r="N45" s="90">
        <v>0</v>
      </c>
    </row>
    <row r="46" spans="1:14" x14ac:dyDescent="0.25">
      <c r="A46" s="29"/>
      <c r="B46" s="32"/>
      <c r="C46" s="66">
        <f t="shared" si="4"/>
        <v>20</v>
      </c>
      <c r="D46" s="33" t="str">
        <f t="shared" si="5"/>
        <v>04-2024</v>
      </c>
      <c r="E46" s="53">
        <f t="shared" si="0"/>
        <v>0</v>
      </c>
      <c r="F46" s="53">
        <v>2881.176624634918</v>
      </c>
      <c r="G46" s="53">
        <f t="shared" si="6"/>
        <v>5235</v>
      </c>
      <c r="H46" s="52">
        <v>63</v>
      </c>
      <c r="I46" s="52">
        <v>2.5</v>
      </c>
      <c r="J46" s="148">
        <f t="shared" si="1"/>
        <v>181514.12735199984</v>
      </c>
      <c r="K46" s="55">
        <f t="shared" si="2"/>
        <v>2574996.5358226062</v>
      </c>
      <c r="L46" s="51">
        <f t="shared" si="3"/>
        <v>1199824.9023908291</v>
      </c>
      <c r="M46" s="93">
        <f>IF(K46&lt;=0,0,IF(SUM($M$27:M45)&gt;=$F$15,0,$F$15-SUM($M$27:M45)))</f>
        <v>0</v>
      </c>
      <c r="N46" s="90">
        <v>0</v>
      </c>
    </row>
    <row r="47" spans="1:14" x14ac:dyDescent="0.25">
      <c r="A47" s="29"/>
      <c r="B47" s="32"/>
      <c r="C47" s="67">
        <f t="shared" si="4"/>
        <v>21</v>
      </c>
      <c r="D47" s="33" t="str">
        <f t="shared" si="5"/>
        <v>05-2024</v>
      </c>
      <c r="E47" s="53">
        <f t="shared" si="0"/>
        <v>0</v>
      </c>
      <c r="F47" s="53">
        <v>2559.3399672549567</v>
      </c>
      <c r="G47" s="53">
        <f t="shared" si="6"/>
        <v>5235</v>
      </c>
      <c r="H47" s="52">
        <v>63</v>
      </c>
      <c r="I47" s="52">
        <v>2.5</v>
      </c>
      <c r="J47" s="148">
        <f t="shared" si="1"/>
        <v>161238.41793706227</v>
      </c>
      <c r="K47" s="55">
        <f t="shared" si="2"/>
        <v>2685047.0046476056</v>
      </c>
      <c r="L47" s="51">
        <f t="shared" si="3"/>
        <v>1245777.8515028919</v>
      </c>
      <c r="M47" s="93">
        <f>IF(K47&lt;=0,0,IF(SUM($M$27:M46)&gt;=$F$15,0,$F$15-SUM($M$27:M46)))</f>
        <v>0</v>
      </c>
      <c r="N47" s="90">
        <v>0</v>
      </c>
    </row>
    <row r="48" spans="1:14" x14ac:dyDescent="0.25">
      <c r="A48" s="29"/>
      <c r="B48" s="32"/>
      <c r="C48" s="66">
        <f t="shared" si="4"/>
        <v>22</v>
      </c>
      <c r="D48" s="33" t="str">
        <f t="shared" si="5"/>
        <v>06-2024</v>
      </c>
      <c r="E48" s="53">
        <f t="shared" si="0"/>
        <v>0</v>
      </c>
      <c r="F48" s="53">
        <v>2786.7204196792841</v>
      </c>
      <c r="G48" s="53">
        <f t="shared" si="6"/>
        <v>5235</v>
      </c>
      <c r="H48" s="52">
        <v>63</v>
      </c>
      <c r="I48" s="52">
        <v>2.5</v>
      </c>
      <c r="J48" s="148">
        <f t="shared" si="1"/>
        <v>175563.38643979491</v>
      </c>
      <c r="K48" s="55">
        <f t="shared" si="2"/>
        <v>2805339.8259520591</v>
      </c>
      <c r="L48" s="51">
        <f t="shared" si="3"/>
        <v>1295813.4166382335</v>
      </c>
      <c r="M48" s="93">
        <f>IF(K48&lt;=0,0,IF(SUM($M$27:M47)&gt;=$F$15,0,$F$15-SUM($M$27:M47)))</f>
        <v>0</v>
      </c>
      <c r="N48" s="90">
        <v>0</v>
      </c>
    </row>
    <row r="49" spans="1:14" x14ac:dyDescent="0.25">
      <c r="A49" s="29"/>
      <c r="B49" s="32"/>
      <c r="C49" s="66">
        <f t="shared" si="4"/>
        <v>23</v>
      </c>
      <c r="D49" s="33" t="str">
        <f t="shared" si="5"/>
        <v>07-2024</v>
      </c>
      <c r="E49" s="53">
        <f t="shared" si="0"/>
        <v>0</v>
      </c>
      <c r="F49" s="53">
        <v>2652.2515960029409</v>
      </c>
      <c r="G49" s="53">
        <f t="shared" si="6"/>
        <v>5235</v>
      </c>
      <c r="H49" s="52">
        <v>63</v>
      </c>
      <c r="I49" s="52">
        <v>2.5</v>
      </c>
      <c r="J49" s="148">
        <f t="shared" si="1"/>
        <v>167091.85054818529</v>
      </c>
      <c r="K49" s="55">
        <f t="shared" si="2"/>
        <v>2919575.4990940117</v>
      </c>
      <c r="L49" s="51">
        <f t="shared" si="3"/>
        <v>1343434.5940444663</v>
      </c>
      <c r="M49" s="93">
        <f>IF(K49&lt;=0,0,IF(SUM($M$27:M48)&gt;=$F$15,0,$F$15-SUM($M$27:M48)))</f>
        <v>0</v>
      </c>
      <c r="N49" s="90">
        <v>0</v>
      </c>
    </row>
    <row r="50" spans="1:14" x14ac:dyDescent="0.25">
      <c r="A50" s="29"/>
      <c r="B50" s="32"/>
      <c r="C50" s="66">
        <f t="shared" si="4"/>
        <v>24</v>
      </c>
      <c r="D50" s="33" t="str">
        <f t="shared" si="5"/>
        <v>08-2024</v>
      </c>
      <c r="E50" s="53">
        <f t="shared" si="0"/>
        <v>0</v>
      </c>
      <c r="F50" s="53">
        <v>2695.360857455782</v>
      </c>
      <c r="G50" s="53">
        <f t="shared" si="6"/>
        <v>5235</v>
      </c>
      <c r="H50" s="52">
        <v>63</v>
      </c>
      <c r="I50" s="52">
        <v>2.5</v>
      </c>
      <c r="J50" s="148">
        <f t="shared" si="1"/>
        <v>169807.73401971426</v>
      </c>
      <c r="K50" s="55">
        <f t="shared" si="2"/>
        <v>3035753.0289181075</v>
      </c>
      <c r="L50" s="51">
        <f t="shared" si="3"/>
        <v>1391829.7982400849</v>
      </c>
      <c r="M50" s="93">
        <f>IF(K50&lt;=0,0,IF(SUM($M$27:M49)&gt;=$F$15,0,$F$15-SUM($M$27:M49)))</f>
        <v>0</v>
      </c>
      <c r="N50" s="90">
        <v>0</v>
      </c>
    </row>
    <row r="51" spans="1:14" s="39" customFormat="1" x14ac:dyDescent="0.25">
      <c r="A51" s="59"/>
      <c r="B51" s="60"/>
      <c r="E51" s="61">
        <f>SUM(E27:E50)</f>
        <v>0</v>
      </c>
      <c r="F51" s="61">
        <f>SUM(F27:F50)</f>
        <v>77517.671859653841</v>
      </c>
      <c r="G51" s="61">
        <f>SUM(G27:G50)</f>
        <v>456030.5</v>
      </c>
      <c r="H51" s="76"/>
      <c r="I51" s="62"/>
      <c r="J51" s="149">
        <f>SUM(J27:J50)</f>
        <v>4883613.3271581922</v>
      </c>
      <c r="K51" s="149">
        <f>MAX(K27:K50)</f>
        <v>3035753.0289181075</v>
      </c>
      <c r="L51" s="63">
        <f>MAX(L27:L50)</f>
        <v>1391829.7982400849</v>
      </c>
      <c r="M51" s="94">
        <f>SUM(M27:M50)</f>
        <v>330390.5</v>
      </c>
      <c r="N51" s="104"/>
    </row>
    <row r="52" spans="1:14" x14ac:dyDescent="0.25">
      <c r="A52" s="29"/>
      <c r="B52" s="32"/>
      <c r="E52" s="8"/>
      <c r="F52" s="8"/>
      <c r="G52" s="9"/>
      <c r="H52" s="76"/>
      <c r="I52" s="9"/>
      <c r="K52" s="50">
        <f>K51*0.25</f>
        <v>758938.25722952688</v>
      </c>
      <c r="L52" s="80"/>
      <c r="N52" s="102"/>
    </row>
    <row r="53" spans="1:14" x14ac:dyDescent="0.25">
      <c r="A53" s="29"/>
      <c r="B53" s="32"/>
      <c r="E53" s="8"/>
      <c r="F53" s="8"/>
      <c r="G53" s="9"/>
      <c r="H53" s="76"/>
      <c r="I53" s="9"/>
      <c r="K53" s="50"/>
      <c r="L53" s="80"/>
      <c r="N53" s="102"/>
    </row>
    <row r="54" spans="1:14" x14ac:dyDescent="0.25">
      <c r="B54" s="4"/>
      <c r="C54" s="39" t="s">
        <v>10</v>
      </c>
      <c r="D54" s="34"/>
      <c r="E54" s="34"/>
      <c r="F54" s="8"/>
      <c r="G54" s="77"/>
      <c r="H54" s="9"/>
      <c r="I54" s="35"/>
      <c r="J54" s="162" t="s">
        <v>89</v>
      </c>
      <c r="K54" s="162"/>
      <c r="L54" s="80"/>
      <c r="N54" s="102"/>
    </row>
    <row r="55" spans="1:14" x14ac:dyDescent="0.25">
      <c r="B55" s="4"/>
      <c r="D55" s="163" t="s">
        <v>48</v>
      </c>
      <c r="E55" s="163"/>
      <c r="F55" s="163"/>
      <c r="G55" s="68">
        <f>K51*0.75</f>
        <v>2276814.7716885805</v>
      </c>
      <c r="H55" s="36">
        <f>G55/SUM(K51:L51)</f>
        <v>0.51423425841362191</v>
      </c>
      <c r="I55" s="9"/>
      <c r="J55" s="3">
        <v>1</v>
      </c>
      <c r="K55" s="1" t="s">
        <v>92</v>
      </c>
      <c r="L55" s="80"/>
      <c r="N55" s="102"/>
    </row>
    <row r="56" spans="1:14" x14ac:dyDescent="0.25">
      <c r="B56" s="4"/>
      <c r="D56" s="165" t="s">
        <v>49</v>
      </c>
      <c r="E56" s="165"/>
      <c r="F56" s="165"/>
      <c r="G56" s="69">
        <v>0</v>
      </c>
      <c r="H56" s="37">
        <f>G56/SUM(K51:L51)</f>
        <v>0</v>
      </c>
      <c r="I56" s="9"/>
      <c r="J56" s="3">
        <v>2</v>
      </c>
      <c r="K56" s="1" t="s">
        <v>69</v>
      </c>
      <c r="L56" s="80"/>
      <c r="N56" s="102"/>
    </row>
    <row r="57" spans="1:14" x14ac:dyDescent="0.25">
      <c r="B57" s="4"/>
      <c r="D57" s="163" t="s">
        <v>50</v>
      </c>
      <c r="E57" s="163"/>
      <c r="F57" s="163"/>
      <c r="G57" s="68">
        <f>SUM(G55:G56)</f>
        <v>2276814.7716885805</v>
      </c>
      <c r="H57" s="36">
        <f>SUM(H55:H56)</f>
        <v>0.51423425841362191</v>
      </c>
      <c r="I57" s="9"/>
      <c r="J57" s="3">
        <v>3</v>
      </c>
      <c r="K57" s="1" t="s">
        <v>90</v>
      </c>
      <c r="M57" s="35"/>
      <c r="N57" s="102"/>
    </row>
    <row r="58" spans="1:14" x14ac:dyDescent="0.25">
      <c r="B58" s="4"/>
      <c r="F58" s="8"/>
      <c r="G58" s="68"/>
      <c r="H58" s="36"/>
      <c r="I58" s="9"/>
      <c r="J58" s="3">
        <v>4</v>
      </c>
      <c r="K58" s="1" t="s">
        <v>91</v>
      </c>
      <c r="N58" s="102"/>
    </row>
    <row r="59" spans="1:14" x14ac:dyDescent="0.25">
      <c r="B59" s="4"/>
      <c r="D59" s="165" t="s">
        <v>51</v>
      </c>
      <c r="E59" s="165"/>
      <c r="F59" s="165"/>
      <c r="G59" s="69">
        <f>L51+K51*0.25</f>
        <v>2150768.0554696117</v>
      </c>
      <c r="H59" s="37">
        <f>G59/SUM(K51:L51)</f>
        <v>0.48576574158637809</v>
      </c>
      <c r="I59" s="9"/>
      <c r="J59" s="3">
        <v>5</v>
      </c>
      <c r="K59" s="1" t="s">
        <v>47</v>
      </c>
      <c r="N59" s="102"/>
    </row>
    <row r="60" spans="1:14" x14ac:dyDescent="0.25">
      <c r="B60" s="4"/>
      <c r="D60" s="163" t="s">
        <v>52</v>
      </c>
      <c r="E60" s="163"/>
      <c r="F60" s="163"/>
      <c r="G60" s="70">
        <f>SUM(G59)</f>
        <v>2150768.0554696117</v>
      </c>
      <c r="H60" s="38">
        <f>SUM(H59)</f>
        <v>0.48576574158637809</v>
      </c>
      <c r="I60" s="9"/>
      <c r="J60" s="3">
        <v>6</v>
      </c>
      <c r="K60" s="1" t="s">
        <v>7</v>
      </c>
      <c r="N60" s="102"/>
    </row>
    <row r="61" spans="1:14" x14ac:dyDescent="0.25">
      <c r="B61" s="4"/>
      <c r="F61" s="34"/>
      <c r="G61" s="35"/>
      <c r="H61" s="35"/>
      <c r="I61" s="9"/>
      <c r="J61" s="3">
        <v>7</v>
      </c>
      <c r="K61" s="1" t="s">
        <v>2</v>
      </c>
      <c r="N61" s="102"/>
    </row>
    <row r="62" spans="1:14" x14ac:dyDescent="0.25">
      <c r="B62" s="4"/>
      <c r="C62" s="39" t="s">
        <v>56</v>
      </c>
      <c r="F62" s="95"/>
      <c r="G62" s="49" t="s">
        <v>3</v>
      </c>
      <c r="H62" s="49" t="s">
        <v>4</v>
      </c>
      <c r="I62" s="9"/>
      <c r="J62" s="3">
        <v>8</v>
      </c>
      <c r="K62" s="1" t="s">
        <v>43</v>
      </c>
      <c r="N62" s="102"/>
    </row>
    <row r="63" spans="1:14" x14ac:dyDescent="0.25">
      <c r="B63" s="4"/>
      <c r="D63" s="164" t="s">
        <v>54</v>
      </c>
      <c r="E63" s="164"/>
      <c r="F63" s="164"/>
      <c r="G63" s="71">
        <f>NPV($J$19/12*$L$20,VLOOKUP($L$20,$C$27:$N$50,9,FALSE))</f>
        <v>6603.8719216449717</v>
      </c>
      <c r="H63" s="71">
        <f>NPV($J$19/12*$L$20,VLOOKUP($L$20,$C$27:$N$50,10,FALSE))</f>
        <v>136272.44900510833</v>
      </c>
      <c r="I63" s="9"/>
      <c r="J63" s="3">
        <v>9</v>
      </c>
      <c r="K63" s="1" t="s">
        <v>94</v>
      </c>
      <c r="N63" s="102"/>
    </row>
    <row r="64" spans="1:14" x14ac:dyDescent="0.25">
      <c r="B64" s="4"/>
      <c r="D64" s="164" t="s">
        <v>55</v>
      </c>
      <c r="E64" s="164"/>
      <c r="F64" s="164"/>
      <c r="G64" s="71">
        <f>NPV($J$19,K51)</f>
        <v>2759775.4808346429</v>
      </c>
      <c r="H64" s="71">
        <f>NPV($J$19,L51)</f>
        <v>1265299.8165818953</v>
      </c>
      <c r="I64" s="9"/>
      <c r="J64" s="3">
        <v>10</v>
      </c>
      <c r="K64" s="1" t="s">
        <v>95</v>
      </c>
      <c r="N64" s="102"/>
    </row>
    <row r="65" spans="2:14" x14ac:dyDescent="0.25">
      <c r="B65" s="4"/>
      <c r="F65" s="8"/>
      <c r="G65" s="9"/>
      <c r="H65" s="9"/>
      <c r="I65" s="9"/>
      <c r="J65" s="3">
        <v>11</v>
      </c>
      <c r="K65" s="1" t="s">
        <v>100</v>
      </c>
      <c r="N65" s="102"/>
    </row>
    <row r="66" spans="2:14" ht="12" thickBot="1" x14ac:dyDescent="0.3">
      <c r="B66" s="40"/>
      <c r="C66" s="41"/>
      <c r="D66" s="41"/>
      <c r="E66" s="41"/>
      <c r="F66" s="42"/>
      <c r="G66" s="43"/>
      <c r="H66" s="43"/>
      <c r="I66" s="43"/>
      <c r="J66" s="150"/>
      <c r="K66" s="41"/>
      <c r="L66" s="41"/>
      <c r="M66" s="41"/>
      <c r="N66" s="105"/>
    </row>
    <row r="67" spans="2:14" ht="15" customHeight="1" x14ac:dyDescent="0.25">
      <c r="K67" s="44"/>
      <c r="L67" s="45"/>
    </row>
  </sheetData>
  <mergeCells count="26">
    <mergeCell ref="C15:E15"/>
    <mergeCell ref="B2:N2"/>
    <mergeCell ref="C6:E6"/>
    <mergeCell ref="C12:E12"/>
    <mergeCell ref="C13:E13"/>
    <mergeCell ref="C14:E14"/>
    <mergeCell ref="M23:M24"/>
    <mergeCell ref="C18:E18"/>
    <mergeCell ref="C19:E19"/>
    <mergeCell ref="C20:E20"/>
    <mergeCell ref="C23:C25"/>
    <mergeCell ref="D23:D25"/>
    <mergeCell ref="E23:F23"/>
    <mergeCell ref="G23:G24"/>
    <mergeCell ref="H23:H24"/>
    <mergeCell ref="I23:I24"/>
    <mergeCell ref="J23:J24"/>
    <mergeCell ref="K23:L23"/>
    <mergeCell ref="J54:K54"/>
    <mergeCell ref="D64:F64"/>
    <mergeCell ref="D55:F55"/>
    <mergeCell ref="D56:F56"/>
    <mergeCell ref="D57:F57"/>
    <mergeCell ref="D59:F59"/>
    <mergeCell ref="D60:F60"/>
    <mergeCell ref="D63:F63"/>
  </mergeCells>
  <printOptions horizontalCentered="1"/>
  <pageMargins left="0.19685039370078741" right="0.19685039370078741" top="0.23622047244094491" bottom="0.23622047244094491" header="0" footer="0"/>
  <pageSetup paperSize="9" scale="7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743E-A75F-48BA-B5D7-52AA718F44B5}">
  <sheetPr>
    <tabColor rgb="FFFFC000"/>
    <pageSetUpPr fitToPage="1"/>
  </sheetPr>
  <dimension ref="A1:Y69"/>
  <sheetViews>
    <sheetView view="pageBreakPreview" topLeftCell="B4" zoomScaleNormal="115" zoomScaleSheetLayoutView="100" workbookViewId="0">
      <selection activeCell="B2" sqref="B2:S2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0" style="2" bestFit="1" customWidth="1"/>
    <col min="7" max="8" width="11.85546875" style="3" customWidth="1"/>
    <col min="9" max="9" width="9.140625" style="3"/>
    <col min="10" max="10" width="9.140625" style="1"/>
    <col min="11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3.140625" style="3" bestFit="1" customWidth="1"/>
    <col min="21" max="21" width="12.5703125" style="1" bestFit="1" customWidth="1"/>
    <col min="22" max="22" width="9.140625" style="1"/>
    <col min="23" max="23" width="12.7109375" style="1" bestFit="1" customWidth="1"/>
    <col min="24" max="25" width="11.140625" style="3" bestFit="1" customWidth="1"/>
    <col min="26" max="26" width="10.7109375" style="1" bestFit="1" customWidth="1"/>
    <col min="27" max="16384" width="9.140625" style="1"/>
  </cols>
  <sheetData>
    <row r="1" spans="2:19" ht="12" thickBot="1" x14ac:dyDescent="0.3"/>
    <row r="2" spans="2:19" ht="64.150000000000006" customHeight="1" x14ac:dyDescent="0.25">
      <c r="B2" s="174" t="s">
        <v>120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1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27</v>
      </c>
      <c r="R5" s="5"/>
      <c r="S5" s="86"/>
    </row>
    <row r="6" spans="2:19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73" t="s">
        <v>33</v>
      </c>
      <c r="D13" s="173"/>
      <c r="E13" s="173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10127.518691736792</v>
      </c>
      <c r="N13" s="17" t="s">
        <v>23</v>
      </c>
      <c r="P13" s="18"/>
      <c r="Q13" s="16"/>
      <c r="S13" s="88"/>
    </row>
    <row r="14" spans="2:19" x14ac:dyDescent="0.25">
      <c r="B14" s="4"/>
      <c r="C14" s="173" t="s">
        <v>28</v>
      </c>
      <c r="D14" s="173"/>
      <c r="E14" s="173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73" t="s">
        <v>29</v>
      </c>
      <c r="D15" s="173"/>
      <c r="E15" s="173"/>
      <c r="F15" s="16">
        <v>400000</v>
      </c>
      <c r="G15" s="106">
        <v>0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5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5" x14ac:dyDescent="0.25">
      <c r="B18" s="4"/>
      <c r="C18" s="163" t="s">
        <v>58</v>
      </c>
      <c r="D18" s="163"/>
      <c r="E18" s="163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0.15</v>
      </c>
      <c r="N18" s="10" t="s">
        <v>105</v>
      </c>
      <c r="O18" s="98" cm="1">
        <f t="array" ref="O18">VLOOKUP(MIN(IF(M25:M48&gt;0,M25:M48)),$M$25:$S$48,7,FALSE)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5" x14ac:dyDescent="0.25">
      <c r="B19" s="4"/>
      <c r="C19" s="163" t="s">
        <v>30</v>
      </c>
      <c r="D19" s="163"/>
      <c r="E19" s="163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0.3</v>
      </c>
      <c r="N19" s="10" t="s">
        <v>111</v>
      </c>
      <c r="O19" s="98" cm="1">
        <f t="array" ref="O19">VLOOKUP(MIN(IF(O25:O48&gt;0,O25:O48)),$O$25:$S$48,5,FALSE)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5" x14ac:dyDescent="0.25">
      <c r="B20" s="4"/>
      <c r="C20" s="163" t="s">
        <v>34</v>
      </c>
      <c r="D20" s="163"/>
      <c r="E20" s="163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5" s="26" customFormat="1" ht="11.25" customHeight="1" x14ac:dyDescent="0.25">
      <c r="B21" s="27"/>
      <c r="C21" s="170" t="s">
        <v>31</v>
      </c>
      <c r="D21" s="170" t="s">
        <v>32</v>
      </c>
      <c r="E21" s="171" t="s">
        <v>46</v>
      </c>
      <c r="F21" s="172"/>
      <c r="G21" s="168" t="s">
        <v>47</v>
      </c>
      <c r="H21" s="168" t="s">
        <v>72</v>
      </c>
      <c r="I21" s="166" t="s">
        <v>7</v>
      </c>
      <c r="J21" s="166" t="s">
        <v>2</v>
      </c>
      <c r="K21" s="166" t="s">
        <v>43</v>
      </c>
      <c r="L21" s="171" t="s">
        <v>70</v>
      </c>
      <c r="M21" s="172"/>
      <c r="N21" s="171" t="s">
        <v>71</v>
      </c>
      <c r="O21" s="172"/>
      <c r="P21" s="182" t="s">
        <v>112</v>
      </c>
      <c r="Q21" s="182"/>
      <c r="R21" s="182"/>
      <c r="S21" s="89"/>
      <c r="T21" s="28"/>
      <c r="X21" s="28"/>
      <c r="Y21" s="28"/>
    </row>
    <row r="22" spans="1:25" s="5" customFormat="1" ht="11.25" customHeight="1" x14ac:dyDescent="0.25">
      <c r="A22" s="29"/>
      <c r="B22" s="30"/>
      <c r="C22" s="170"/>
      <c r="D22" s="170"/>
      <c r="E22" s="81" t="s">
        <v>0</v>
      </c>
      <c r="F22" s="56" t="s">
        <v>1</v>
      </c>
      <c r="G22" s="169"/>
      <c r="H22" s="169"/>
      <c r="I22" s="167"/>
      <c r="J22" s="167"/>
      <c r="K22" s="167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T22" s="31"/>
      <c r="X22" s="31"/>
      <c r="Y22" s="31"/>
    </row>
    <row r="23" spans="1:25" s="5" customFormat="1" ht="11.25" customHeight="1" x14ac:dyDescent="0.25">
      <c r="A23" s="29"/>
      <c r="B23" s="30"/>
      <c r="C23" s="170"/>
      <c r="D23" s="170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T23" s="31"/>
      <c r="X23" s="31"/>
      <c r="Y23" s="31"/>
    </row>
    <row r="24" spans="1:25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T24" s="31"/>
      <c r="X24" s="31"/>
      <c r="Y24" s="31"/>
    </row>
    <row r="25" spans="1:25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520.80551994817972</v>
      </c>
      <c r="G25" s="53">
        <f>IF(C25&lt;&gt;0,IF(C25=1,$F$13+$F$14+$F$15,$F$13*$G$13+$F$14*$G$14+$F$15*$G$15),0)</f>
        <v>901000</v>
      </c>
      <c r="H25" s="58">
        <f>IF(C25&lt;&gt;0,IF(C25=1,$F$13+$F$14,$F$13*$G$13+$F$14*$G$14),0)</f>
        <v>501000</v>
      </c>
      <c r="I25" s="52">
        <v>65</v>
      </c>
      <c r="J25" s="52">
        <v>2.5</v>
      </c>
      <c r="K25" s="51">
        <f>F25*I25+E25*J25*1000</f>
        <v>33852.358796631685</v>
      </c>
      <c r="L25" s="51">
        <f>IF(C25&lt;&gt;0,K25*$M$18,0)</f>
        <v>5077.8538194947523</v>
      </c>
      <c r="M25" s="51">
        <f>IF(C25&lt;&gt;0,K25*(1-$M$18)-G25,0)</f>
        <v>-872225.49502286303</v>
      </c>
      <c r="N25" s="55">
        <f>IF(C25&lt;&gt;0,K25*$M$18,0)</f>
        <v>5077.8538194947523</v>
      </c>
      <c r="O25" s="55">
        <f>IF(C25&lt;&gt;0,K25*(1-$M$18)-H25,0)</f>
        <v>-472225.49502286309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IF(O25&lt;0,0,Q25*$F$15)</f>
        <v>0</v>
      </c>
      <c r="S25" s="78">
        <f t="shared" ref="S25:S48" si="2">C25</f>
        <v>1</v>
      </c>
      <c r="T25" s="31"/>
      <c r="U25" s="5"/>
      <c r="V25" s="5"/>
      <c r="W25" s="5"/>
    </row>
    <row r="26" spans="1:25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IF(C26&lt;&gt;0,IF(C26=1,$F$13+$F$14+$F$15,$F$13*$G$13+$F$14*$G$14+$F$15*$G$15),0)</f>
        <v>1000</v>
      </c>
      <c r="H26" s="58">
        <f t="shared" ref="H26:H48" si="4">IF(C26&lt;&gt;0,IF(C26=1,$F$13+$F$14,$F$13*$G$13+$F$14*$G$14),0)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IF(C26&lt;&gt;0,K26*$M$18+L25,0)</f>
        <v>5077.8538194947523</v>
      </c>
      <c r="M26" s="51">
        <f>IF(C26&lt;&gt;0,K26*(1-$M$18)-G26+M25,0)</f>
        <v>-873225.49502286303</v>
      </c>
      <c r="N26" s="55">
        <f>IF(C26&lt;&gt;0,K26*$M$18+N25,0)</f>
        <v>5077.8538194947523</v>
      </c>
      <c r="O26" s="55">
        <f>IF(C26&lt;&gt;0,K26*(1-$M$18)-H26+O25,0)</f>
        <v>-473225.49502286309</v>
      </c>
      <c r="P26" s="54" t="e">
        <f>IF(F26/$Q$18+P25&gt;1,1,F26/$Q$18+P25)</f>
        <v>#DIV/0!</v>
      </c>
      <c r="Q26" s="54" t="e">
        <f t="shared" si="1"/>
        <v>#DIV/0!</v>
      </c>
      <c r="R26" s="93" t="e">
        <f t="shared" ref="R26:R48" si="6">IF(Q25=1,0,IF(C26&lt;$O$19,0,IF(R25=0,Q26*$F$15,(Q26-Q25)*$F$15)))</f>
        <v>#DIV/0!</v>
      </c>
      <c r="S26" s="78">
        <f t="shared" si="2"/>
        <v>2</v>
      </c>
      <c r="T26" s="31"/>
      <c r="U26" s="5"/>
      <c r="V26" s="5"/>
      <c r="W26" s="5"/>
    </row>
    <row r="27" spans="1:25" ht="11.25" customHeight="1" x14ac:dyDescent="0.25">
      <c r="A27" s="29"/>
      <c r="B27" s="32"/>
      <c r="C27" s="66">
        <f t="shared" ref="C27:C48" si="7">IF(AND(C26&lt;$F$19,C26&lt;&gt;0),C26+1,0)</f>
        <v>3</v>
      </c>
      <c r="D27" s="33" t="str">
        <f t="shared" ref="D27:D48" si="8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9">IF(C27&lt;&gt;0,K27*$M$18+L26,0)</f>
        <v>5077.8538194947523</v>
      </c>
      <c r="M27" s="51">
        <f t="shared" ref="M27:M48" si="10">IF(C27&lt;&gt;0,K27*(1-$M$18)-G27+M26,0)</f>
        <v>-874225.49502286303</v>
      </c>
      <c r="N27" s="55">
        <f t="shared" ref="N27:N48" si="11">IF(C27&lt;&gt;0,K27*$M$18+N26,0)</f>
        <v>5077.8538194947523</v>
      </c>
      <c r="O27" s="55">
        <f t="shared" ref="O27:O48" si="12">IF(C27&lt;&gt;0,K27*(1-$M$18)-H27+O26,0)</f>
        <v>-474225.49502286309</v>
      </c>
      <c r="P27" s="54" t="e">
        <f t="shared" ref="P27:P48" si="13">IF(F27/$Q$18+P26&gt;1,1,F27/$Q$18+P26)</f>
        <v>#DIV/0!</v>
      </c>
      <c r="Q27" s="54" t="e">
        <f t="shared" si="1"/>
        <v>#DIV/0!</v>
      </c>
      <c r="R27" s="93" t="e">
        <f t="shared" si="6"/>
        <v>#DIV/0!</v>
      </c>
      <c r="S27" s="78">
        <f t="shared" si="2"/>
        <v>3</v>
      </c>
      <c r="T27" s="31"/>
      <c r="U27" s="5"/>
      <c r="V27" s="5"/>
      <c r="W27" s="5"/>
    </row>
    <row r="28" spans="1:25" ht="11.25" customHeight="1" x14ac:dyDescent="0.25">
      <c r="A28" s="29"/>
      <c r="B28" s="32"/>
      <c r="C28" s="66">
        <f t="shared" si="7"/>
        <v>4</v>
      </c>
      <c r="D28" s="33" t="str">
        <f t="shared" si="8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9"/>
        <v>5077.8538194947523</v>
      </c>
      <c r="M28" s="51">
        <f t="shared" si="10"/>
        <v>-875225.49502286303</v>
      </c>
      <c r="N28" s="55">
        <f t="shared" si="11"/>
        <v>5077.8538194947523</v>
      </c>
      <c r="O28" s="55">
        <f t="shared" si="12"/>
        <v>-475225.49502286309</v>
      </c>
      <c r="P28" s="54" t="e">
        <f t="shared" si="13"/>
        <v>#DIV/0!</v>
      </c>
      <c r="Q28" s="54" t="e">
        <f t="shared" si="1"/>
        <v>#DIV/0!</v>
      </c>
      <c r="R28" s="93" t="e">
        <f t="shared" si="6"/>
        <v>#DIV/0!</v>
      </c>
      <c r="S28" s="78">
        <f t="shared" si="2"/>
        <v>4</v>
      </c>
      <c r="T28" s="31"/>
      <c r="U28" s="5"/>
      <c r="V28" s="5"/>
      <c r="W28" s="5"/>
    </row>
    <row r="29" spans="1:25" ht="11.25" customHeight="1" x14ac:dyDescent="0.25">
      <c r="A29" s="29"/>
      <c r="B29" s="32"/>
      <c r="C29" s="66">
        <f t="shared" si="7"/>
        <v>5</v>
      </c>
      <c r="D29" s="33" t="str">
        <f t="shared" si="8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9"/>
        <v>5077.8538194947523</v>
      </c>
      <c r="M29" s="51">
        <f t="shared" si="10"/>
        <v>-876225.49502286303</v>
      </c>
      <c r="N29" s="55">
        <f t="shared" si="11"/>
        <v>5077.8538194947523</v>
      </c>
      <c r="O29" s="55">
        <f t="shared" si="12"/>
        <v>-476225.49502286309</v>
      </c>
      <c r="P29" s="54" t="e">
        <f t="shared" si="13"/>
        <v>#DIV/0!</v>
      </c>
      <c r="Q29" s="54" t="e">
        <f t="shared" si="1"/>
        <v>#DIV/0!</v>
      </c>
      <c r="R29" s="93" t="e">
        <f t="shared" si="6"/>
        <v>#DIV/0!</v>
      </c>
      <c r="S29" s="78">
        <f t="shared" si="2"/>
        <v>5</v>
      </c>
      <c r="T29" s="31"/>
      <c r="U29" s="5"/>
      <c r="V29" s="5"/>
      <c r="W29" s="5"/>
    </row>
    <row r="30" spans="1:25" ht="11.25" customHeight="1" x14ac:dyDescent="0.25">
      <c r="A30" s="29"/>
      <c r="B30" s="32"/>
      <c r="C30" s="66">
        <f t="shared" si="7"/>
        <v>6</v>
      </c>
      <c r="D30" s="33" t="str">
        <f t="shared" si="8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9"/>
        <v>5077.8538194947523</v>
      </c>
      <c r="M30" s="51">
        <f t="shared" si="10"/>
        <v>-877225.49502286303</v>
      </c>
      <c r="N30" s="55">
        <f t="shared" si="11"/>
        <v>5077.8538194947523</v>
      </c>
      <c r="O30" s="55">
        <f t="shared" si="12"/>
        <v>-477225.49502286309</v>
      </c>
      <c r="P30" s="54" t="e">
        <f t="shared" si="13"/>
        <v>#DIV/0!</v>
      </c>
      <c r="Q30" s="54" t="e">
        <f t="shared" si="1"/>
        <v>#DIV/0!</v>
      </c>
      <c r="R30" s="93" t="e">
        <f t="shared" si="6"/>
        <v>#DIV/0!</v>
      </c>
      <c r="S30" s="78">
        <f t="shared" si="2"/>
        <v>6</v>
      </c>
      <c r="T30" s="31"/>
      <c r="U30" s="5"/>
      <c r="V30" s="5"/>
      <c r="W30" s="5"/>
      <c r="X30" s="1"/>
      <c r="Y30" s="1"/>
    </row>
    <row r="31" spans="1:25" ht="11.25" customHeight="1" x14ac:dyDescent="0.25">
      <c r="A31" s="29"/>
      <c r="B31" s="32"/>
      <c r="C31" s="66">
        <f t="shared" si="7"/>
        <v>7</v>
      </c>
      <c r="D31" s="33" t="str">
        <f t="shared" si="8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9"/>
        <v>5077.8538194947523</v>
      </c>
      <c r="M31" s="51">
        <f t="shared" si="10"/>
        <v>-878225.49502286303</v>
      </c>
      <c r="N31" s="55">
        <f t="shared" si="11"/>
        <v>5077.8538194947523</v>
      </c>
      <c r="O31" s="55">
        <f t="shared" si="12"/>
        <v>-478225.49502286309</v>
      </c>
      <c r="P31" s="54" t="e">
        <f t="shared" si="13"/>
        <v>#DIV/0!</v>
      </c>
      <c r="Q31" s="54" t="e">
        <f t="shared" si="1"/>
        <v>#DIV/0!</v>
      </c>
      <c r="R31" s="93" t="e">
        <f t="shared" si="6"/>
        <v>#DIV/0!</v>
      </c>
      <c r="S31" s="78">
        <f t="shared" si="2"/>
        <v>7</v>
      </c>
      <c r="T31" s="31"/>
      <c r="U31" s="5"/>
      <c r="V31" s="5"/>
      <c r="W31" s="5"/>
      <c r="X31" s="1"/>
      <c r="Y31" s="1"/>
    </row>
    <row r="32" spans="1:25" ht="11.25" customHeight="1" x14ac:dyDescent="0.25">
      <c r="A32" s="29"/>
      <c r="B32" s="32"/>
      <c r="C32" s="66">
        <f t="shared" si="7"/>
        <v>8</v>
      </c>
      <c r="D32" s="33" t="str">
        <f t="shared" si="8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9"/>
        <v>5077.8538194947523</v>
      </c>
      <c r="M32" s="51">
        <f t="shared" si="10"/>
        <v>-879225.49502286303</v>
      </c>
      <c r="N32" s="55">
        <f t="shared" si="11"/>
        <v>5077.8538194947523</v>
      </c>
      <c r="O32" s="55">
        <f t="shared" si="12"/>
        <v>-479225.49502286309</v>
      </c>
      <c r="P32" s="54" t="e">
        <f t="shared" si="13"/>
        <v>#DIV/0!</v>
      </c>
      <c r="Q32" s="54" t="e">
        <f t="shared" si="1"/>
        <v>#DIV/0!</v>
      </c>
      <c r="R32" s="93" t="e">
        <f t="shared" si="6"/>
        <v>#DIV/0!</v>
      </c>
      <c r="S32" s="78">
        <f t="shared" si="2"/>
        <v>8</v>
      </c>
      <c r="T32" s="31"/>
      <c r="U32" s="5"/>
      <c r="V32" s="5"/>
      <c r="W32" s="5"/>
      <c r="X32" s="1"/>
      <c r="Y32" s="1"/>
    </row>
    <row r="33" spans="1:25" ht="11.25" customHeight="1" x14ac:dyDescent="0.25">
      <c r="A33" s="29"/>
      <c r="B33" s="32"/>
      <c r="C33" s="66">
        <f t="shared" si="7"/>
        <v>9</v>
      </c>
      <c r="D33" s="33" t="str">
        <f t="shared" si="8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9"/>
        <v>5077.8538194947523</v>
      </c>
      <c r="M33" s="51">
        <f t="shared" si="10"/>
        <v>-880225.49502286303</v>
      </c>
      <c r="N33" s="55">
        <f t="shared" si="11"/>
        <v>5077.8538194947523</v>
      </c>
      <c r="O33" s="55">
        <f t="shared" si="12"/>
        <v>-480225.49502286309</v>
      </c>
      <c r="P33" s="54" t="e">
        <f t="shared" si="13"/>
        <v>#DIV/0!</v>
      </c>
      <c r="Q33" s="54" t="e">
        <f t="shared" si="1"/>
        <v>#DIV/0!</v>
      </c>
      <c r="R33" s="93" t="e">
        <f t="shared" si="6"/>
        <v>#DIV/0!</v>
      </c>
      <c r="S33" s="78">
        <f t="shared" si="2"/>
        <v>9</v>
      </c>
      <c r="T33" s="31"/>
      <c r="U33" s="5"/>
      <c r="V33" s="5"/>
      <c r="W33" s="5"/>
      <c r="X33" s="1"/>
      <c r="Y33" s="1"/>
    </row>
    <row r="34" spans="1:25" ht="11.25" customHeight="1" x14ac:dyDescent="0.25">
      <c r="A34" s="29"/>
      <c r="B34" s="32"/>
      <c r="C34" s="66">
        <f t="shared" si="7"/>
        <v>10</v>
      </c>
      <c r="D34" s="33" t="str">
        <f t="shared" si="8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9"/>
        <v>5077.8538194947523</v>
      </c>
      <c r="M34" s="51">
        <f t="shared" si="10"/>
        <v>-881225.49502286303</v>
      </c>
      <c r="N34" s="55">
        <f t="shared" si="11"/>
        <v>5077.8538194947523</v>
      </c>
      <c r="O34" s="55">
        <f t="shared" si="12"/>
        <v>-481225.49502286309</v>
      </c>
      <c r="P34" s="54" t="e">
        <f t="shared" si="13"/>
        <v>#DIV/0!</v>
      </c>
      <c r="Q34" s="54" t="e">
        <f t="shared" si="1"/>
        <v>#DIV/0!</v>
      </c>
      <c r="R34" s="93" t="e">
        <f t="shared" si="6"/>
        <v>#DIV/0!</v>
      </c>
      <c r="S34" s="78">
        <f t="shared" si="2"/>
        <v>10</v>
      </c>
      <c r="T34" s="31"/>
      <c r="U34" s="5"/>
      <c r="V34" s="5"/>
      <c r="W34" s="5"/>
      <c r="X34" s="1"/>
      <c r="Y34" s="1"/>
    </row>
    <row r="35" spans="1:25" ht="11.25" customHeight="1" x14ac:dyDescent="0.25">
      <c r="A35" s="29"/>
      <c r="B35" s="32"/>
      <c r="C35" s="66">
        <f t="shared" si="7"/>
        <v>11</v>
      </c>
      <c r="D35" s="33" t="str">
        <f t="shared" si="8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9"/>
        <v>5077.8538194947523</v>
      </c>
      <c r="M35" s="51">
        <f t="shared" si="10"/>
        <v>-882225.49502286303</v>
      </c>
      <c r="N35" s="55">
        <f t="shared" si="11"/>
        <v>5077.8538194947523</v>
      </c>
      <c r="O35" s="55">
        <f t="shared" si="12"/>
        <v>-482225.49502286309</v>
      </c>
      <c r="P35" s="54" t="e">
        <f t="shared" si="13"/>
        <v>#DIV/0!</v>
      </c>
      <c r="Q35" s="54" t="e">
        <f t="shared" si="1"/>
        <v>#DIV/0!</v>
      </c>
      <c r="R35" s="93" t="e">
        <f t="shared" si="6"/>
        <v>#DIV/0!</v>
      </c>
      <c r="S35" s="78">
        <f t="shared" si="2"/>
        <v>11</v>
      </c>
      <c r="T35" s="31"/>
      <c r="U35" s="5"/>
      <c r="V35" s="5"/>
      <c r="W35" s="5"/>
    </row>
    <row r="36" spans="1:25" ht="11.25" customHeight="1" x14ac:dyDescent="0.25">
      <c r="A36" s="29"/>
      <c r="B36" s="32"/>
      <c r="C36" s="66">
        <f t="shared" si="7"/>
        <v>12</v>
      </c>
      <c r="D36" s="33" t="str">
        <f t="shared" si="8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9"/>
        <v>5077.8538194947523</v>
      </c>
      <c r="M36" s="51">
        <f t="shared" si="10"/>
        <v>-883225.49502286303</v>
      </c>
      <c r="N36" s="55">
        <f t="shared" si="11"/>
        <v>5077.8538194947523</v>
      </c>
      <c r="O36" s="55">
        <f t="shared" si="12"/>
        <v>-483225.49502286309</v>
      </c>
      <c r="P36" s="54" t="e">
        <f t="shared" si="13"/>
        <v>#DIV/0!</v>
      </c>
      <c r="Q36" s="54" t="e">
        <f t="shared" si="1"/>
        <v>#DIV/0!</v>
      </c>
      <c r="R36" s="93" t="e">
        <f t="shared" si="6"/>
        <v>#DIV/0!</v>
      </c>
      <c r="S36" s="78">
        <f t="shared" si="2"/>
        <v>12</v>
      </c>
      <c r="T36" s="31"/>
      <c r="U36" s="5"/>
      <c r="V36" s="5"/>
      <c r="W36" s="5"/>
    </row>
    <row r="37" spans="1:25" ht="11.25" customHeight="1" x14ac:dyDescent="0.25">
      <c r="A37" s="29"/>
      <c r="B37" s="32"/>
      <c r="C37" s="66">
        <f t="shared" si="7"/>
        <v>13</v>
      </c>
      <c r="D37" s="33" t="str">
        <f t="shared" si="8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9"/>
        <v>5077.8538194947523</v>
      </c>
      <c r="M37" s="51">
        <f t="shared" si="10"/>
        <v>-884225.49502286303</v>
      </c>
      <c r="N37" s="55">
        <f t="shared" si="11"/>
        <v>5077.8538194947523</v>
      </c>
      <c r="O37" s="55">
        <f t="shared" si="12"/>
        <v>-484225.49502286309</v>
      </c>
      <c r="P37" s="54" t="e">
        <f t="shared" si="13"/>
        <v>#DIV/0!</v>
      </c>
      <c r="Q37" s="54" t="e">
        <f t="shared" si="1"/>
        <v>#DIV/0!</v>
      </c>
      <c r="R37" s="93" t="e">
        <f t="shared" si="6"/>
        <v>#DIV/0!</v>
      </c>
      <c r="S37" s="78">
        <f t="shared" si="2"/>
        <v>13</v>
      </c>
      <c r="T37" s="31"/>
      <c r="U37" s="5"/>
      <c r="V37" s="5"/>
      <c r="W37" s="5"/>
    </row>
    <row r="38" spans="1:25" ht="11.25" customHeight="1" x14ac:dyDescent="0.25">
      <c r="A38" s="29"/>
      <c r="B38" s="32"/>
      <c r="C38" s="66">
        <f t="shared" si="7"/>
        <v>0</v>
      </c>
      <c r="D38" s="33" t="str">
        <f t="shared" si="8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9"/>
        <v>0</v>
      </c>
      <c r="M38" s="51">
        <f t="shared" si="10"/>
        <v>0</v>
      </c>
      <c r="N38" s="55">
        <f t="shared" si="11"/>
        <v>0</v>
      </c>
      <c r="O38" s="55">
        <f t="shared" si="12"/>
        <v>0</v>
      </c>
      <c r="P38" s="54" t="e">
        <f t="shared" si="13"/>
        <v>#DIV/0!</v>
      </c>
      <c r="Q38" s="54" t="e">
        <f t="shared" si="1"/>
        <v>#DIV/0!</v>
      </c>
      <c r="R38" s="93" t="e">
        <f t="shared" si="6"/>
        <v>#DIV/0!</v>
      </c>
      <c r="S38" s="78">
        <f t="shared" si="2"/>
        <v>0</v>
      </c>
      <c r="T38" s="31"/>
      <c r="U38" s="5"/>
      <c r="V38" s="5"/>
      <c r="W38" s="5"/>
    </row>
    <row r="39" spans="1:25" ht="11.25" customHeight="1" x14ac:dyDescent="0.25">
      <c r="A39" s="29"/>
      <c r="B39" s="32"/>
      <c r="C39" s="66">
        <f t="shared" si="7"/>
        <v>0</v>
      </c>
      <c r="D39" s="33" t="str">
        <f t="shared" si="8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9"/>
        <v>0</v>
      </c>
      <c r="M39" s="51">
        <f t="shared" si="10"/>
        <v>0</v>
      </c>
      <c r="N39" s="55">
        <f t="shared" si="11"/>
        <v>0</v>
      </c>
      <c r="O39" s="55">
        <f t="shared" si="12"/>
        <v>0</v>
      </c>
      <c r="P39" s="54" t="e">
        <f t="shared" si="13"/>
        <v>#DIV/0!</v>
      </c>
      <c r="Q39" s="54" t="e">
        <f t="shared" si="1"/>
        <v>#DIV/0!</v>
      </c>
      <c r="R39" s="93" t="e">
        <f t="shared" si="6"/>
        <v>#DIV/0!</v>
      </c>
      <c r="S39" s="78">
        <f t="shared" si="2"/>
        <v>0</v>
      </c>
      <c r="T39" s="31"/>
      <c r="U39" s="5"/>
      <c r="V39" s="5"/>
      <c r="W39" s="5"/>
    </row>
    <row r="40" spans="1:25" ht="11.25" customHeight="1" x14ac:dyDescent="0.25">
      <c r="A40" s="29"/>
      <c r="B40" s="32"/>
      <c r="C40" s="66">
        <f t="shared" si="7"/>
        <v>0</v>
      </c>
      <c r="D40" s="33" t="str">
        <f t="shared" si="8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9"/>
        <v>0</v>
      </c>
      <c r="M40" s="51">
        <f t="shared" si="10"/>
        <v>0</v>
      </c>
      <c r="N40" s="55">
        <f t="shared" si="11"/>
        <v>0</v>
      </c>
      <c r="O40" s="55">
        <f t="shared" si="12"/>
        <v>0</v>
      </c>
      <c r="P40" s="54" t="e">
        <f t="shared" si="13"/>
        <v>#DIV/0!</v>
      </c>
      <c r="Q40" s="54" t="e">
        <f t="shared" si="1"/>
        <v>#DIV/0!</v>
      </c>
      <c r="R40" s="93" t="e">
        <f t="shared" si="6"/>
        <v>#DIV/0!</v>
      </c>
      <c r="S40" s="78">
        <f t="shared" si="2"/>
        <v>0</v>
      </c>
      <c r="T40" s="31"/>
      <c r="U40" s="5"/>
      <c r="V40" s="5"/>
      <c r="W40" s="5"/>
    </row>
    <row r="41" spans="1:25" ht="11.25" customHeight="1" x14ac:dyDescent="0.25">
      <c r="A41" s="29"/>
      <c r="B41" s="32"/>
      <c r="C41" s="66">
        <f t="shared" si="7"/>
        <v>0</v>
      </c>
      <c r="D41" s="33" t="str">
        <f t="shared" si="8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9"/>
        <v>0</v>
      </c>
      <c r="M41" s="51">
        <f t="shared" si="10"/>
        <v>0</v>
      </c>
      <c r="N41" s="55">
        <f t="shared" si="11"/>
        <v>0</v>
      </c>
      <c r="O41" s="55">
        <f t="shared" si="12"/>
        <v>0</v>
      </c>
      <c r="P41" s="54" t="e">
        <f t="shared" si="13"/>
        <v>#DIV/0!</v>
      </c>
      <c r="Q41" s="54" t="e">
        <f t="shared" si="1"/>
        <v>#DIV/0!</v>
      </c>
      <c r="R41" s="93" t="e">
        <f t="shared" si="6"/>
        <v>#DIV/0!</v>
      </c>
      <c r="S41" s="78">
        <f t="shared" si="2"/>
        <v>0</v>
      </c>
      <c r="T41" s="31"/>
      <c r="U41" s="5"/>
      <c r="V41" s="5"/>
      <c r="W41" s="5"/>
    </row>
    <row r="42" spans="1:25" ht="11.25" customHeight="1" x14ac:dyDescent="0.25">
      <c r="A42" s="29"/>
      <c r="B42" s="32"/>
      <c r="C42" s="66">
        <f t="shared" si="7"/>
        <v>0</v>
      </c>
      <c r="D42" s="33" t="str">
        <f t="shared" si="8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9"/>
        <v>0</v>
      </c>
      <c r="M42" s="51">
        <f t="shared" si="10"/>
        <v>0</v>
      </c>
      <c r="N42" s="55">
        <f t="shared" si="11"/>
        <v>0</v>
      </c>
      <c r="O42" s="55">
        <f t="shared" si="12"/>
        <v>0</v>
      </c>
      <c r="P42" s="54" t="e">
        <f t="shared" si="13"/>
        <v>#DIV/0!</v>
      </c>
      <c r="Q42" s="54" t="e">
        <f t="shared" si="1"/>
        <v>#DIV/0!</v>
      </c>
      <c r="R42" s="93" t="e">
        <f t="shared" si="6"/>
        <v>#DIV/0!</v>
      </c>
      <c r="S42" s="78">
        <f t="shared" si="2"/>
        <v>0</v>
      </c>
      <c r="T42" s="31"/>
      <c r="U42" s="5"/>
      <c r="V42" s="5"/>
      <c r="W42" s="5"/>
    </row>
    <row r="43" spans="1:25" ht="11.25" customHeight="1" x14ac:dyDescent="0.25">
      <c r="A43" s="29"/>
      <c r="B43" s="32"/>
      <c r="C43" s="66">
        <f t="shared" si="7"/>
        <v>0</v>
      </c>
      <c r="D43" s="33" t="str">
        <f t="shared" si="8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9"/>
        <v>0</v>
      </c>
      <c r="M43" s="51">
        <f t="shared" si="10"/>
        <v>0</v>
      </c>
      <c r="N43" s="55">
        <f t="shared" si="11"/>
        <v>0</v>
      </c>
      <c r="O43" s="55">
        <f t="shared" si="12"/>
        <v>0</v>
      </c>
      <c r="P43" s="54" t="e">
        <f t="shared" si="13"/>
        <v>#DIV/0!</v>
      </c>
      <c r="Q43" s="54" t="e">
        <f t="shared" si="1"/>
        <v>#DIV/0!</v>
      </c>
      <c r="R43" s="93" t="e">
        <f t="shared" si="6"/>
        <v>#DIV/0!</v>
      </c>
      <c r="S43" s="78">
        <f t="shared" si="2"/>
        <v>0</v>
      </c>
      <c r="T43" s="31"/>
      <c r="U43" s="5"/>
      <c r="V43" s="5"/>
      <c r="W43" s="5"/>
    </row>
    <row r="44" spans="1:25" ht="11.25" customHeight="1" x14ac:dyDescent="0.25">
      <c r="A44" s="29"/>
      <c r="B44" s="32"/>
      <c r="C44" s="66">
        <f t="shared" si="7"/>
        <v>0</v>
      </c>
      <c r="D44" s="33" t="str">
        <f t="shared" si="8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9"/>
        <v>0</v>
      </c>
      <c r="M44" s="51">
        <f t="shared" si="10"/>
        <v>0</v>
      </c>
      <c r="N44" s="55">
        <f t="shared" si="11"/>
        <v>0</v>
      </c>
      <c r="O44" s="55">
        <f t="shared" si="12"/>
        <v>0</v>
      </c>
      <c r="P44" s="54" t="e">
        <f t="shared" si="13"/>
        <v>#DIV/0!</v>
      </c>
      <c r="Q44" s="54" t="e">
        <f t="shared" si="1"/>
        <v>#DIV/0!</v>
      </c>
      <c r="R44" s="93" t="e">
        <f t="shared" si="6"/>
        <v>#DIV/0!</v>
      </c>
      <c r="S44" s="78">
        <f t="shared" si="2"/>
        <v>0</v>
      </c>
      <c r="T44" s="31"/>
      <c r="U44" s="5"/>
      <c r="V44" s="5"/>
      <c r="W44" s="5"/>
    </row>
    <row r="45" spans="1:25" ht="11.25" customHeight="1" x14ac:dyDescent="0.25">
      <c r="A45" s="29"/>
      <c r="B45" s="32"/>
      <c r="C45" s="67">
        <f t="shared" si="7"/>
        <v>0</v>
      </c>
      <c r="D45" s="33" t="str">
        <f t="shared" si="8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9"/>
        <v>0</v>
      </c>
      <c r="M45" s="51">
        <f t="shared" si="10"/>
        <v>0</v>
      </c>
      <c r="N45" s="55">
        <f t="shared" si="11"/>
        <v>0</v>
      </c>
      <c r="O45" s="55">
        <f t="shared" si="12"/>
        <v>0</v>
      </c>
      <c r="P45" s="54" t="e">
        <f t="shared" si="13"/>
        <v>#DIV/0!</v>
      </c>
      <c r="Q45" s="54" t="e">
        <f t="shared" si="1"/>
        <v>#DIV/0!</v>
      </c>
      <c r="R45" s="93" t="e">
        <f t="shared" si="6"/>
        <v>#DIV/0!</v>
      </c>
      <c r="S45" s="78">
        <f t="shared" si="2"/>
        <v>0</v>
      </c>
      <c r="T45" s="31"/>
      <c r="U45" s="5"/>
      <c r="V45" s="5"/>
      <c r="W45" s="5"/>
    </row>
    <row r="46" spans="1:25" ht="11.25" customHeight="1" x14ac:dyDescent="0.25">
      <c r="A46" s="29"/>
      <c r="B46" s="32"/>
      <c r="C46" s="66">
        <f t="shared" si="7"/>
        <v>0</v>
      </c>
      <c r="D46" s="33" t="str">
        <f t="shared" si="8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9"/>
        <v>0</v>
      </c>
      <c r="M46" s="51">
        <f t="shared" si="10"/>
        <v>0</v>
      </c>
      <c r="N46" s="55">
        <f t="shared" si="11"/>
        <v>0</v>
      </c>
      <c r="O46" s="55">
        <f t="shared" si="12"/>
        <v>0</v>
      </c>
      <c r="P46" s="54" t="e">
        <f t="shared" si="13"/>
        <v>#DIV/0!</v>
      </c>
      <c r="Q46" s="54" t="e">
        <f t="shared" si="1"/>
        <v>#DIV/0!</v>
      </c>
      <c r="R46" s="93" t="e">
        <f t="shared" si="6"/>
        <v>#DIV/0!</v>
      </c>
      <c r="S46" s="78">
        <f t="shared" si="2"/>
        <v>0</v>
      </c>
      <c r="T46" s="31"/>
      <c r="U46" s="5"/>
      <c r="V46" s="5"/>
      <c r="W46" s="5"/>
    </row>
    <row r="47" spans="1:25" ht="11.25" customHeight="1" x14ac:dyDescent="0.25">
      <c r="A47" s="29"/>
      <c r="B47" s="32"/>
      <c r="C47" s="66">
        <f t="shared" si="7"/>
        <v>0</v>
      </c>
      <c r="D47" s="33" t="str">
        <f t="shared" si="8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9"/>
        <v>0</v>
      </c>
      <c r="M47" s="51">
        <f t="shared" si="10"/>
        <v>0</v>
      </c>
      <c r="N47" s="55">
        <f t="shared" si="11"/>
        <v>0</v>
      </c>
      <c r="O47" s="55">
        <f t="shared" si="12"/>
        <v>0</v>
      </c>
      <c r="P47" s="54" t="e">
        <f t="shared" si="13"/>
        <v>#DIV/0!</v>
      </c>
      <c r="Q47" s="54" t="e">
        <f t="shared" si="1"/>
        <v>#DIV/0!</v>
      </c>
      <c r="R47" s="93" t="e">
        <f t="shared" si="6"/>
        <v>#DIV/0!</v>
      </c>
      <c r="S47" s="78">
        <f t="shared" si="2"/>
        <v>0</v>
      </c>
      <c r="T47" s="31"/>
      <c r="U47" s="5"/>
      <c r="V47" s="5"/>
      <c r="W47" s="5"/>
    </row>
    <row r="48" spans="1:25" ht="11.25" customHeight="1" x14ac:dyDescent="0.25">
      <c r="A48" s="29"/>
      <c r="B48" s="32"/>
      <c r="C48" s="66">
        <f t="shared" si="7"/>
        <v>0</v>
      </c>
      <c r="D48" s="33" t="str">
        <f t="shared" si="8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9"/>
        <v>0</v>
      </c>
      <c r="M48" s="51">
        <f t="shared" si="10"/>
        <v>0</v>
      </c>
      <c r="N48" s="55">
        <f t="shared" si="11"/>
        <v>0</v>
      </c>
      <c r="O48" s="55">
        <f t="shared" si="12"/>
        <v>0</v>
      </c>
      <c r="P48" s="54" t="e">
        <f t="shared" si="13"/>
        <v>#DIV/0!</v>
      </c>
      <c r="Q48" s="54" t="e">
        <f t="shared" si="1"/>
        <v>#DIV/0!</v>
      </c>
      <c r="R48" s="93" t="e">
        <f t="shared" si="6"/>
        <v>#DIV/0!</v>
      </c>
      <c r="S48" s="78">
        <f t="shared" si="2"/>
        <v>0</v>
      </c>
      <c r="T48" s="31"/>
      <c r="U48" s="5"/>
      <c r="V48" s="5"/>
      <c r="W48" s="5"/>
    </row>
    <row r="49" spans="1:25" s="39" customFormat="1" x14ac:dyDescent="0.25">
      <c r="A49" s="59"/>
      <c r="B49" s="60"/>
      <c r="E49" s="61">
        <f>SUM(E25:E48)</f>
        <v>0</v>
      </c>
      <c r="F49" s="61">
        <f>SUM(F25:F48)</f>
        <v>520.80551994817972</v>
      </c>
      <c r="G49" s="61">
        <f>SUM(G25:G48)</f>
        <v>913000</v>
      </c>
      <c r="H49" s="61">
        <f>SUM(H25:H48)</f>
        <v>513000</v>
      </c>
      <c r="I49" s="62"/>
      <c r="J49" s="62"/>
      <c r="K49" s="63">
        <f>SUM(K25:K48)</f>
        <v>33852.358796631685</v>
      </c>
      <c r="L49" s="63">
        <f>MAX(L25:L48)</f>
        <v>5077.8538194947523</v>
      </c>
      <c r="M49" s="63">
        <f>MAX(M25:M48)</f>
        <v>0</v>
      </c>
      <c r="N49" s="63">
        <f>MAX(N25:N48)</f>
        <v>5077.8538194947523</v>
      </c>
      <c r="O49" s="63">
        <f>MAX(O25:O48)</f>
        <v>0</v>
      </c>
      <c r="R49" s="94" t="e">
        <f>SUM(R25:R48)</f>
        <v>#DIV/0!</v>
      </c>
      <c r="S49" s="90"/>
      <c r="T49" s="64"/>
      <c r="X49" s="64"/>
      <c r="Y49" s="64"/>
    </row>
    <row r="50" spans="1:25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5" x14ac:dyDescent="0.25">
      <c r="B51" s="4"/>
      <c r="C51" s="39" t="s">
        <v>9</v>
      </c>
      <c r="D51" s="34"/>
      <c r="E51" s="34"/>
      <c r="F51" s="8"/>
      <c r="G51" s="77"/>
      <c r="H51" s="9"/>
      <c r="I51" s="35"/>
      <c r="K51" s="162" t="s">
        <v>89</v>
      </c>
      <c r="L51" s="162"/>
      <c r="P51" s="80"/>
      <c r="S51" s="88"/>
    </row>
    <row r="52" spans="1:25" x14ac:dyDescent="0.25">
      <c r="B52" s="4"/>
      <c r="D52" s="163" t="s">
        <v>48</v>
      </c>
      <c r="E52" s="163"/>
      <c r="F52" s="163"/>
      <c r="G52" s="68">
        <f>L49*0.75</f>
        <v>3808.3903646210642</v>
      </c>
      <c r="H52" s="36">
        <f>G52/SUM(L49:M49)</f>
        <v>0.75</v>
      </c>
      <c r="I52" s="9"/>
      <c r="K52" s="1">
        <v>1</v>
      </c>
      <c r="L52" s="1" t="s">
        <v>92</v>
      </c>
      <c r="P52" s="80"/>
      <c r="S52" s="88"/>
    </row>
    <row r="53" spans="1:25" x14ac:dyDescent="0.25">
      <c r="B53" s="4"/>
      <c r="D53" s="165" t="s">
        <v>49</v>
      </c>
      <c r="E53" s="165"/>
      <c r="F53" s="165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5" x14ac:dyDescent="0.25">
      <c r="B54" s="4"/>
      <c r="D54" s="163" t="s">
        <v>50</v>
      </c>
      <c r="E54" s="163"/>
      <c r="F54" s="163"/>
      <c r="G54" s="68">
        <f>SUM(G52:G53)</f>
        <v>3808.3903646210642</v>
      </c>
      <c r="H54" s="36">
        <f>SUM(H52:H53)</f>
        <v>0.75</v>
      </c>
      <c r="I54" s="9"/>
      <c r="K54" s="1">
        <v>3</v>
      </c>
      <c r="L54" s="1" t="s">
        <v>90</v>
      </c>
      <c r="M54" s="35"/>
      <c r="P54" s="80"/>
      <c r="S54" s="88"/>
    </row>
    <row r="55" spans="1:25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5" x14ac:dyDescent="0.25">
      <c r="B56" s="4"/>
      <c r="D56" s="165" t="s">
        <v>51</v>
      </c>
      <c r="E56" s="165"/>
      <c r="F56" s="165"/>
      <c r="G56" s="69">
        <f>M49+L49*0.25</f>
        <v>1269.4634548736881</v>
      </c>
      <c r="H56" s="37">
        <f>G56/SUM(L49:M49)</f>
        <v>0.25</v>
      </c>
      <c r="I56" s="9"/>
      <c r="K56" s="1">
        <v>5</v>
      </c>
      <c r="L56" s="1" t="s">
        <v>47</v>
      </c>
      <c r="S56" s="88"/>
    </row>
    <row r="57" spans="1:25" x14ac:dyDescent="0.25">
      <c r="B57" s="4"/>
      <c r="D57" s="163" t="s">
        <v>52</v>
      </c>
      <c r="E57" s="163"/>
      <c r="F57" s="163"/>
      <c r="G57" s="70">
        <f>SUM(G56)</f>
        <v>1269.4634548736881</v>
      </c>
      <c r="H57" s="38">
        <f>SUM(H56)</f>
        <v>0.25</v>
      </c>
      <c r="I57" s="9"/>
      <c r="K57" s="1">
        <v>6</v>
      </c>
      <c r="L57" s="1" t="s">
        <v>93</v>
      </c>
      <c r="S57" s="88"/>
    </row>
    <row r="58" spans="1:25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5" x14ac:dyDescent="0.25">
      <c r="B59" s="4"/>
      <c r="C59" s="39" t="s">
        <v>107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5" x14ac:dyDescent="0.25">
      <c r="B60" s="4"/>
      <c r="D60" s="164" t="s">
        <v>54</v>
      </c>
      <c r="E60" s="164"/>
      <c r="F60" s="164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5" x14ac:dyDescent="0.25">
      <c r="B61" s="4"/>
      <c r="D61" s="164" t="s">
        <v>55</v>
      </c>
      <c r="E61" s="164"/>
      <c r="F61" s="164"/>
      <c r="G61" s="71">
        <f>NPV($K$19,L49)</f>
        <v>4616.2307449952286</v>
      </c>
      <c r="H61" s="71">
        <f>NPV($K$19,M49)</f>
        <v>0</v>
      </c>
      <c r="I61" s="9"/>
      <c r="K61" s="1">
        <v>10</v>
      </c>
      <c r="L61" s="1" t="s">
        <v>94</v>
      </c>
      <c r="S61" s="88"/>
    </row>
    <row r="62" spans="1:25" x14ac:dyDescent="0.25">
      <c r="B62" s="4"/>
      <c r="I62" s="9"/>
      <c r="K62" s="1">
        <v>11</v>
      </c>
      <c r="L62" s="1" t="s">
        <v>95</v>
      </c>
      <c r="S62" s="88"/>
    </row>
    <row r="63" spans="1:25" x14ac:dyDescent="0.25">
      <c r="B63" s="4"/>
      <c r="I63" s="9"/>
      <c r="K63" s="1">
        <v>12</v>
      </c>
      <c r="L63" s="1" t="s">
        <v>96</v>
      </c>
      <c r="S63" s="88"/>
    </row>
    <row r="64" spans="1:25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8">
    <mergeCell ref="C15:E15"/>
    <mergeCell ref="B2:S2"/>
    <mergeCell ref="C6:E6"/>
    <mergeCell ref="C12:E12"/>
    <mergeCell ref="C13:E13"/>
    <mergeCell ref="C14:E14"/>
    <mergeCell ref="C18:E18"/>
    <mergeCell ref="C19:E19"/>
    <mergeCell ref="C20:E20"/>
    <mergeCell ref="C21:C23"/>
    <mergeCell ref="D21:D23"/>
    <mergeCell ref="E21:F21"/>
    <mergeCell ref="D57:F57"/>
    <mergeCell ref="D60:F60"/>
    <mergeCell ref="D61:F61"/>
    <mergeCell ref="N21:O21"/>
    <mergeCell ref="P21:R21"/>
    <mergeCell ref="D52:F52"/>
    <mergeCell ref="D53:F53"/>
    <mergeCell ref="D54:F54"/>
    <mergeCell ref="K21:K22"/>
    <mergeCell ref="L21:M21"/>
    <mergeCell ref="K51:L51"/>
    <mergeCell ref="D56:F56"/>
    <mergeCell ref="G21:G22"/>
    <mergeCell ref="H21:H22"/>
    <mergeCell ref="I21:I22"/>
    <mergeCell ref="J21:J22"/>
  </mergeCells>
  <printOptions horizontalCentered="1"/>
  <pageMargins left="0.2" right="0.2" top="0.25" bottom="0.25" header="0" footer="0"/>
  <pageSetup paperSize="9" scale="7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6516-EEF0-4F40-9E88-091167439586}">
  <sheetPr>
    <pageSetUpPr fitToPage="1"/>
  </sheetPr>
  <dimension ref="A1:X69"/>
  <sheetViews>
    <sheetView view="pageBreakPreview" topLeftCell="A10" zoomScaleNormal="130" zoomScaleSheetLayoutView="100" workbookViewId="0">
      <selection activeCell="P27" sqref="P27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0" style="2" bestFit="1" customWidth="1"/>
    <col min="7" max="8" width="11.85546875" style="3" customWidth="1"/>
    <col min="9" max="9" width="9.140625" style="3"/>
    <col min="10" max="10" width="9.140625" style="1"/>
    <col min="11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2.5703125" style="1" bestFit="1" customWidth="1"/>
    <col min="21" max="21" width="9.140625" style="1"/>
    <col min="22" max="22" width="12.7109375" style="1" bestFit="1" customWidth="1"/>
    <col min="23" max="24" width="11.140625" style="3" bestFit="1" customWidth="1"/>
    <col min="25" max="25" width="10.7109375" style="1" bestFit="1" customWidth="1"/>
    <col min="26" max="16384" width="9.140625" style="1"/>
  </cols>
  <sheetData>
    <row r="1" spans="2:19" ht="12" thickBot="1" x14ac:dyDescent="0.3"/>
    <row r="2" spans="2:19" ht="57" customHeight="1" x14ac:dyDescent="0.25">
      <c r="B2" s="174" t="s">
        <v>121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1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65</v>
      </c>
      <c r="R5" s="5"/>
      <c r="S5" s="86"/>
    </row>
    <row r="6" spans="2:19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73" t="s">
        <v>33</v>
      </c>
      <c r="D13" s="173"/>
      <c r="E13" s="173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10127.518691736792</v>
      </c>
      <c r="N13" s="17" t="s">
        <v>23</v>
      </c>
      <c r="P13" s="18"/>
      <c r="Q13" s="16"/>
      <c r="S13" s="88"/>
    </row>
    <row r="14" spans="2:19" x14ac:dyDescent="0.25">
      <c r="B14" s="4"/>
      <c r="C14" s="173" t="s">
        <v>28</v>
      </c>
      <c r="D14" s="173"/>
      <c r="E14" s="173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73" t="s">
        <v>29</v>
      </c>
      <c r="D15" s="173"/>
      <c r="E15" s="173"/>
      <c r="F15" s="16">
        <v>400000</v>
      </c>
      <c r="G15" s="106">
        <v>0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4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4" x14ac:dyDescent="0.25">
      <c r="B18" s="4"/>
      <c r="C18" s="163" t="s">
        <v>58</v>
      </c>
      <c r="D18" s="163"/>
      <c r="E18" s="163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0.55000000000000004</v>
      </c>
      <c r="N18" s="10" t="s">
        <v>105</v>
      </c>
      <c r="O18" s="98" cm="1">
        <f t="array" ref="O18">VLOOKUP(MIN(IF(L25:L48&gt;0,L25:L48)),$L$25:$S$48,8,FALSE)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4" x14ac:dyDescent="0.25">
      <c r="B19" s="4"/>
      <c r="C19" s="163" t="s">
        <v>30</v>
      </c>
      <c r="D19" s="163"/>
      <c r="E19" s="163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0.65</v>
      </c>
      <c r="N19" s="10" t="s">
        <v>111</v>
      </c>
      <c r="O19" s="98" cm="1">
        <f t="array" ref="O19">VLOOKUP(MIN(IF(N25:N48&gt;0,N25:N48)),$N$25:$S$48,6,FALSE)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4" x14ac:dyDescent="0.25">
      <c r="B20" s="4"/>
      <c r="C20" s="163" t="s">
        <v>34</v>
      </c>
      <c r="D20" s="163"/>
      <c r="E20" s="163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4" s="26" customFormat="1" ht="11.25" customHeight="1" x14ac:dyDescent="0.25">
      <c r="B21" s="27"/>
      <c r="C21" s="170" t="s">
        <v>31</v>
      </c>
      <c r="D21" s="170" t="s">
        <v>32</v>
      </c>
      <c r="E21" s="171" t="s">
        <v>46</v>
      </c>
      <c r="F21" s="172"/>
      <c r="G21" s="168" t="s">
        <v>47</v>
      </c>
      <c r="H21" s="168" t="s">
        <v>72</v>
      </c>
      <c r="I21" s="166" t="s">
        <v>7</v>
      </c>
      <c r="J21" s="166" t="s">
        <v>2</v>
      </c>
      <c r="K21" s="166" t="s">
        <v>43</v>
      </c>
      <c r="L21" s="171" t="s">
        <v>70</v>
      </c>
      <c r="M21" s="172"/>
      <c r="N21" s="171" t="s">
        <v>71</v>
      </c>
      <c r="O21" s="172"/>
      <c r="P21" s="182" t="s">
        <v>112</v>
      </c>
      <c r="Q21" s="182"/>
      <c r="R21" s="182"/>
      <c r="S21" s="89"/>
      <c r="W21" s="28"/>
      <c r="X21" s="28"/>
    </row>
    <row r="22" spans="1:24" s="5" customFormat="1" ht="11.25" customHeight="1" x14ac:dyDescent="0.25">
      <c r="A22" s="29"/>
      <c r="B22" s="30"/>
      <c r="C22" s="170"/>
      <c r="D22" s="170"/>
      <c r="E22" s="81" t="s">
        <v>0</v>
      </c>
      <c r="F22" s="56" t="s">
        <v>1</v>
      </c>
      <c r="G22" s="169"/>
      <c r="H22" s="169"/>
      <c r="I22" s="167"/>
      <c r="J22" s="167"/>
      <c r="K22" s="167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W22" s="31"/>
      <c r="X22" s="31"/>
    </row>
    <row r="23" spans="1:24" s="5" customFormat="1" ht="11.25" customHeight="1" x14ac:dyDescent="0.25">
      <c r="A23" s="29"/>
      <c r="B23" s="30"/>
      <c r="C23" s="170"/>
      <c r="D23" s="170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W23" s="31"/>
      <c r="X23" s="31"/>
    </row>
    <row r="24" spans="1:24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W24" s="31"/>
      <c r="X24" s="31"/>
    </row>
    <row r="25" spans="1:24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520.80551994817972</v>
      </c>
      <c r="G25" s="53">
        <f>IF(C25&lt;&gt;0,IF(C25=1,$F$13+$F$14*$G$14+$F$15,$F$13*$G$13+$F$14*$G$14+$F$15*$G$15),0)</f>
        <v>901000</v>
      </c>
      <c r="H25" s="58">
        <f>IF(C25&lt;&gt;0,IF(C25=1,$F$13+$F$14*$G$14,$F$13*$G$13+$F$14*$G$14),0)</f>
        <v>501000</v>
      </c>
      <c r="I25" s="52">
        <v>65</v>
      </c>
      <c r="J25" s="52">
        <v>2.5</v>
      </c>
      <c r="K25" s="51">
        <f>F25*I25+E25*J25*1000</f>
        <v>33852.358796631685</v>
      </c>
      <c r="L25" s="51">
        <f>IF(C25&lt;&gt;0,K25*$M$18-G25,0)</f>
        <v>-882381.20266185259</v>
      </c>
      <c r="M25" s="51">
        <f>IF(C25&lt;&gt;0,K25*(1-$M$18),0)</f>
        <v>15233.561458484257</v>
      </c>
      <c r="N25" s="55">
        <f>IF(C25&lt;&gt;0,K25*$M$18-H25,0)</f>
        <v>-482381.20266185259</v>
      </c>
      <c r="O25" s="55">
        <f>IF(C25&lt;&gt;0,K25*(1-$M$18),0)</f>
        <v>15233.561458484257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IF(N25&lt;0,0,Q25*$F$15)</f>
        <v>0</v>
      </c>
      <c r="S25" s="78">
        <f t="shared" ref="S25:S48" si="2">C25</f>
        <v>1</v>
      </c>
      <c r="T25" s="5"/>
      <c r="U25" s="5"/>
      <c r="V25" s="5"/>
    </row>
    <row r="26" spans="1:24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IF(C26&lt;&gt;0,IF(C26=1,$F$13+$F$14*$G$14+$F$15,$F$13*$G$13+$F$14*$G$14+$F$15*$G$15),0)</f>
        <v>1000</v>
      </c>
      <c r="H26" s="58">
        <f t="shared" ref="H26:H48" si="4">IF(C26&lt;&gt;0,IF(C26=1,$F$13+$F$14*$G$14,$F$13*$G$13+$F$14*$G$14),0)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IF(C26&lt;&gt;0,K26*$M$18+L25-G26,0)</f>
        <v>-883381.20266185259</v>
      </c>
      <c r="M26" s="51">
        <f>IF(C26&lt;&gt;0,K26*(1-$M$18)+M25,0)</f>
        <v>15233.561458484257</v>
      </c>
      <c r="N26" s="55">
        <f>IF(C26&lt;&gt;0,K26*$M$18-H26+N25,0)</f>
        <v>-483381.20266185259</v>
      </c>
      <c r="O26" s="55">
        <f>IF(C26&lt;&gt;0,K26*(1-$M$18)+O25,0)</f>
        <v>15233.561458484257</v>
      </c>
      <c r="P26" s="54" t="e">
        <f>IF(F26/$Q$18+P25&gt;1,1,F26/$Q$18+P25)</f>
        <v>#DIV/0!</v>
      </c>
      <c r="Q26" s="54" t="e">
        <f t="shared" si="1"/>
        <v>#DIV/0!</v>
      </c>
      <c r="R26" s="93" t="e">
        <f t="shared" ref="R26:R48" si="6">IF(Q25=1,0,IF(C26&lt;$O$19,0,IF(R25=0,Q26*$F$15,(Q26-Q25)*$F$15)))</f>
        <v>#DIV/0!</v>
      </c>
      <c r="S26" s="78">
        <f t="shared" si="2"/>
        <v>2</v>
      </c>
      <c r="T26" s="5"/>
      <c r="U26" s="5"/>
      <c r="V26" s="5"/>
    </row>
    <row r="27" spans="1:24" ht="11.25" customHeight="1" x14ac:dyDescent="0.25">
      <c r="A27" s="29"/>
      <c r="B27" s="32"/>
      <c r="C27" s="66">
        <f t="shared" ref="C27:C48" si="7">IF(AND(C26&lt;$F$19,C26&lt;&gt;0),C26+1,0)</f>
        <v>3</v>
      </c>
      <c r="D27" s="33" t="str">
        <f t="shared" ref="D27:D48" si="8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9">IF(C27&lt;&gt;0,K27*$M$18+L26-G27,0)</f>
        <v>-884381.20266185259</v>
      </c>
      <c r="M27" s="51">
        <f t="shared" ref="M27:M48" si="10">IF(C27&lt;&gt;0,K27*(1-$M$18)+M26,0)</f>
        <v>15233.561458484257</v>
      </c>
      <c r="N27" s="55">
        <f t="shared" ref="N27:N48" si="11">IF(C27&lt;&gt;0,K27*$M$18-H27+N26,0)</f>
        <v>-484381.20266185259</v>
      </c>
      <c r="O27" s="55">
        <f t="shared" ref="O27:O48" si="12">IF(C27&lt;&gt;0,K27*(1-$M$18)+O26,0)</f>
        <v>15233.561458484257</v>
      </c>
      <c r="P27" s="54" t="e">
        <f t="shared" ref="P27:P48" si="13">IF(F27/$Q$18+P26&gt;1,1,F27/$Q$18+P26)</f>
        <v>#DIV/0!</v>
      </c>
      <c r="Q27" s="54" t="e">
        <f t="shared" si="1"/>
        <v>#DIV/0!</v>
      </c>
      <c r="R27" s="93" t="e">
        <f t="shared" si="6"/>
        <v>#DIV/0!</v>
      </c>
      <c r="S27" s="78">
        <f t="shared" si="2"/>
        <v>3</v>
      </c>
      <c r="T27" s="5"/>
      <c r="U27" s="5"/>
      <c r="V27" s="5"/>
    </row>
    <row r="28" spans="1:24" ht="11.25" customHeight="1" x14ac:dyDescent="0.25">
      <c r="A28" s="29"/>
      <c r="B28" s="32"/>
      <c r="C28" s="66">
        <f t="shared" si="7"/>
        <v>4</v>
      </c>
      <c r="D28" s="33" t="str">
        <f t="shared" si="8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9"/>
        <v>-885381.20266185259</v>
      </c>
      <c r="M28" s="51">
        <f t="shared" si="10"/>
        <v>15233.561458484257</v>
      </c>
      <c r="N28" s="55">
        <f t="shared" si="11"/>
        <v>-485381.20266185259</v>
      </c>
      <c r="O28" s="55">
        <f t="shared" si="12"/>
        <v>15233.561458484257</v>
      </c>
      <c r="P28" s="54" t="e">
        <f t="shared" si="13"/>
        <v>#DIV/0!</v>
      </c>
      <c r="Q28" s="54" t="e">
        <f t="shared" si="1"/>
        <v>#DIV/0!</v>
      </c>
      <c r="R28" s="93" t="e">
        <f t="shared" si="6"/>
        <v>#DIV/0!</v>
      </c>
      <c r="S28" s="78">
        <f t="shared" si="2"/>
        <v>4</v>
      </c>
      <c r="T28" s="5"/>
      <c r="U28" s="5"/>
      <c r="V28" s="5"/>
    </row>
    <row r="29" spans="1:24" ht="11.25" customHeight="1" x14ac:dyDescent="0.25">
      <c r="A29" s="29"/>
      <c r="B29" s="32"/>
      <c r="C29" s="66">
        <f t="shared" si="7"/>
        <v>5</v>
      </c>
      <c r="D29" s="33" t="str">
        <f t="shared" si="8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9"/>
        <v>-886381.20266185259</v>
      </c>
      <c r="M29" s="51">
        <f t="shared" si="10"/>
        <v>15233.561458484257</v>
      </c>
      <c r="N29" s="55">
        <f t="shared" si="11"/>
        <v>-486381.20266185259</v>
      </c>
      <c r="O29" s="55">
        <f t="shared" si="12"/>
        <v>15233.561458484257</v>
      </c>
      <c r="P29" s="54" t="e">
        <f t="shared" si="13"/>
        <v>#DIV/0!</v>
      </c>
      <c r="Q29" s="54" t="e">
        <f t="shared" si="1"/>
        <v>#DIV/0!</v>
      </c>
      <c r="R29" s="93" t="e">
        <f t="shared" si="6"/>
        <v>#DIV/0!</v>
      </c>
      <c r="S29" s="78">
        <f t="shared" si="2"/>
        <v>5</v>
      </c>
      <c r="T29" s="5"/>
      <c r="U29" s="5"/>
      <c r="V29" s="5"/>
    </row>
    <row r="30" spans="1:24" ht="11.25" customHeight="1" x14ac:dyDescent="0.25">
      <c r="A30" s="29"/>
      <c r="B30" s="32"/>
      <c r="C30" s="66">
        <f t="shared" si="7"/>
        <v>6</v>
      </c>
      <c r="D30" s="33" t="str">
        <f t="shared" si="8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9"/>
        <v>-887381.20266185259</v>
      </c>
      <c r="M30" s="51">
        <f t="shared" si="10"/>
        <v>15233.561458484257</v>
      </c>
      <c r="N30" s="55">
        <f t="shared" si="11"/>
        <v>-487381.20266185259</v>
      </c>
      <c r="O30" s="55">
        <f t="shared" si="12"/>
        <v>15233.561458484257</v>
      </c>
      <c r="P30" s="54" t="e">
        <f t="shared" si="13"/>
        <v>#DIV/0!</v>
      </c>
      <c r="Q30" s="54" t="e">
        <f t="shared" si="1"/>
        <v>#DIV/0!</v>
      </c>
      <c r="R30" s="93" t="e">
        <f t="shared" si="6"/>
        <v>#DIV/0!</v>
      </c>
      <c r="S30" s="78">
        <f t="shared" si="2"/>
        <v>6</v>
      </c>
      <c r="T30" s="5"/>
      <c r="U30" s="5"/>
      <c r="V30" s="5"/>
      <c r="W30" s="1"/>
      <c r="X30" s="1"/>
    </row>
    <row r="31" spans="1:24" ht="11.25" customHeight="1" x14ac:dyDescent="0.25">
      <c r="A31" s="29"/>
      <c r="B31" s="32"/>
      <c r="C31" s="66">
        <f t="shared" si="7"/>
        <v>7</v>
      </c>
      <c r="D31" s="33" t="str">
        <f t="shared" si="8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9"/>
        <v>-888381.20266185259</v>
      </c>
      <c r="M31" s="51">
        <f t="shared" si="10"/>
        <v>15233.561458484257</v>
      </c>
      <c r="N31" s="55">
        <f t="shared" si="11"/>
        <v>-488381.20266185259</v>
      </c>
      <c r="O31" s="55">
        <f t="shared" si="12"/>
        <v>15233.561458484257</v>
      </c>
      <c r="P31" s="54" t="e">
        <f t="shared" si="13"/>
        <v>#DIV/0!</v>
      </c>
      <c r="Q31" s="54" t="e">
        <f t="shared" si="1"/>
        <v>#DIV/0!</v>
      </c>
      <c r="R31" s="93" t="e">
        <f t="shared" si="6"/>
        <v>#DIV/0!</v>
      </c>
      <c r="S31" s="78">
        <f t="shared" si="2"/>
        <v>7</v>
      </c>
      <c r="T31" s="5"/>
      <c r="U31" s="5"/>
      <c r="V31" s="5"/>
      <c r="W31" s="1"/>
      <c r="X31" s="1"/>
    </row>
    <row r="32" spans="1:24" ht="11.25" customHeight="1" x14ac:dyDescent="0.25">
      <c r="A32" s="29"/>
      <c r="B32" s="32"/>
      <c r="C32" s="66">
        <f t="shared" si="7"/>
        <v>8</v>
      </c>
      <c r="D32" s="33" t="str">
        <f t="shared" si="8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9"/>
        <v>-889381.20266185259</v>
      </c>
      <c r="M32" s="51">
        <f t="shared" si="10"/>
        <v>15233.561458484257</v>
      </c>
      <c r="N32" s="55">
        <f t="shared" si="11"/>
        <v>-489381.20266185259</v>
      </c>
      <c r="O32" s="55">
        <f t="shared" si="12"/>
        <v>15233.561458484257</v>
      </c>
      <c r="P32" s="54" t="e">
        <f t="shared" si="13"/>
        <v>#DIV/0!</v>
      </c>
      <c r="Q32" s="54" t="e">
        <f t="shared" si="1"/>
        <v>#DIV/0!</v>
      </c>
      <c r="R32" s="93" t="e">
        <f t="shared" si="6"/>
        <v>#DIV/0!</v>
      </c>
      <c r="S32" s="78">
        <f t="shared" si="2"/>
        <v>8</v>
      </c>
      <c r="T32" s="5"/>
      <c r="U32" s="5"/>
      <c r="V32" s="5"/>
      <c r="W32" s="1"/>
      <c r="X32" s="1"/>
    </row>
    <row r="33" spans="1:24" ht="11.25" customHeight="1" x14ac:dyDescent="0.25">
      <c r="A33" s="29"/>
      <c r="B33" s="32"/>
      <c r="C33" s="66">
        <f t="shared" si="7"/>
        <v>9</v>
      </c>
      <c r="D33" s="33" t="str">
        <f t="shared" si="8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9"/>
        <v>-890381.20266185259</v>
      </c>
      <c r="M33" s="51">
        <f t="shared" si="10"/>
        <v>15233.561458484257</v>
      </c>
      <c r="N33" s="55">
        <f t="shared" si="11"/>
        <v>-490381.20266185259</v>
      </c>
      <c r="O33" s="55">
        <f t="shared" si="12"/>
        <v>15233.561458484257</v>
      </c>
      <c r="P33" s="54" t="e">
        <f t="shared" si="13"/>
        <v>#DIV/0!</v>
      </c>
      <c r="Q33" s="54" t="e">
        <f t="shared" si="1"/>
        <v>#DIV/0!</v>
      </c>
      <c r="R33" s="93" t="e">
        <f t="shared" si="6"/>
        <v>#DIV/0!</v>
      </c>
      <c r="S33" s="78">
        <f t="shared" si="2"/>
        <v>9</v>
      </c>
      <c r="T33" s="5"/>
      <c r="U33" s="5"/>
      <c r="V33" s="5"/>
      <c r="W33" s="1"/>
      <c r="X33" s="1"/>
    </row>
    <row r="34" spans="1:24" ht="11.25" customHeight="1" x14ac:dyDescent="0.25">
      <c r="A34" s="29"/>
      <c r="B34" s="32"/>
      <c r="C34" s="66">
        <f t="shared" si="7"/>
        <v>10</v>
      </c>
      <c r="D34" s="33" t="str">
        <f t="shared" si="8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9"/>
        <v>-891381.20266185259</v>
      </c>
      <c r="M34" s="51">
        <f t="shared" si="10"/>
        <v>15233.561458484257</v>
      </c>
      <c r="N34" s="55">
        <f t="shared" si="11"/>
        <v>-491381.20266185259</v>
      </c>
      <c r="O34" s="55">
        <f t="shared" si="12"/>
        <v>15233.561458484257</v>
      </c>
      <c r="P34" s="54" t="e">
        <f t="shared" si="13"/>
        <v>#DIV/0!</v>
      </c>
      <c r="Q34" s="54" t="e">
        <f t="shared" si="1"/>
        <v>#DIV/0!</v>
      </c>
      <c r="R34" s="93" t="e">
        <f t="shared" si="6"/>
        <v>#DIV/0!</v>
      </c>
      <c r="S34" s="78">
        <f t="shared" si="2"/>
        <v>10</v>
      </c>
      <c r="T34" s="5"/>
      <c r="U34" s="5"/>
      <c r="V34" s="5"/>
      <c r="W34" s="1"/>
      <c r="X34" s="1"/>
    </row>
    <row r="35" spans="1:24" ht="11.25" customHeight="1" x14ac:dyDescent="0.25">
      <c r="A35" s="29"/>
      <c r="B35" s="32"/>
      <c r="C35" s="66">
        <f t="shared" si="7"/>
        <v>11</v>
      </c>
      <c r="D35" s="33" t="str">
        <f t="shared" si="8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9"/>
        <v>-892381.20266185259</v>
      </c>
      <c r="M35" s="51">
        <f t="shared" si="10"/>
        <v>15233.561458484257</v>
      </c>
      <c r="N35" s="55">
        <f t="shared" si="11"/>
        <v>-492381.20266185259</v>
      </c>
      <c r="O35" s="55">
        <f t="shared" si="12"/>
        <v>15233.561458484257</v>
      </c>
      <c r="P35" s="54" t="e">
        <f t="shared" si="13"/>
        <v>#DIV/0!</v>
      </c>
      <c r="Q35" s="54" t="e">
        <f t="shared" si="1"/>
        <v>#DIV/0!</v>
      </c>
      <c r="R35" s="93" t="e">
        <f t="shared" si="6"/>
        <v>#DIV/0!</v>
      </c>
      <c r="S35" s="78">
        <f t="shared" si="2"/>
        <v>11</v>
      </c>
      <c r="T35" s="5"/>
      <c r="U35" s="5"/>
      <c r="V35" s="5"/>
    </row>
    <row r="36" spans="1:24" ht="11.25" customHeight="1" x14ac:dyDescent="0.25">
      <c r="A36" s="29"/>
      <c r="B36" s="32"/>
      <c r="C36" s="66">
        <f t="shared" si="7"/>
        <v>12</v>
      </c>
      <c r="D36" s="33" t="str">
        <f t="shared" si="8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9"/>
        <v>-893381.20266185259</v>
      </c>
      <c r="M36" s="51">
        <f t="shared" si="10"/>
        <v>15233.561458484257</v>
      </c>
      <c r="N36" s="55">
        <f t="shared" si="11"/>
        <v>-493381.20266185259</v>
      </c>
      <c r="O36" s="55">
        <f t="shared" si="12"/>
        <v>15233.561458484257</v>
      </c>
      <c r="P36" s="54" t="e">
        <f t="shared" si="13"/>
        <v>#DIV/0!</v>
      </c>
      <c r="Q36" s="54" t="e">
        <f t="shared" si="1"/>
        <v>#DIV/0!</v>
      </c>
      <c r="R36" s="93" t="e">
        <f t="shared" si="6"/>
        <v>#DIV/0!</v>
      </c>
      <c r="S36" s="78">
        <f t="shared" si="2"/>
        <v>12</v>
      </c>
      <c r="T36" s="5"/>
      <c r="U36" s="5"/>
      <c r="V36" s="5"/>
    </row>
    <row r="37" spans="1:24" ht="11.25" customHeight="1" x14ac:dyDescent="0.25">
      <c r="A37" s="29"/>
      <c r="B37" s="32"/>
      <c r="C37" s="66">
        <f t="shared" si="7"/>
        <v>13</v>
      </c>
      <c r="D37" s="33" t="str">
        <f t="shared" si="8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9"/>
        <v>-894381.20266185259</v>
      </c>
      <c r="M37" s="51">
        <f t="shared" si="10"/>
        <v>15233.561458484257</v>
      </c>
      <c r="N37" s="55">
        <f t="shared" si="11"/>
        <v>-494381.20266185259</v>
      </c>
      <c r="O37" s="55">
        <f t="shared" si="12"/>
        <v>15233.561458484257</v>
      </c>
      <c r="P37" s="54" t="e">
        <f t="shared" si="13"/>
        <v>#DIV/0!</v>
      </c>
      <c r="Q37" s="54" t="e">
        <f t="shared" si="1"/>
        <v>#DIV/0!</v>
      </c>
      <c r="R37" s="93" t="e">
        <f t="shared" si="6"/>
        <v>#DIV/0!</v>
      </c>
      <c r="S37" s="78">
        <f t="shared" si="2"/>
        <v>13</v>
      </c>
      <c r="T37" s="5"/>
      <c r="U37" s="5"/>
      <c r="V37" s="5"/>
    </row>
    <row r="38" spans="1:24" ht="11.25" customHeight="1" x14ac:dyDescent="0.25">
      <c r="A38" s="29"/>
      <c r="B38" s="32"/>
      <c r="C38" s="66">
        <f t="shared" si="7"/>
        <v>0</v>
      </c>
      <c r="D38" s="33" t="str">
        <f t="shared" si="8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9"/>
        <v>0</v>
      </c>
      <c r="M38" s="51">
        <f t="shared" si="10"/>
        <v>0</v>
      </c>
      <c r="N38" s="55">
        <f t="shared" si="11"/>
        <v>0</v>
      </c>
      <c r="O38" s="55">
        <f t="shared" si="12"/>
        <v>0</v>
      </c>
      <c r="P38" s="54" t="e">
        <f t="shared" si="13"/>
        <v>#DIV/0!</v>
      </c>
      <c r="Q38" s="54" t="e">
        <f t="shared" si="1"/>
        <v>#DIV/0!</v>
      </c>
      <c r="R38" s="93" t="e">
        <f t="shared" si="6"/>
        <v>#DIV/0!</v>
      </c>
      <c r="S38" s="78">
        <f t="shared" si="2"/>
        <v>0</v>
      </c>
      <c r="T38" s="5"/>
      <c r="U38" s="5"/>
      <c r="V38" s="5"/>
    </row>
    <row r="39" spans="1:24" ht="11.25" customHeight="1" x14ac:dyDescent="0.25">
      <c r="A39" s="29"/>
      <c r="B39" s="32"/>
      <c r="C39" s="66">
        <f t="shared" si="7"/>
        <v>0</v>
      </c>
      <c r="D39" s="33" t="str">
        <f t="shared" si="8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9"/>
        <v>0</v>
      </c>
      <c r="M39" s="51">
        <f t="shared" si="10"/>
        <v>0</v>
      </c>
      <c r="N39" s="55">
        <f t="shared" si="11"/>
        <v>0</v>
      </c>
      <c r="O39" s="55">
        <f t="shared" si="12"/>
        <v>0</v>
      </c>
      <c r="P39" s="54" t="e">
        <f t="shared" si="13"/>
        <v>#DIV/0!</v>
      </c>
      <c r="Q39" s="54" t="e">
        <f t="shared" si="1"/>
        <v>#DIV/0!</v>
      </c>
      <c r="R39" s="93" t="e">
        <f t="shared" si="6"/>
        <v>#DIV/0!</v>
      </c>
      <c r="S39" s="78">
        <f t="shared" si="2"/>
        <v>0</v>
      </c>
      <c r="T39" s="5"/>
      <c r="U39" s="5"/>
      <c r="V39" s="5"/>
    </row>
    <row r="40" spans="1:24" ht="11.25" customHeight="1" x14ac:dyDescent="0.25">
      <c r="A40" s="29"/>
      <c r="B40" s="32"/>
      <c r="C40" s="66">
        <f t="shared" si="7"/>
        <v>0</v>
      </c>
      <c r="D40" s="33" t="str">
        <f t="shared" si="8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9"/>
        <v>0</v>
      </c>
      <c r="M40" s="51">
        <f t="shared" si="10"/>
        <v>0</v>
      </c>
      <c r="N40" s="55">
        <f t="shared" si="11"/>
        <v>0</v>
      </c>
      <c r="O40" s="55">
        <f t="shared" si="12"/>
        <v>0</v>
      </c>
      <c r="P40" s="54" t="e">
        <f t="shared" si="13"/>
        <v>#DIV/0!</v>
      </c>
      <c r="Q40" s="54" t="e">
        <f t="shared" si="1"/>
        <v>#DIV/0!</v>
      </c>
      <c r="R40" s="93" t="e">
        <f t="shared" si="6"/>
        <v>#DIV/0!</v>
      </c>
      <c r="S40" s="78">
        <f t="shared" si="2"/>
        <v>0</v>
      </c>
      <c r="T40" s="5"/>
      <c r="U40" s="5"/>
      <c r="V40" s="5"/>
    </row>
    <row r="41" spans="1:24" ht="11.25" customHeight="1" x14ac:dyDescent="0.25">
      <c r="A41" s="29"/>
      <c r="B41" s="32"/>
      <c r="C41" s="66">
        <f t="shared" si="7"/>
        <v>0</v>
      </c>
      <c r="D41" s="33" t="str">
        <f t="shared" si="8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9"/>
        <v>0</v>
      </c>
      <c r="M41" s="51">
        <f t="shared" si="10"/>
        <v>0</v>
      </c>
      <c r="N41" s="55">
        <f t="shared" si="11"/>
        <v>0</v>
      </c>
      <c r="O41" s="55">
        <f t="shared" si="12"/>
        <v>0</v>
      </c>
      <c r="P41" s="54" t="e">
        <f t="shared" si="13"/>
        <v>#DIV/0!</v>
      </c>
      <c r="Q41" s="54" t="e">
        <f t="shared" si="1"/>
        <v>#DIV/0!</v>
      </c>
      <c r="R41" s="93" t="e">
        <f t="shared" si="6"/>
        <v>#DIV/0!</v>
      </c>
      <c r="S41" s="78">
        <f t="shared" si="2"/>
        <v>0</v>
      </c>
      <c r="T41" s="5"/>
      <c r="U41" s="5"/>
      <c r="V41" s="5"/>
    </row>
    <row r="42" spans="1:24" ht="11.25" customHeight="1" x14ac:dyDescent="0.25">
      <c r="A42" s="29"/>
      <c r="B42" s="32"/>
      <c r="C42" s="66">
        <f t="shared" si="7"/>
        <v>0</v>
      </c>
      <c r="D42" s="33" t="str">
        <f t="shared" si="8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9"/>
        <v>0</v>
      </c>
      <c r="M42" s="51">
        <f t="shared" si="10"/>
        <v>0</v>
      </c>
      <c r="N42" s="55">
        <f t="shared" si="11"/>
        <v>0</v>
      </c>
      <c r="O42" s="55">
        <f t="shared" si="12"/>
        <v>0</v>
      </c>
      <c r="P42" s="54" t="e">
        <f t="shared" si="13"/>
        <v>#DIV/0!</v>
      </c>
      <c r="Q42" s="54" t="e">
        <f t="shared" si="1"/>
        <v>#DIV/0!</v>
      </c>
      <c r="R42" s="93" t="e">
        <f t="shared" si="6"/>
        <v>#DIV/0!</v>
      </c>
      <c r="S42" s="78">
        <f t="shared" si="2"/>
        <v>0</v>
      </c>
      <c r="T42" s="5"/>
      <c r="U42" s="5"/>
      <c r="V42" s="5"/>
    </row>
    <row r="43" spans="1:24" ht="11.25" customHeight="1" x14ac:dyDescent="0.25">
      <c r="A43" s="29"/>
      <c r="B43" s="32"/>
      <c r="C43" s="66">
        <f t="shared" si="7"/>
        <v>0</v>
      </c>
      <c r="D43" s="33" t="str">
        <f t="shared" si="8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9"/>
        <v>0</v>
      </c>
      <c r="M43" s="51">
        <f t="shared" si="10"/>
        <v>0</v>
      </c>
      <c r="N43" s="55">
        <f t="shared" si="11"/>
        <v>0</v>
      </c>
      <c r="O43" s="55">
        <f t="shared" si="12"/>
        <v>0</v>
      </c>
      <c r="P43" s="54" t="e">
        <f t="shared" si="13"/>
        <v>#DIV/0!</v>
      </c>
      <c r="Q43" s="54" t="e">
        <f t="shared" si="1"/>
        <v>#DIV/0!</v>
      </c>
      <c r="R43" s="93" t="e">
        <f t="shared" si="6"/>
        <v>#DIV/0!</v>
      </c>
      <c r="S43" s="78">
        <f t="shared" si="2"/>
        <v>0</v>
      </c>
      <c r="T43" s="5"/>
      <c r="U43" s="5"/>
      <c r="V43" s="5"/>
    </row>
    <row r="44" spans="1:24" ht="11.25" customHeight="1" x14ac:dyDescent="0.25">
      <c r="A44" s="29"/>
      <c r="B44" s="32"/>
      <c r="C44" s="66">
        <f t="shared" si="7"/>
        <v>0</v>
      </c>
      <c r="D44" s="33" t="str">
        <f t="shared" si="8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9"/>
        <v>0</v>
      </c>
      <c r="M44" s="51">
        <f t="shared" si="10"/>
        <v>0</v>
      </c>
      <c r="N44" s="55">
        <f t="shared" si="11"/>
        <v>0</v>
      </c>
      <c r="O44" s="55">
        <f t="shared" si="12"/>
        <v>0</v>
      </c>
      <c r="P44" s="54" t="e">
        <f t="shared" si="13"/>
        <v>#DIV/0!</v>
      </c>
      <c r="Q44" s="54" t="e">
        <f t="shared" si="1"/>
        <v>#DIV/0!</v>
      </c>
      <c r="R44" s="93" t="e">
        <f t="shared" si="6"/>
        <v>#DIV/0!</v>
      </c>
      <c r="S44" s="78">
        <f t="shared" si="2"/>
        <v>0</v>
      </c>
      <c r="T44" s="5"/>
      <c r="U44" s="5"/>
      <c r="V44" s="5"/>
    </row>
    <row r="45" spans="1:24" ht="11.25" customHeight="1" x14ac:dyDescent="0.25">
      <c r="A45" s="29"/>
      <c r="B45" s="32"/>
      <c r="C45" s="67">
        <f t="shared" si="7"/>
        <v>0</v>
      </c>
      <c r="D45" s="33" t="str">
        <f t="shared" si="8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9"/>
        <v>0</v>
      </c>
      <c r="M45" s="51">
        <f t="shared" si="10"/>
        <v>0</v>
      </c>
      <c r="N45" s="55">
        <f t="shared" si="11"/>
        <v>0</v>
      </c>
      <c r="O45" s="55">
        <f t="shared" si="12"/>
        <v>0</v>
      </c>
      <c r="P45" s="54" t="e">
        <f t="shared" si="13"/>
        <v>#DIV/0!</v>
      </c>
      <c r="Q45" s="54" t="e">
        <f t="shared" si="1"/>
        <v>#DIV/0!</v>
      </c>
      <c r="R45" s="93" t="e">
        <f t="shared" si="6"/>
        <v>#DIV/0!</v>
      </c>
      <c r="S45" s="78">
        <f t="shared" si="2"/>
        <v>0</v>
      </c>
      <c r="T45" s="5"/>
      <c r="U45" s="5"/>
      <c r="V45" s="5"/>
    </row>
    <row r="46" spans="1:24" ht="11.25" customHeight="1" x14ac:dyDescent="0.25">
      <c r="A46" s="29"/>
      <c r="B46" s="32"/>
      <c r="C46" s="66">
        <f t="shared" si="7"/>
        <v>0</v>
      </c>
      <c r="D46" s="33" t="str">
        <f t="shared" si="8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9"/>
        <v>0</v>
      </c>
      <c r="M46" s="51">
        <f t="shared" si="10"/>
        <v>0</v>
      </c>
      <c r="N46" s="55">
        <f t="shared" si="11"/>
        <v>0</v>
      </c>
      <c r="O46" s="55">
        <f t="shared" si="12"/>
        <v>0</v>
      </c>
      <c r="P46" s="54" t="e">
        <f t="shared" si="13"/>
        <v>#DIV/0!</v>
      </c>
      <c r="Q46" s="54" t="e">
        <f t="shared" si="1"/>
        <v>#DIV/0!</v>
      </c>
      <c r="R46" s="93" t="e">
        <f t="shared" si="6"/>
        <v>#DIV/0!</v>
      </c>
      <c r="S46" s="78">
        <f t="shared" si="2"/>
        <v>0</v>
      </c>
      <c r="T46" s="5"/>
      <c r="U46" s="5"/>
      <c r="V46" s="5"/>
    </row>
    <row r="47" spans="1:24" ht="11.25" customHeight="1" x14ac:dyDescent="0.25">
      <c r="A47" s="29"/>
      <c r="B47" s="32"/>
      <c r="C47" s="66">
        <f t="shared" si="7"/>
        <v>0</v>
      </c>
      <c r="D47" s="33" t="str">
        <f t="shared" si="8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9"/>
        <v>0</v>
      </c>
      <c r="M47" s="51">
        <f t="shared" si="10"/>
        <v>0</v>
      </c>
      <c r="N47" s="55">
        <f t="shared" si="11"/>
        <v>0</v>
      </c>
      <c r="O47" s="55">
        <f t="shared" si="12"/>
        <v>0</v>
      </c>
      <c r="P47" s="54" t="e">
        <f t="shared" si="13"/>
        <v>#DIV/0!</v>
      </c>
      <c r="Q47" s="54" t="e">
        <f t="shared" si="1"/>
        <v>#DIV/0!</v>
      </c>
      <c r="R47" s="93" t="e">
        <f t="shared" si="6"/>
        <v>#DIV/0!</v>
      </c>
      <c r="S47" s="78">
        <f t="shared" si="2"/>
        <v>0</v>
      </c>
      <c r="T47" s="5"/>
      <c r="U47" s="5"/>
      <c r="V47" s="5"/>
    </row>
    <row r="48" spans="1:24" ht="11.25" customHeight="1" x14ac:dyDescent="0.25">
      <c r="A48" s="29"/>
      <c r="B48" s="32"/>
      <c r="C48" s="66">
        <f t="shared" si="7"/>
        <v>0</v>
      </c>
      <c r="D48" s="33" t="str">
        <f t="shared" si="8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9"/>
        <v>0</v>
      </c>
      <c r="M48" s="51">
        <f t="shared" si="10"/>
        <v>0</v>
      </c>
      <c r="N48" s="55">
        <f t="shared" si="11"/>
        <v>0</v>
      </c>
      <c r="O48" s="55">
        <f t="shared" si="12"/>
        <v>0</v>
      </c>
      <c r="P48" s="54" t="e">
        <f t="shared" si="13"/>
        <v>#DIV/0!</v>
      </c>
      <c r="Q48" s="54" t="e">
        <f t="shared" si="1"/>
        <v>#DIV/0!</v>
      </c>
      <c r="R48" s="93" t="e">
        <f t="shared" si="6"/>
        <v>#DIV/0!</v>
      </c>
      <c r="S48" s="78">
        <f t="shared" si="2"/>
        <v>0</v>
      </c>
      <c r="T48" s="5"/>
      <c r="U48" s="5"/>
      <c r="V48" s="5"/>
    </row>
    <row r="49" spans="1:24" s="39" customFormat="1" x14ac:dyDescent="0.25">
      <c r="A49" s="59"/>
      <c r="B49" s="60"/>
      <c r="E49" s="61">
        <f>SUM(E25:E48)</f>
        <v>0</v>
      </c>
      <c r="F49" s="61">
        <f>SUM(F25:F48)</f>
        <v>520.80551994817972</v>
      </c>
      <c r="G49" s="61">
        <f>SUM(G25:G48)</f>
        <v>913000</v>
      </c>
      <c r="H49" s="61">
        <f>SUM(H25:H48)</f>
        <v>513000</v>
      </c>
      <c r="I49" s="62"/>
      <c r="J49" s="62"/>
      <c r="K49" s="63">
        <f>SUM(K25:K48)</f>
        <v>33852.358796631685</v>
      </c>
      <c r="L49" s="63">
        <f>MAX(L25:L48)</f>
        <v>0</v>
      </c>
      <c r="M49" s="63">
        <f>MAX(M25:M48)</f>
        <v>15233.561458484257</v>
      </c>
      <c r="N49" s="63">
        <f>MAX(N25:N48)</f>
        <v>0</v>
      </c>
      <c r="O49" s="63">
        <f>MAX(O25:O48)</f>
        <v>15233.561458484257</v>
      </c>
      <c r="R49" s="94" t="e">
        <f>SUM(R25:R48)</f>
        <v>#DIV/0!</v>
      </c>
      <c r="S49" s="90"/>
      <c r="W49" s="64"/>
      <c r="X49" s="64"/>
    </row>
    <row r="50" spans="1:24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4" x14ac:dyDescent="0.25">
      <c r="B51" s="4"/>
      <c r="C51" s="39" t="s">
        <v>10</v>
      </c>
      <c r="D51" s="34"/>
      <c r="E51" s="34"/>
      <c r="F51" s="8"/>
      <c r="G51" s="77"/>
      <c r="H51" s="9"/>
      <c r="I51" s="35"/>
      <c r="K51" s="162" t="s">
        <v>89</v>
      </c>
      <c r="L51" s="162"/>
      <c r="P51" s="80"/>
      <c r="S51" s="88"/>
    </row>
    <row r="52" spans="1:24" x14ac:dyDescent="0.25">
      <c r="B52" s="4"/>
      <c r="D52" s="163" t="s">
        <v>48</v>
      </c>
      <c r="E52" s="163"/>
      <c r="F52" s="163"/>
      <c r="G52" s="68">
        <f>L49*0.75</f>
        <v>0</v>
      </c>
      <c r="H52" s="36">
        <f>G52/SUM(L49:M49)</f>
        <v>0</v>
      </c>
      <c r="I52" s="9"/>
      <c r="K52" s="1">
        <v>1</v>
      </c>
      <c r="L52" s="1" t="s">
        <v>92</v>
      </c>
      <c r="P52" s="80"/>
      <c r="S52" s="88"/>
    </row>
    <row r="53" spans="1:24" x14ac:dyDescent="0.25">
      <c r="B53" s="4"/>
      <c r="D53" s="165" t="s">
        <v>49</v>
      </c>
      <c r="E53" s="165"/>
      <c r="F53" s="165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4" x14ac:dyDescent="0.25">
      <c r="B54" s="4"/>
      <c r="D54" s="163" t="s">
        <v>50</v>
      </c>
      <c r="E54" s="163"/>
      <c r="F54" s="163"/>
      <c r="G54" s="68">
        <f>SUM(G52:G53)</f>
        <v>0</v>
      </c>
      <c r="H54" s="36">
        <f>SUM(H52:H53)</f>
        <v>0</v>
      </c>
      <c r="I54" s="9"/>
      <c r="K54" s="1">
        <v>3</v>
      </c>
      <c r="L54" s="1" t="s">
        <v>90</v>
      </c>
      <c r="M54" s="35"/>
      <c r="P54" s="80"/>
      <c r="S54" s="88"/>
    </row>
    <row r="55" spans="1:24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4" x14ac:dyDescent="0.25">
      <c r="B56" s="4"/>
      <c r="D56" s="165" t="s">
        <v>51</v>
      </c>
      <c r="E56" s="165"/>
      <c r="F56" s="165"/>
      <c r="G56" s="69">
        <f>M49+L49*0.25</f>
        <v>15233.561458484257</v>
      </c>
      <c r="H56" s="37">
        <f>G56/SUM(L49:M49)</f>
        <v>1</v>
      </c>
      <c r="I56" s="9"/>
      <c r="K56" s="1">
        <v>5</v>
      </c>
      <c r="L56" s="1" t="s">
        <v>47</v>
      </c>
      <c r="S56" s="88"/>
    </row>
    <row r="57" spans="1:24" x14ac:dyDescent="0.25">
      <c r="B57" s="4"/>
      <c r="D57" s="163" t="s">
        <v>52</v>
      </c>
      <c r="E57" s="163"/>
      <c r="F57" s="163"/>
      <c r="G57" s="70">
        <f>SUM(G56)</f>
        <v>15233.561458484257</v>
      </c>
      <c r="H57" s="38">
        <f>SUM(H56)</f>
        <v>1</v>
      </c>
      <c r="I57" s="9"/>
      <c r="K57" s="1">
        <v>6</v>
      </c>
      <c r="L57" s="1" t="s">
        <v>93</v>
      </c>
      <c r="S57" s="88"/>
    </row>
    <row r="58" spans="1:24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4" x14ac:dyDescent="0.25">
      <c r="B59" s="4"/>
      <c r="C59" s="39" t="s">
        <v>56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4" x14ac:dyDescent="0.25">
      <c r="B60" s="4"/>
      <c r="D60" s="164" t="s">
        <v>54</v>
      </c>
      <c r="E60" s="164"/>
      <c r="F60" s="164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4" x14ac:dyDescent="0.25">
      <c r="B61" s="4"/>
      <c r="D61" s="164" t="s">
        <v>55</v>
      </c>
      <c r="E61" s="164"/>
      <c r="F61" s="164"/>
      <c r="G61" s="71">
        <f>NPV($K$19,L49)</f>
        <v>0</v>
      </c>
      <c r="H61" s="71">
        <f>NPV($K$19,M49)</f>
        <v>13848.692234985687</v>
      </c>
      <c r="I61" s="9"/>
      <c r="K61" s="1">
        <v>10</v>
      </c>
      <c r="L61" s="1" t="s">
        <v>94</v>
      </c>
      <c r="S61" s="88"/>
    </row>
    <row r="62" spans="1:24" x14ac:dyDescent="0.25">
      <c r="B62" s="4"/>
      <c r="I62" s="9"/>
      <c r="K62" s="1">
        <v>11</v>
      </c>
      <c r="L62" s="1" t="s">
        <v>95</v>
      </c>
      <c r="S62" s="88"/>
    </row>
    <row r="63" spans="1:24" x14ac:dyDescent="0.25">
      <c r="B63" s="4"/>
      <c r="I63" s="9"/>
      <c r="K63" s="1">
        <v>12</v>
      </c>
      <c r="L63" s="1" t="s">
        <v>96</v>
      </c>
      <c r="S63" s="88"/>
    </row>
    <row r="64" spans="1:24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8">
    <mergeCell ref="P21:R21"/>
    <mergeCell ref="C19:E19"/>
    <mergeCell ref="C20:E20"/>
    <mergeCell ref="B2:S2"/>
    <mergeCell ref="C6:E6"/>
    <mergeCell ref="C12:E12"/>
    <mergeCell ref="C13:E13"/>
    <mergeCell ref="C14:E14"/>
    <mergeCell ref="C15:E15"/>
    <mergeCell ref="C18:E18"/>
    <mergeCell ref="J21:J22"/>
    <mergeCell ref="K21:K22"/>
    <mergeCell ref="L21:M21"/>
    <mergeCell ref="C21:C23"/>
    <mergeCell ref="N21:O21"/>
    <mergeCell ref="D21:D23"/>
    <mergeCell ref="E21:F21"/>
    <mergeCell ref="G21:G22"/>
    <mergeCell ref="H21:H22"/>
    <mergeCell ref="I21:I22"/>
    <mergeCell ref="D52:F52"/>
    <mergeCell ref="D56:F56"/>
    <mergeCell ref="D60:F60"/>
    <mergeCell ref="K51:L51"/>
    <mergeCell ref="D61:F61"/>
    <mergeCell ref="D53:F53"/>
    <mergeCell ref="D54:F54"/>
    <mergeCell ref="D57:F57"/>
  </mergeCells>
  <printOptions horizontalCentered="1"/>
  <pageMargins left="0.2" right="0.2" top="0.25" bottom="0.25" header="0" footer="0"/>
  <pageSetup paperSize="9" scale="73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CFDC-45DC-4665-876D-CE16788D3B14}">
  <sheetPr>
    <tabColor rgb="FFFFC000"/>
    <pageSetUpPr fitToPage="1"/>
  </sheetPr>
  <dimension ref="A1:U66"/>
  <sheetViews>
    <sheetView tabSelected="1" zoomScaleNormal="100" zoomScaleSheetLayoutView="160" workbookViewId="0">
      <selection activeCell="P13" sqref="P13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10.5703125" style="1" customWidth="1"/>
    <col min="5" max="5" width="10.140625" style="1" customWidth="1"/>
    <col min="6" max="6" width="10.140625" style="2" customWidth="1"/>
    <col min="7" max="8" width="12.28515625" style="3" customWidth="1"/>
    <col min="9" max="9" width="8.85546875" style="3" customWidth="1"/>
    <col min="10" max="11" width="16.42578125" style="1" customWidth="1"/>
    <col min="12" max="13" width="14.7109375" style="1" customWidth="1"/>
    <col min="14" max="14" width="16.140625" style="1" bestFit="1" customWidth="1"/>
    <col min="15" max="15" width="2.85546875" style="1" customWidth="1"/>
    <col min="16" max="16" width="13.140625" style="3" bestFit="1" customWidth="1"/>
    <col min="17" max="17" width="12.5703125" style="1" bestFit="1" customWidth="1"/>
    <col min="18" max="18" width="9.140625" style="1"/>
    <col min="19" max="19" width="12.7109375" style="1" bestFit="1" customWidth="1"/>
    <col min="20" max="21" width="11.140625" style="3" bestFit="1" customWidth="1"/>
    <col min="22" max="22" width="10.7109375" style="1" bestFit="1" customWidth="1"/>
    <col min="23" max="16384" width="9.140625" style="1"/>
  </cols>
  <sheetData>
    <row r="1" spans="2:15" ht="12" thickBot="1" x14ac:dyDescent="0.3"/>
    <row r="2" spans="2:15" ht="61.15" customHeight="1" x14ac:dyDescent="0.25">
      <c r="B2" s="174" t="s">
        <v>122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1"/>
    </row>
    <row r="3" spans="2:15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101"/>
    </row>
    <row r="4" spans="2:15" x14ac:dyDescent="0.25">
      <c r="B4" s="4"/>
      <c r="F4" s="8"/>
      <c r="G4" s="9"/>
      <c r="H4" s="9"/>
      <c r="I4" s="9"/>
      <c r="M4" s="10" t="s">
        <v>11</v>
      </c>
      <c r="N4" s="80"/>
      <c r="O4" s="102"/>
    </row>
    <row r="5" spans="2:15" x14ac:dyDescent="0.25">
      <c r="B5" s="4"/>
      <c r="F5" s="8"/>
      <c r="G5" s="9"/>
      <c r="H5" s="9"/>
      <c r="I5" s="9"/>
      <c r="M5" s="10" t="s">
        <v>13</v>
      </c>
      <c r="N5" s="116" t="s">
        <v>27</v>
      </c>
      <c r="O5" s="102"/>
    </row>
    <row r="6" spans="2:15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3"/>
      <c r="M6" s="14" t="s">
        <v>12</v>
      </c>
      <c r="N6" s="99"/>
      <c r="O6" s="102"/>
    </row>
    <row r="7" spans="2:15" ht="12" thickTop="1" x14ac:dyDescent="0.25">
      <c r="B7" s="4"/>
      <c r="C7" s="15" t="s">
        <v>17</v>
      </c>
      <c r="D7" s="15"/>
      <c r="F7" s="8"/>
      <c r="G7" s="9"/>
      <c r="H7" s="9"/>
      <c r="I7" s="9"/>
      <c r="O7" s="102"/>
    </row>
    <row r="8" spans="2:15" x14ac:dyDescent="0.25">
      <c r="B8" s="4"/>
      <c r="C8" s="1" t="s">
        <v>119</v>
      </c>
      <c r="D8" s="15"/>
      <c r="F8" s="8"/>
      <c r="G8" s="9"/>
      <c r="H8" s="9"/>
      <c r="I8" s="9"/>
      <c r="O8" s="102"/>
    </row>
    <row r="9" spans="2:15" x14ac:dyDescent="0.25">
      <c r="B9" s="4"/>
      <c r="C9" s="15"/>
      <c r="D9" s="15"/>
      <c r="F9" s="8"/>
      <c r="G9" s="9"/>
      <c r="H9" s="9"/>
      <c r="I9" s="9"/>
      <c r="O9" s="102"/>
    </row>
    <row r="10" spans="2:15" x14ac:dyDescent="0.25">
      <c r="B10" s="4"/>
      <c r="F10" s="8"/>
      <c r="G10" s="9"/>
      <c r="H10" s="9"/>
      <c r="I10" s="9"/>
      <c r="O10" s="102"/>
    </row>
    <row r="11" spans="2:15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L11" s="79" t="s">
        <v>40</v>
      </c>
      <c r="M11" s="20"/>
      <c r="N11" s="20"/>
      <c r="O11" s="102"/>
    </row>
    <row r="12" spans="2:15" x14ac:dyDescent="0.25">
      <c r="B12" s="4"/>
      <c r="C12" s="163" t="s">
        <v>128</v>
      </c>
      <c r="D12" s="163"/>
      <c r="E12" s="163"/>
      <c r="F12" s="8">
        <v>15425</v>
      </c>
      <c r="G12" s="7"/>
      <c r="H12" s="7"/>
      <c r="I12" s="1"/>
      <c r="L12" s="1" t="s">
        <v>41</v>
      </c>
      <c r="M12" s="15"/>
      <c r="N12" s="15"/>
      <c r="O12" s="102"/>
    </row>
    <row r="13" spans="2:15" x14ac:dyDescent="0.25">
      <c r="B13" s="4"/>
      <c r="C13" s="173" t="s">
        <v>33</v>
      </c>
      <c r="D13" s="173"/>
      <c r="E13" s="173"/>
      <c r="F13" s="16">
        <f>200000000/F12</f>
        <v>12965.964343598054</v>
      </c>
      <c r="G13" s="100">
        <v>0</v>
      </c>
      <c r="H13" s="47" t="s">
        <v>101</v>
      </c>
      <c r="I13" s="1"/>
      <c r="L13" s="17" t="s">
        <v>1</v>
      </c>
      <c r="M13" s="82">
        <f>SUM('Prod Profile'!J8:J31)</f>
        <v>10127.518691736792</v>
      </c>
      <c r="N13" s="17" t="s">
        <v>23</v>
      </c>
      <c r="O13" s="102"/>
    </row>
    <row r="14" spans="2:15" x14ac:dyDescent="0.25">
      <c r="B14" s="4"/>
      <c r="C14" s="173" t="s">
        <v>28</v>
      </c>
      <c r="D14" s="173"/>
      <c r="E14" s="173"/>
      <c r="F14" s="16">
        <f>(10500000*30)/F12</f>
        <v>20421.393841166937</v>
      </c>
      <c r="G14" s="100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O14" s="102"/>
    </row>
    <row r="15" spans="2:15" x14ac:dyDescent="0.25">
      <c r="B15" s="4"/>
      <c r="C15" s="173" t="s">
        <v>29</v>
      </c>
      <c r="D15" s="173"/>
      <c r="E15" s="173"/>
      <c r="F15" s="16">
        <f>(14040000*30)/F12</f>
        <v>27306.320907617504</v>
      </c>
      <c r="G15" s="100">
        <v>1</v>
      </c>
      <c r="H15" s="47" t="s">
        <v>103</v>
      </c>
      <c r="I15" s="18"/>
      <c r="J15" s="18"/>
      <c r="K15" s="18"/>
      <c r="L15" s="18"/>
      <c r="M15" s="18"/>
      <c r="N15" s="16"/>
      <c r="O15" s="102"/>
    </row>
    <row r="16" spans="2:15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102"/>
    </row>
    <row r="17" spans="1:21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O17" s="102"/>
    </row>
    <row r="18" spans="1:21" x14ac:dyDescent="0.25">
      <c r="B18" s="4"/>
      <c r="C18" s="163" t="s">
        <v>58</v>
      </c>
      <c r="D18" s="163"/>
      <c r="E18" s="163"/>
      <c r="F18" s="142" t="s">
        <v>130</v>
      </c>
      <c r="G18" s="74"/>
      <c r="H18" s="74"/>
      <c r="I18" s="10" t="s">
        <v>14</v>
      </c>
      <c r="J18" s="80">
        <v>2022</v>
      </c>
      <c r="K18" s="80"/>
      <c r="L18" s="10" t="s">
        <v>66</v>
      </c>
      <c r="M18" s="72">
        <v>0.67</v>
      </c>
      <c r="N18" s="39" t="s">
        <v>68</v>
      </c>
      <c r="O18" s="102"/>
    </row>
    <row r="19" spans="1:21" x14ac:dyDescent="0.25">
      <c r="B19" s="4"/>
      <c r="C19" s="163" t="s">
        <v>30</v>
      </c>
      <c r="D19" s="163"/>
      <c r="E19" s="163"/>
      <c r="F19" s="5">
        <v>6</v>
      </c>
      <c r="G19" s="76" t="s">
        <v>35</v>
      </c>
      <c r="H19" s="76"/>
      <c r="I19" s="10" t="s">
        <v>15</v>
      </c>
      <c r="J19" s="46">
        <v>0.1</v>
      </c>
      <c r="K19" s="46"/>
      <c r="L19" s="10" t="s">
        <v>67</v>
      </c>
      <c r="M19" s="72">
        <v>0.33300000000000002</v>
      </c>
      <c r="N19" s="39" t="s">
        <v>68</v>
      </c>
      <c r="O19" s="103"/>
    </row>
    <row r="20" spans="1:21" x14ac:dyDescent="0.25">
      <c r="B20" s="4"/>
      <c r="C20" s="163" t="s">
        <v>34</v>
      </c>
      <c r="D20" s="163"/>
      <c r="E20" s="163"/>
      <c r="F20" s="5">
        <v>4</v>
      </c>
      <c r="G20" s="76" t="s">
        <v>35</v>
      </c>
      <c r="H20" s="76"/>
      <c r="I20" s="10" t="s">
        <v>16</v>
      </c>
      <c r="J20" s="80" t="s">
        <v>8</v>
      </c>
      <c r="K20" s="80"/>
      <c r="L20" s="10" t="s">
        <v>105</v>
      </c>
      <c r="M20" s="98" cm="1">
        <f t="array" ref="M20">IF(VLOOKUP(MIN(IF(M27:M50&gt;0,M27:M50)),$M$27:$O$50,3,FALSE)=0,$F$19,VLOOKUP(MIN(IF(M27:M50&gt;0,M27:M50)),$M$27:$O$50,3,FALSE))</f>
        <v>2</v>
      </c>
      <c r="N20" s="39" t="s">
        <v>69</v>
      </c>
      <c r="O20" s="102"/>
    </row>
    <row r="21" spans="1:21" x14ac:dyDescent="0.25">
      <c r="B21" s="4"/>
      <c r="C21" s="80"/>
      <c r="D21" s="80"/>
      <c r="E21" s="80"/>
      <c r="F21" s="5"/>
      <c r="G21" s="76"/>
      <c r="H21" s="76"/>
      <c r="I21" s="10"/>
      <c r="J21" s="80"/>
      <c r="K21" s="80"/>
      <c r="L21" s="10" t="s">
        <v>106</v>
      </c>
      <c r="M21" s="75">
        <f>AVERAGE(F27:F28)*F20</f>
        <v>2980.1675661652439</v>
      </c>
      <c r="N21" s="75" t="s">
        <v>53</v>
      </c>
      <c r="O21" s="102"/>
    </row>
    <row r="22" spans="1:21" x14ac:dyDescent="0.25">
      <c r="B22" s="4"/>
      <c r="C22" s="80"/>
      <c r="D22" s="80"/>
      <c r="E22" s="80"/>
      <c r="F22" s="5"/>
      <c r="G22" s="76"/>
      <c r="H22" s="76"/>
      <c r="I22" s="10"/>
      <c r="J22" s="80"/>
      <c r="K22" s="80"/>
      <c r="M22" s="80"/>
      <c r="O22" s="102"/>
    </row>
    <row r="23" spans="1:21" s="26" customFormat="1" ht="11.25" customHeight="1" x14ac:dyDescent="0.25">
      <c r="B23" s="27"/>
      <c r="C23" s="170" t="s">
        <v>31</v>
      </c>
      <c r="D23" s="170" t="s">
        <v>32</v>
      </c>
      <c r="E23" s="171" t="s">
        <v>46</v>
      </c>
      <c r="F23" s="172"/>
      <c r="G23" s="168" t="s">
        <v>47</v>
      </c>
      <c r="H23" s="166" t="s">
        <v>7</v>
      </c>
      <c r="I23" s="166" t="s">
        <v>2</v>
      </c>
      <c r="J23" s="166" t="s">
        <v>43</v>
      </c>
      <c r="K23" s="166" t="s">
        <v>172</v>
      </c>
      <c r="L23" s="171" t="s">
        <v>70</v>
      </c>
      <c r="M23" s="172"/>
      <c r="N23" s="166" t="s">
        <v>59</v>
      </c>
      <c r="O23" s="102"/>
      <c r="P23" s="28"/>
      <c r="T23" s="28"/>
      <c r="U23" s="28"/>
    </row>
    <row r="24" spans="1:21" s="5" customFormat="1" ht="11.25" customHeight="1" x14ac:dyDescent="0.25">
      <c r="A24" s="29"/>
      <c r="B24" s="30"/>
      <c r="C24" s="170"/>
      <c r="D24" s="170"/>
      <c r="E24" s="81" t="s">
        <v>0</v>
      </c>
      <c r="F24" s="56" t="s">
        <v>1</v>
      </c>
      <c r="G24" s="169"/>
      <c r="H24" s="167"/>
      <c r="I24" s="167"/>
      <c r="J24" s="167"/>
      <c r="K24" s="167"/>
      <c r="L24" s="81" t="s">
        <v>3</v>
      </c>
      <c r="M24" s="81" t="s">
        <v>4</v>
      </c>
      <c r="N24" s="167"/>
      <c r="O24" s="102"/>
      <c r="P24" s="31"/>
      <c r="T24" s="31"/>
      <c r="U24" s="31"/>
    </row>
    <row r="25" spans="1:21" s="5" customFormat="1" ht="11.25" customHeight="1" x14ac:dyDescent="0.25">
      <c r="A25" s="29"/>
      <c r="B25" s="30"/>
      <c r="C25" s="170"/>
      <c r="D25" s="170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57" t="s">
        <v>42</v>
      </c>
      <c r="N25" s="65" t="s">
        <v>42</v>
      </c>
      <c r="O25" s="102"/>
      <c r="P25" s="31"/>
      <c r="T25" s="31"/>
      <c r="U25" s="31"/>
    </row>
    <row r="26" spans="1:21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97" t="s">
        <v>80</v>
      </c>
      <c r="K26" s="97" t="s">
        <v>81</v>
      </c>
      <c r="L26" s="97" t="s">
        <v>82</v>
      </c>
      <c r="M26" s="97" t="s">
        <v>83</v>
      </c>
      <c r="N26" s="97" t="s">
        <v>84</v>
      </c>
      <c r="O26" s="102"/>
      <c r="P26" s="31"/>
      <c r="T26" s="31"/>
      <c r="U26" s="31"/>
    </row>
    <row r="27" spans="1:21" ht="11.25" customHeight="1" x14ac:dyDescent="0.25">
      <c r="A27" s="29"/>
      <c r="B27" s="32"/>
      <c r="C27" s="66">
        <v>1</v>
      </c>
      <c r="D27" s="33" t="str">
        <f>F18</f>
        <v>09-2022</v>
      </c>
      <c r="E27" s="53">
        <f t="shared" ref="E27:E50" si="0">IF(C27&lt;&gt;0,$M$14/$F$19,0)</f>
        <v>0</v>
      </c>
      <c r="F27" s="53">
        <f>_xlfn.IFNA(VLOOKUP(D27,'Prod Profile'!$K$8:$L$31,2,FALSE),0)</f>
        <v>741.63388313372843</v>
      </c>
      <c r="G27" s="53">
        <f>IF(C27&lt;&gt;0,IF(C27=1,$F$13+$F$14+$F$15,$F$13*$G$13+$F$14*$G$14+$F$15*$G$15),0)</f>
        <v>60693.679092382496</v>
      </c>
      <c r="H27" s="52">
        <v>81.19</v>
      </c>
      <c r="I27" s="52">
        <v>0</v>
      </c>
      <c r="J27" s="51">
        <f>F27*H27+E27*I27*1000</f>
        <v>60213.254971627408</v>
      </c>
      <c r="K27" s="51">
        <f>J27-G27</f>
        <v>-480.42412075508764</v>
      </c>
      <c r="L27" s="51">
        <f>IF(C27&lt;&gt;0,K27*$M$18,0)</f>
        <v>-321.88416090590874</v>
      </c>
      <c r="M27" s="51">
        <f>IF(C27&lt;&gt;0,K27*(1-$M$18),0)</f>
        <v>-158.5399598491789</v>
      </c>
      <c r="N27" s="93">
        <f>IF(C27&lt;=$F$20,0,IF(M27&lt;0,0,$F$15))</f>
        <v>0</v>
      </c>
      <c r="O27" s="88">
        <v>1</v>
      </c>
      <c r="P27" s="31"/>
      <c r="Q27" s="5"/>
      <c r="R27" s="5"/>
      <c r="S27" s="5"/>
    </row>
    <row r="28" spans="1:21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10-2022</v>
      </c>
      <c r="E28" s="53">
        <f t="shared" si="0"/>
        <v>0</v>
      </c>
      <c r="F28" s="53">
        <f>_xlfn.IFNA(VLOOKUP(D28,'Prod Profile'!$K$8:$L$31,2,FALSE),0)</f>
        <v>748.44989994889352</v>
      </c>
      <c r="G28" s="53">
        <f t="shared" ref="G28:G38" si="1">IF(C28&lt;&gt;0,IF(C28=1,$F$13+$F$14+$F$15,$F$13*$G$13+$F$14*$G$14+$F$15*$G$15),0)</f>
        <v>47727.714748784441</v>
      </c>
      <c r="H28" s="52">
        <v>81.19</v>
      </c>
      <c r="I28" s="52">
        <v>0</v>
      </c>
      <c r="J28" s="51">
        <f t="shared" ref="J28:J50" si="2">F28*H28+E28*I28*1000</f>
        <v>60766.647376850662</v>
      </c>
      <c r="K28" s="51">
        <f t="shared" ref="K28:K50" si="3">J28-G28</f>
        <v>13038.932628066221</v>
      </c>
      <c r="L28" s="51">
        <f>IF(C28&lt;&gt;0,K28*$M$18+L27,0)</f>
        <v>8414.2006998984598</v>
      </c>
      <c r="M28" s="51">
        <f>IF(C28&lt;&gt;0,K28*(1-$M$18)+M27,0)</f>
        <v>4144.3078074126734</v>
      </c>
      <c r="N28" s="93">
        <f>IF(C28&lt;=$F$20,0,IF(N27&lt;0,0,$F$15*C28-SUM($N$27:N27)))</f>
        <v>0</v>
      </c>
      <c r="O28" s="88">
        <v>2</v>
      </c>
      <c r="P28" s="31"/>
      <c r="Q28" s="5"/>
      <c r="R28" s="5"/>
      <c r="S28" s="5"/>
    </row>
    <row r="29" spans="1:21" x14ac:dyDescent="0.25">
      <c r="A29" s="29"/>
      <c r="B29" s="32"/>
      <c r="C29" s="66">
        <f t="shared" ref="C29:C50" si="4">IF(AND(C28&lt;$F$19,C28&lt;&gt;0),C28+1,0)</f>
        <v>3</v>
      </c>
      <c r="D29" s="33" t="str">
        <f t="shared" ref="D29:D50" si="5">IF(C29&lt;&gt;0,RIGHT("0"&amp;MONTH(EOMONTH(D28,1)),2)&amp;"-"&amp;YEAR(EOMONTH(D28,1)),"-")</f>
        <v>11-2022</v>
      </c>
      <c r="E29" s="53">
        <f t="shared" si="0"/>
        <v>0</v>
      </c>
      <c r="F29" s="53">
        <f>_xlfn.IFNA(VLOOKUP(D29,'Prod Profile'!$K$8:$L$31,2,FALSE),0)</f>
        <v>707.38150597378853</v>
      </c>
      <c r="G29" s="53">
        <f t="shared" si="1"/>
        <v>47727.714748784441</v>
      </c>
      <c r="H29" s="52">
        <v>81.19</v>
      </c>
      <c r="I29" s="52">
        <v>0</v>
      </c>
      <c r="J29" s="51">
        <f t="shared" si="2"/>
        <v>57432.304470011892</v>
      </c>
      <c r="K29" s="51">
        <f t="shared" si="3"/>
        <v>9704.5897212274504</v>
      </c>
      <c r="L29" s="51">
        <f t="shared" ref="L29:L50" si="6">IF(C29&lt;&gt;0,K29*$M$18+L28,0)</f>
        <v>14916.275813120852</v>
      </c>
      <c r="M29" s="51">
        <f t="shared" ref="M29:M50" si="7">IF(C29&lt;&gt;0,K29*(1-$M$18)+M28,0)</f>
        <v>7346.8224154177315</v>
      </c>
      <c r="N29" s="93">
        <f>IF(C29&lt;=$F$20,0,IF(N28&lt;0,0,$F$15*C29-SUM($N$27:N28)))</f>
        <v>0</v>
      </c>
      <c r="O29" s="88">
        <v>3</v>
      </c>
      <c r="P29" s="31"/>
      <c r="Q29" s="5"/>
      <c r="R29" s="5"/>
      <c r="S29" s="5"/>
    </row>
    <row r="30" spans="1:21" x14ac:dyDescent="0.25">
      <c r="A30" s="29"/>
      <c r="B30" s="32"/>
      <c r="C30" s="66">
        <f t="shared" si="4"/>
        <v>4</v>
      </c>
      <c r="D30" s="33" t="str">
        <f t="shared" si="5"/>
        <v>12-2022</v>
      </c>
      <c r="E30" s="53">
        <f t="shared" si="0"/>
        <v>0</v>
      </c>
      <c r="F30" s="53">
        <f>_xlfn.IFNA(VLOOKUP(D30,'Prod Profile'!$K$8:$L$31,2,FALSE),0)</f>
        <v>713.88272490283896</v>
      </c>
      <c r="G30" s="53">
        <f t="shared" si="1"/>
        <v>47727.714748784441</v>
      </c>
      <c r="H30" s="52">
        <v>81.19</v>
      </c>
      <c r="I30" s="52">
        <v>0</v>
      </c>
      <c r="J30" s="51">
        <f t="shared" si="2"/>
        <v>57960.138434861496</v>
      </c>
      <c r="K30" s="51">
        <f t="shared" si="3"/>
        <v>10232.423686077054</v>
      </c>
      <c r="L30" s="51">
        <f t="shared" si="6"/>
        <v>21771.999682792477</v>
      </c>
      <c r="M30" s="51">
        <f t="shared" si="7"/>
        <v>10723.522231823159</v>
      </c>
      <c r="N30" s="93">
        <f>IF(C30&lt;=$F$20,0,IF(N29&lt;0,0,$F$15*C30-SUM($N$27:N29)))</f>
        <v>0</v>
      </c>
      <c r="O30" s="88">
        <v>4</v>
      </c>
      <c r="P30" s="31"/>
      <c r="Q30" s="5"/>
      <c r="R30" s="5"/>
      <c r="S30" s="5"/>
    </row>
    <row r="31" spans="1:21" x14ac:dyDescent="0.25">
      <c r="A31" s="29"/>
      <c r="B31" s="32"/>
      <c r="C31" s="66">
        <f t="shared" si="4"/>
        <v>5</v>
      </c>
      <c r="D31" s="33" t="str">
        <f t="shared" si="5"/>
        <v>01-2023</v>
      </c>
      <c r="E31" s="53">
        <f t="shared" si="0"/>
        <v>0</v>
      </c>
      <c r="F31" s="53">
        <f>_xlfn.IFNA(VLOOKUP(D31,'Prod Profile'!$K$8:$L$31,2,FALSE),0)</f>
        <v>696.93233558325176</v>
      </c>
      <c r="G31" s="53">
        <f t="shared" si="1"/>
        <v>47727.714748784441</v>
      </c>
      <c r="H31" s="52">
        <v>81.19</v>
      </c>
      <c r="I31" s="52">
        <v>0</v>
      </c>
      <c r="J31" s="51">
        <f t="shared" si="2"/>
        <v>56583.936326004208</v>
      </c>
      <c r="K31" s="51">
        <f t="shared" si="3"/>
        <v>8856.2215772197669</v>
      </c>
      <c r="L31" s="51">
        <f t="shared" si="6"/>
        <v>27705.66813952972</v>
      </c>
      <c r="M31" s="51">
        <f t="shared" si="7"/>
        <v>13646.075352305681</v>
      </c>
      <c r="N31" s="93">
        <f>IF(C31&lt;=$F$20,0,IF(N30&lt;0,0,$F$15*C31-SUM($N$27:N30)))</f>
        <v>136531.60453808753</v>
      </c>
      <c r="O31" s="90">
        <v>5</v>
      </c>
      <c r="P31" s="31"/>
      <c r="Q31" s="5"/>
      <c r="R31" s="5"/>
      <c r="S31" s="5"/>
    </row>
    <row r="32" spans="1:21" x14ac:dyDescent="0.25">
      <c r="A32" s="29"/>
      <c r="B32" s="32"/>
      <c r="C32" s="66">
        <f t="shared" si="4"/>
        <v>6</v>
      </c>
      <c r="D32" s="33" t="str">
        <f t="shared" si="5"/>
        <v>02-2023</v>
      </c>
      <c r="E32" s="53">
        <f t="shared" si="0"/>
        <v>0</v>
      </c>
      <c r="F32" s="53">
        <f>_xlfn.IFNA(VLOOKUP(D32,'Prod Profile'!$K$8:$L$31,2,FALSE),0)</f>
        <v>615.25301463739004</v>
      </c>
      <c r="G32" s="53">
        <f t="shared" si="1"/>
        <v>47727.714748784441</v>
      </c>
      <c r="H32" s="52">
        <v>81.19</v>
      </c>
      <c r="I32" s="52">
        <v>0</v>
      </c>
      <c r="J32" s="51">
        <f t="shared" si="2"/>
        <v>49952.392258409694</v>
      </c>
      <c r="K32" s="51">
        <f t="shared" si="3"/>
        <v>2224.6775096252532</v>
      </c>
      <c r="L32" s="51">
        <f t="shared" si="6"/>
        <v>29196.202070978641</v>
      </c>
      <c r="M32" s="51">
        <f t="shared" si="7"/>
        <v>14380.218930482015</v>
      </c>
      <c r="N32" s="93">
        <f>IF(C32&lt;=$F$20,0,IF(N31&lt;0,0,$F$15*C32-SUM($N$27:N31)))</f>
        <v>27306.320907617483</v>
      </c>
      <c r="O32" s="90">
        <v>6</v>
      </c>
      <c r="P32" s="31"/>
      <c r="Q32" s="5"/>
      <c r="R32" s="5"/>
      <c r="S32" s="5"/>
      <c r="T32" s="1"/>
      <c r="U32" s="1"/>
    </row>
    <row r="33" spans="1:21" x14ac:dyDescent="0.25">
      <c r="A33" s="29"/>
      <c r="B33" s="32"/>
      <c r="C33" s="66">
        <f t="shared" si="4"/>
        <v>0</v>
      </c>
      <c r="D33" s="33" t="str">
        <f t="shared" si="5"/>
        <v>-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1"/>
        <v>0</v>
      </c>
      <c r="H33" s="52">
        <v>81.19</v>
      </c>
      <c r="I33" s="52">
        <v>0</v>
      </c>
      <c r="J33" s="51">
        <f t="shared" si="2"/>
        <v>0</v>
      </c>
      <c r="K33" s="51">
        <f t="shared" si="3"/>
        <v>0</v>
      </c>
      <c r="L33" s="51">
        <f t="shared" si="6"/>
        <v>0</v>
      </c>
      <c r="M33" s="51">
        <f t="shared" si="7"/>
        <v>0</v>
      </c>
      <c r="N33" s="93">
        <f>IF(C33&lt;=$F$20,0,IF(N32&lt;0,0,$F$15*C33-SUM($N$27:N32)))</f>
        <v>0</v>
      </c>
      <c r="O33" s="90">
        <v>7</v>
      </c>
      <c r="P33" s="31"/>
      <c r="Q33" s="5"/>
      <c r="R33" s="5"/>
      <c r="S33" s="5"/>
      <c r="T33" s="1"/>
      <c r="U33" s="1"/>
    </row>
    <row r="34" spans="1:21" x14ac:dyDescent="0.25">
      <c r="A34" s="29"/>
      <c r="B34" s="32"/>
      <c r="C34" s="66">
        <f t="shared" si="4"/>
        <v>0</v>
      </c>
      <c r="D34" s="33" t="str">
        <f t="shared" si="5"/>
        <v>-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1"/>
        <v>0</v>
      </c>
      <c r="H34" s="52">
        <v>81.19</v>
      </c>
      <c r="I34" s="52">
        <v>0</v>
      </c>
      <c r="J34" s="51">
        <f t="shared" si="2"/>
        <v>0</v>
      </c>
      <c r="K34" s="51">
        <f t="shared" si="3"/>
        <v>0</v>
      </c>
      <c r="L34" s="51">
        <f t="shared" si="6"/>
        <v>0</v>
      </c>
      <c r="M34" s="51">
        <f t="shared" si="7"/>
        <v>0</v>
      </c>
      <c r="N34" s="93">
        <f>IF(C34&lt;=$F$20,0,IF(N33&lt;0,0,$F$15*C34-SUM($N$27:N33)))</f>
        <v>0</v>
      </c>
      <c r="O34" s="90">
        <v>8</v>
      </c>
      <c r="P34" s="31"/>
      <c r="Q34" s="5"/>
      <c r="R34" s="5"/>
      <c r="S34" s="5"/>
      <c r="T34" s="1"/>
      <c r="U34" s="1"/>
    </row>
    <row r="35" spans="1:21" x14ac:dyDescent="0.25">
      <c r="A35" s="29"/>
      <c r="B35" s="32"/>
      <c r="C35" s="66">
        <f t="shared" si="4"/>
        <v>0</v>
      </c>
      <c r="D35" s="33" t="str">
        <f t="shared" si="5"/>
        <v>-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1"/>
        <v>0</v>
      </c>
      <c r="H35" s="52">
        <v>81.19</v>
      </c>
      <c r="I35" s="52">
        <v>0</v>
      </c>
      <c r="J35" s="51">
        <f t="shared" si="2"/>
        <v>0</v>
      </c>
      <c r="K35" s="51">
        <f t="shared" si="3"/>
        <v>0</v>
      </c>
      <c r="L35" s="51">
        <f t="shared" si="6"/>
        <v>0</v>
      </c>
      <c r="M35" s="51">
        <f t="shared" si="7"/>
        <v>0</v>
      </c>
      <c r="N35" s="93">
        <f>IF(C35&lt;=$F$20,0,IF(N34&lt;0,0,$F$15*C35-SUM($N$27:N34)))</f>
        <v>0</v>
      </c>
      <c r="O35" s="90">
        <v>9</v>
      </c>
      <c r="P35" s="31"/>
      <c r="Q35" s="5"/>
      <c r="R35" s="5"/>
      <c r="S35" s="5"/>
      <c r="T35" s="1"/>
      <c r="U35" s="1"/>
    </row>
    <row r="36" spans="1:21" x14ac:dyDescent="0.25">
      <c r="A36" s="29"/>
      <c r="B36" s="32"/>
      <c r="C36" s="66">
        <f t="shared" si="4"/>
        <v>0</v>
      </c>
      <c r="D36" s="33" t="str">
        <f t="shared" si="5"/>
        <v>-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1"/>
        <v>0</v>
      </c>
      <c r="H36" s="52">
        <v>81.19</v>
      </c>
      <c r="I36" s="52">
        <v>0</v>
      </c>
      <c r="J36" s="51">
        <f t="shared" si="2"/>
        <v>0</v>
      </c>
      <c r="K36" s="51">
        <f t="shared" si="3"/>
        <v>0</v>
      </c>
      <c r="L36" s="51">
        <f t="shared" si="6"/>
        <v>0</v>
      </c>
      <c r="M36" s="51">
        <f t="shared" si="7"/>
        <v>0</v>
      </c>
      <c r="N36" s="93">
        <f>IF(C36&lt;=$F$20,0,IF(N35&lt;0,0,$F$15*C36-SUM($N$27:N35)))</f>
        <v>0</v>
      </c>
      <c r="O36" s="90">
        <v>10</v>
      </c>
      <c r="P36" s="31"/>
      <c r="Q36" s="5"/>
      <c r="R36" s="5"/>
      <c r="S36" s="5"/>
      <c r="T36" s="1"/>
      <c r="U36" s="1"/>
    </row>
    <row r="37" spans="1:21" x14ac:dyDescent="0.25">
      <c r="A37" s="29"/>
      <c r="B37" s="32"/>
      <c r="C37" s="66">
        <f t="shared" si="4"/>
        <v>0</v>
      </c>
      <c r="D37" s="33" t="str">
        <f t="shared" si="5"/>
        <v>-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1"/>
        <v>0</v>
      </c>
      <c r="H37" s="52">
        <v>81.19</v>
      </c>
      <c r="I37" s="52">
        <v>0</v>
      </c>
      <c r="J37" s="51">
        <f t="shared" si="2"/>
        <v>0</v>
      </c>
      <c r="K37" s="51">
        <f t="shared" si="3"/>
        <v>0</v>
      </c>
      <c r="L37" s="51">
        <f t="shared" si="6"/>
        <v>0</v>
      </c>
      <c r="M37" s="51">
        <f t="shared" si="7"/>
        <v>0</v>
      </c>
      <c r="N37" s="93">
        <f>IF(C37&lt;=$F$20,0,IF(N36&lt;0,0,$F$15*C37-SUM($N$27:N36)))</f>
        <v>0</v>
      </c>
      <c r="O37" s="90">
        <v>11</v>
      </c>
      <c r="P37" s="31"/>
      <c r="Q37" s="5"/>
      <c r="R37" s="5"/>
      <c r="S37" s="5"/>
    </row>
    <row r="38" spans="1:21" x14ac:dyDescent="0.25">
      <c r="A38" s="29"/>
      <c r="B38" s="32"/>
      <c r="C38" s="66">
        <f t="shared" si="4"/>
        <v>0</v>
      </c>
      <c r="D38" s="33" t="str">
        <f t="shared" si="5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1"/>
        <v>0</v>
      </c>
      <c r="H38" s="52">
        <v>81.19</v>
      </c>
      <c r="I38" s="52">
        <v>0</v>
      </c>
      <c r="J38" s="51">
        <f t="shared" si="2"/>
        <v>0</v>
      </c>
      <c r="K38" s="51">
        <f t="shared" si="3"/>
        <v>0</v>
      </c>
      <c r="L38" s="51">
        <f t="shared" si="6"/>
        <v>0</v>
      </c>
      <c r="M38" s="51">
        <f t="shared" si="7"/>
        <v>0</v>
      </c>
      <c r="N38" s="93">
        <f>IF(C38&lt;=$F$20,0,IF(N37&lt;0,0,$F$15*C38-SUM($N$27:N37)))</f>
        <v>0</v>
      </c>
      <c r="O38" s="90">
        <v>12</v>
      </c>
      <c r="P38" s="31"/>
      <c r="Q38" s="5"/>
      <c r="R38" s="5"/>
      <c r="S38" s="5"/>
    </row>
    <row r="39" spans="1:21" x14ac:dyDescent="0.25">
      <c r="A39" s="29"/>
      <c r="B39" s="32"/>
      <c r="C39" s="66">
        <f t="shared" si="4"/>
        <v>0</v>
      </c>
      <c r="D39" s="33" t="str">
        <f t="shared" si="5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ref="G39:G50" si="8">IF(C39&lt;&gt;0,IF(C39=1,$F$13+$F$14+$F$15,$F$13*$G$13+$F$14*$G$14+$F$15*$G$15),0)</f>
        <v>0</v>
      </c>
      <c r="H39" s="52">
        <v>81.19</v>
      </c>
      <c r="I39" s="52">
        <v>2.5</v>
      </c>
      <c r="J39" s="51">
        <f t="shared" si="2"/>
        <v>0</v>
      </c>
      <c r="K39" s="51">
        <f t="shared" si="3"/>
        <v>0</v>
      </c>
      <c r="L39" s="51">
        <f t="shared" si="6"/>
        <v>0</v>
      </c>
      <c r="M39" s="51">
        <f t="shared" si="7"/>
        <v>0</v>
      </c>
      <c r="N39" s="93">
        <f>IF(C39&lt;=$F$20,0,IF(N38&lt;0,0,$F$15*C39-SUM($N$27:N38)))</f>
        <v>0</v>
      </c>
      <c r="O39" s="90">
        <v>13</v>
      </c>
      <c r="P39" s="31"/>
      <c r="Q39" s="5"/>
      <c r="R39" s="5"/>
      <c r="S39" s="5"/>
    </row>
    <row r="40" spans="1:21" x14ac:dyDescent="0.25">
      <c r="A40" s="29"/>
      <c r="B40" s="32"/>
      <c r="C40" s="66">
        <f t="shared" si="4"/>
        <v>0</v>
      </c>
      <c r="D40" s="33" t="str">
        <f t="shared" si="5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8"/>
        <v>0</v>
      </c>
      <c r="H40" s="52">
        <v>81.19</v>
      </c>
      <c r="I40" s="52">
        <v>2.5</v>
      </c>
      <c r="J40" s="51">
        <f t="shared" si="2"/>
        <v>0</v>
      </c>
      <c r="K40" s="51">
        <f t="shared" si="3"/>
        <v>0</v>
      </c>
      <c r="L40" s="51">
        <f t="shared" si="6"/>
        <v>0</v>
      </c>
      <c r="M40" s="51">
        <f t="shared" si="7"/>
        <v>0</v>
      </c>
      <c r="N40" s="93">
        <f>IF(C40&lt;=$F$20,0,IF(N39&lt;0,0,$F$15*C40-SUM($N$27:N39)))</f>
        <v>0</v>
      </c>
      <c r="O40" s="90">
        <v>0</v>
      </c>
      <c r="P40" s="31"/>
      <c r="Q40" s="5"/>
      <c r="R40" s="5"/>
      <c r="S40" s="5"/>
    </row>
    <row r="41" spans="1:21" x14ac:dyDescent="0.25">
      <c r="A41" s="29"/>
      <c r="B41" s="32"/>
      <c r="C41" s="66">
        <f t="shared" si="4"/>
        <v>0</v>
      </c>
      <c r="D41" s="33" t="str">
        <f t="shared" si="5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8"/>
        <v>0</v>
      </c>
      <c r="H41" s="52">
        <v>81.19</v>
      </c>
      <c r="I41" s="52">
        <v>2.5</v>
      </c>
      <c r="J41" s="51">
        <f t="shared" si="2"/>
        <v>0</v>
      </c>
      <c r="K41" s="51">
        <f t="shared" si="3"/>
        <v>0</v>
      </c>
      <c r="L41" s="51">
        <f t="shared" si="6"/>
        <v>0</v>
      </c>
      <c r="M41" s="51">
        <f t="shared" si="7"/>
        <v>0</v>
      </c>
      <c r="N41" s="93">
        <f>IF(C41&lt;=$F$20,0,IF(N40&lt;0,0,$F$15*C41-SUM($N$27:N40)))</f>
        <v>0</v>
      </c>
      <c r="O41" s="90">
        <v>0</v>
      </c>
      <c r="P41" s="31"/>
      <c r="Q41" s="5"/>
      <c r="R41" s="5"/>
      <c r="S41" s="5"/>
    </row>
    <row r="42" spans="1:21" x14ac:dyDescent="0.25">
      <c r="A42" s="29"/>
      <c r="B42" s="32"/>
      <c r="C42" s="66">
        <f t="shared" si="4"/>
        <v>0</v>
      </c>
      <c r="D42" s="33" t="str">
        <f t="shared" si="5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8"/>
        <v>0</v>
      </c>
      <c r="H42" s="52">
        <v>81.19</v>
      </c>
      <c r="I42" s="52">
        <v>2.5</v>
      </c>
      <c r="J42" s="51">
        <f t="shared" si="2"/>
        <v>0</v>
      </c>
      <c r="K42" s="51">
        <f t="shared" si="3"/>
        <v>0</v>
      </c>
      <c r="L42" s="51">
        <f t="shared" si="6"/>
        <v>0</v>
      </c>
      <c r="M42" s="51">
        <f t="shared" si="7"/>
        <v>0</v>
      </c>
      <c r="N42" s="93">
        <f>IF(C42&lt;=$F$20,0,IF(N41&lt;0,0,$F$15*C42-SUM($N$27:N41)))</f>
        <v>0</v>
      </c>
      <c r="O42" s="90">
        <v>0</v>
      </c>
      <c r="P42" s="31"/>
      <c r="Q42" s="5"/>
      <c r="R42" s="5"/>
      <c r="S42" s="5"/>
    </row>
    <row r="43" spans="1:21" x14ac:dyDescent="0.25">
      <c r="A43" s="29"/>
      <c r="B43" s="32"/>
      <c r="C43" s="66">
        <f t="shared" si="4"/>
        <v>0</v>
      </c>
      <c r="D43" s="33" t="str">
        <f t="shared" si="5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8"/>
        <v>0</v>
      </c>
      <c r="H43" s="52">
        <v>81.19</v>
      </c>
      <c r="I43" s="52">
        <v>2.5</v>
      </c>
      <c r="J43" s="51">
        <f t="shared" si="2"/>
        <v>0</v>
      </c>
      <c r="K43" s="51">
        <f t="shared" si="3"/>
        <v>0</v>
      </c>
      <c r="L43" s="51">
        <f t="shared" si="6"/>
        <v>0</v>
      </c>
      <c r="M43" s="51">
        <f t="shared" si="7"/>
        <v>0</v>
      </c>
      <c r="N43" s="93">
        <f>IF(C43&lt;=$F$20,0,IF(N42&lt;0,0,$F$15*C43-SUM($N$27:N42)))</f>
        <v>0</v>
      </c>
      <c r="O43" s="90">
        <v>0</v>
      </c>
      <c r="P43" s="31"/>
      <c r="Q43" s="5"/>
      <c r="R43" s="5"/>
      <c r="S43" s="5"/>
    </row>
    <row r="44" spans="1:21" x14ac:dyDescent="0.25">
      <c r="A44" s="29"/>
      <c r="B44" s="32"/>
      <c r="C44" s="66">
        <f t="shared" si="4"/>
        <v>0</v>
      </c>
      <c r="D44" s="33" t="str">
        <f t="shared" si="5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8"/>
        <v>0</v>
      </c>
      <c r="H44" s="52">
        <v>81.19</v>
      </c>
      <c r="I44" s="52">
        <v>2.5</v>
      </c>
      <c r="J44" s="51">
        <f t="shared" si="2"/>
        <v>0</v>
      </c>
      <c r="K44" s="51">
        <f t="shared" si="3"/>
        <v>0</v>
      </c>
      <c r="L44" s="51">
        <f t="shared" si="6"/>
        <v>0</v>
      </c>
      <c r="M44" s="51">
        <f t="shared" si="7"/>
        <v>0</v>
      </c>
      <c r="N44" s="93">
        <f>IF(C44&lt;=$F$20,0,IF(N43&lt;0,0,$F$15*C44-SUM($N$27:N43)))</f>
        <v>0</v>
      </c>
      <c r="O44" s="90">
        <v>0</v>
      </c>
      <c r="P44" s="31"/>
      <c r="Q44" s="5"/>
      <c r="R44" s="5"/>
      <c r="S44" s="5"/>
    </row>
    <row r="45" spans="1:21" x14ac:dyDescent="0.25">
      <c r="A45" s="29"/>
      <c r="B45" s="32"/>
      <c r="C45" s="66">
        <f t="shared" si="4"/>
        <v>0</v>
      </c>
      <c r="D45" s="33" t="str">
        <f t="shared" si="5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8"/>
        <v>0</v>
      </c>
      <c r="H45" s="52">
        <v>81.19</v>
      </c>
      <c r="I45" s="52">
        <v>2.5</v>
      </c>
      <c r="J45" s="51">
        <f t="shared" si="2"/>
        <v>0</v>
      </c>
      <c r="K45" s="51">
        <f t="shared" si="3"/>
        <v>0</v>
      </c>
      <c r="L45" s="51">
        <f t="shared" si="6"/>
        <v>0</v>
      </c>
      <c r="M45" s="51">
        <f t="shared" si="7"/>
        <v>0</v>
      </c>
      <c r="N45" s="93">
        <f>IF(C45&lt;=$F$20,0,IF(N44&lt;0,0,$F$15*C45-SUM($N$27:N44)))</f>
        <v>0</v>
      </c>
      <c r="O45" s="90">
        <v>0</v>
      </c>
      <c r="P45" s="31"/>
      <c r="Q45" s="5"/>
      <c r="R45" s="5"/>
      <c r="S45" s="5"/>
    </row>
    <row r="46" spans="1:21" x14ac:dyDescent="0.25">
      <c r="A46" s="29"/>
      <c r="B46" s="32"/>
      <c r="C46" s="66">
        <f t="shared" si="4"/>
        <v>0</v>
      </c>
      <c r="D46" s="33" t="str">
        <f t="shared" si="5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8"/>
        <v>0</v>
      </c>
      <c r="H46" s="52">
        <v>81.19</v>
      </c>
      <c r="I46" s="52">
        <v>2.5</v>
      </c>
      <c r="J46" s="51">
        <f t="shared" si="2"/>
        <v>0</v>
      </c>
      <c r="K46" s="51">
        <f t="shared" si="3"/>
        <v>0</v>
      </c>
      <c r="L46" s="51">
        <f t="shared" si="6"/>
        <v>0</v>
      </c>
      <c r="M46" s="51">
        <f t="shared" si="7"/>
        <v>0</v>
      </c>
      <c r="N46" s="93">
        <f>IF(C46&lt;=$F$20,0,IF(N45&lt;0,0,$F$15*C46-SUM($N$27:N45)))</f>
        <v>0</v>
      </c>
      <c r="O46" s="90">
        <v>0</v>
      </c>
      <c r="P46" s="31"/>
      <c r="Q46" s="5"/>
      <c r="R46" s="5"/>
      <c r="S46" s="5"/>
    </row>
    <row r="47" spans="1:21" x14ac:dyDescent="0.25">
      <c r="A47" s="29"/>
      <c r="B47" s="32"/>
      <c r="C47" s="67">
        <f t="shared" si="4"/>
        <v>0</v>
      </c>
      <c r="D47" s="33" t="str">
        <f t="shared" si="5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8"/>
        <v>0</v>
      </c>
      <c r="H47" s="52">
        <v>81.19</v>
      </c>
      <c r="I47" s="52">
        <v>2.5</v>
      </c>
      <c r="J47" s="51">
        <f t="shared" si="2"/>
        <v>0</v>
      </c>
      <c r="K47" s="51">
        <f t="shared" si="3"/>
        <v>0</v>
      </c>
      <c r="L47" s="51">
        <f t="shared" si="6"/>
        <v>0</v>
      </c>
      <c r="M47" s="51">
        <f t="shared" si="7"/>
        <v>0</v>
      </c>
      <c r="N47" s="93">
        <f>IF(C47&lt;=$F$20,0,IF(N46&lt;0,0,$F$15*C47-SUM($N$27:N46)))</f>
        <v>0</v>
      </c>
      <c r="O47" s="90">
        <v>0</v>
      </c>
      <c r="P47" s="31"/>
      <c r="Q47" s="5"/>
      <c r="R47" s="5"/>
      <c r="S47" s="5"/>
    </row>
    <row r="48" spans="1:21" x14ac:dyDescent="0.25">
      <c r="A48" s="29"/>
      <c r="B48" s="32"/>
      <c r="C48" s="66">
        <f t="shared" si="4"/>
        <v>0</v>
      </c>
      <c r="D48" s="33" t="str">
        <f t="shared" si="5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8"/>
        <v>0</v>
      </c>
      <c r="H48" s="52">
        <v>81.19</v>
      </c>
      <c r="I48" s="52">
        <v>2.5</v>
      </c>
      <c r="J48" s="51">
        <f t="shared" si="2"/>
        <v>0</v>
      </c>
      <c r="K48" s="51">
        <f t="shared" si="3"/>
        <v>0</v>
      </c>
      <c r="L48" s="51">
        <f t="shared" si="6"/>
        <v>0</v>
      </c>
      <c r="M48" s="51">
        <f t="shared" si="7"/>
        <v>0</v>
      </c>
      <c r="N48" s="93">
        <f>IF(C48&lt;=$F$20,0,IF(N47&lt;0,0,$F$15*C48-SUM($N$27:N47)))</f>
        <v>0</v>
      </c>
      <c r="O48" s="90">
        <v>0</v>
      </c>
      <c r="P48" s="31"/>
      <c r="Q48" s="5"/>
      <c r="R48" s="5"/>
      <c r="S48" s="5"/>
    </row>
    <row r="49" spans="1:21" x14ac:dyDescent="0.25">
      <c r="A49" s="29"/>
      <c r="B49" s="32"/>
      <c r="C49" s="66">
        <f t="shared" si="4"/>
        <v>0</v>
      </c>
      <c r="D49" s="33" t="str">
        <f t="shared" si="5"/>
        <v>-</v>
      </c>
      <c r="E49" s="53">
        <f t="shared" si="0"/>
        <v>0</v>
      </c>
      <c r="F49" s="53">
        <f>_xlfn.IFNA(VLOOKUP(D49,'Prod Profile'!$K$8:$L$31,2,FALSE),0)</f>
        <v>0</v>
      </c>
      <c r="G49" s="53">
        <f t="shared" si="8"/>
        <v>0</v>
      </c>
      <c r="H49" s="52">
        <v>81.19</v>
      </c>
      <c r="I49" s="52">
        <v>2.5</v>
      </c>
      <c r="J49" s="51">
        <f t="shared" si="2"/>
        <v>0</v>
      </c>
      <c r="K49" s="51">
        <f t="shared" si="3"/>
        <v>0</v>
      </c>
      <c r="L49" s="51">
        <f t="shared" si="6"/>
        <v>0</v>
      </c>
      <c r="M49" s="51">
        <f t="shared" si="7"/>
        <v>0</v>
      </c>
      <c r="N49" s="93">
        <f>IF(C49&lt;=$F$20,0,IF(N48&lt;0,0,$F$15*C49-SUM($N$27:N48)))</f>
        <v>0</v>
      </c>
      <c r="O49" s="90">
        <v>0</v>
      </c>
      <c r="P49" s="31"/>
      <c r="Q49" s="5"/>
      <c r="R49" s="5"/>
      <c r="S49" s="5"/>
    </row>
    <row r="50" spans="1:21" x14ac:dyDescent="0.25">
      <c r="A50" s="29"/>
      <c r="B50" s="32"/>
      <c r="C50" s="66">
        <f t="shared" si="4"/>
        <v>0</v>
      </c>
      <c r="D50" s="33" t="str">
        <f t="shared" si="5"/>
        <v>-</v>
      </c>
      <c r="E50" s="53">
        <f t="shared" si="0"/>
        <v>0</v>
      </c>
      <c r="F50" s="53">
        <f>_xlfn.IFNA(VLOOKUP(D50,'Prod Profile'!$K$8:$L$31,2,FALSE),0)</f>
        <v>0</v>
      </c>
      <c r="G50" s="53">
        <f t="shared" si="8"/>
        <v>0</v>
      </c>
      <c r="H50" s="52">
        <v>81.19</v>
      </c>
      <c r="I50" s="52">
        <v>2.5</v>
      </c>
      <c r="J50" s="51">
        <f t="shared" si="2"/>
        <v>0</v>
      </c>
      <c r="K50" s="51">
        <f t="shared" si="3"/>
        <v>0</v>
      </c>
      <c r="L50" s="51">
        <f t="shared" si="6"/>
        <v>0</v>
      </c>
      <c r="M50" s="51">
        <f t="shared" si="7"/>
        <v>0</v>
      </c>
      <c r="N50" s="93">
        <f>IF(C50&lt;=$F$20,0,IF(N49&lt;0,0,$F$15*C50-SUM($N$27:N49)))</f>
        <v>0</v>
      </c>
      <c r="O50" s="90">
        <v>0</v>
      </c>
      <c r="P50" s="31"/>
      <c r="Q50" s="5"/>
      <c r="R50" s="5"/>
      <c r="S50" s="5"/>
    </row>
    <row r="51" spans="1:21" s="39" customFormat="1" x14ac:dyDescent="0.25">
      <c r="A51" s="59"/>
      <c r="B51" s="60"/>
      <c r="E51" s="61">
        <f>SUM(E27:E50)</f>
        <v>0</v>
      </c>
      <c r="F51" s="61">
        <f>SUM(F27:F50)</f>
        <v>4223.5333641798907</v>
      </c>
      <c r="G51" s="61">
        <f>SUM(G27:G50)</f>
        <v>299332.25283630472</v>
      </c>
      <c r="H51" s="76"/>
      <c r="I51" s="62"/>
      <c r="J51" s="63">
        <f>SUM(J27:J50)</f>
        <v>342908.67383776535</v>
      </c>
      <c r="K51" s="63">
        <f>SUM(K27:K50)</f>
        <v>43576.421001460658</v>
      </c>
      <c r="L51" s="63">
        <f>MAX(L27:L50)</f>
        <v>29196.202070978641</v>
      </c>
      <c r="M51" s="63">
        <f>MAX(M27:M50)</f>
        <v>14380.218930482015</v>
      </c>
      <c r="N51" s="94">
        <f>SUM(N27:N50)</f>
        <v>163837.92544570501</v>
      </c>
      <c r="O51" s="104"/>
      <c r="P51" s="64"/>
      <c r="T51" s="64"/>
      <c r="U51" s="64"/>
    </row>
    <row r="52" spans="1:21" x14ac:dyDescent="0.25">
      <c r="A52" s="29"/>
      <c r="B52" s="32"/>
      <c r="E52" s="8"/>
      <c r="F52" s="8"/>
      <c r="G52" s="9"/>
      <c r="H52" s="76"/>
      <c r="I52" s="9"/>
      <c r="L52" s="50"/>
      <c r="M52" s="80"/>
      <c r="O52" s="102"/>
    </row>
    <row r="53" spans="1:21" x14ac:dyDescent="0.25">
      <c r="B53" s="4"/>
      <c r="C53" s="39" t="s">
        <v>9</v>
      </c>
      <c r="D53" s="34"/>
      <c r="E53" s="34"/>
      <c r="F53" s="8"/>
      <c r="G53" s="77"/>
      <c r="H53" s="9"/>
      <c r="I53" s="35"/>
      <c r="J53" s="162" t="s">
        <v>89</v>
      </c>
      <c r="K53" s="162"/>
      <c r="L53" s="162"/>
      <c r="M53" s="80"/>
      <c r="O53" s="102"/>
    </row>
    <row r="54" spans="1:21" x14ac:dyDescent="0.25">
      <c r="B54" s="4"/>
      <c r="D54" s="163" t="s">
        <v>48</v>
      </c>
      <c r="E54" s="163"/>
      <c r="F54" s="163"/>
      <c r="G54" s="68">
        <f>L51*0.75</f>
        <v>21897.15155323398</v>
      </c>
      <c r="H54" s="36">
        <f>G54/SUM(L51:M51)</f>
        <v>0.50249999999999995</v>
      </c>
      <c r="I54" s="9"/>
      <c r="J54" s="1">
        <v>1</v>
      </c>
      <c r="L54" s="1" t="s">
        <v>92</v>
      </c>
      <c r="M54" s="80"/>
      <c r="O54" s="102"/>
    </row>
    <row r="55" spans="1:21" x14ac:dyDescent="0.25">
      <c r="B55" s="4"/>
      <c r="D55" s="165" t="s">
        <v>49</v>
      </c>
      <c r="E55" s="165"/>
      <c r="F55" s="165"/>
      <c r="G55" s="69">
        <v>0</v>
      </c>
      <c r="H55" s="37">
        <f>G55/SUM(L51:M51)</f>
        <v>0</v>
      </c>
      <c r="I55" s="9"/>
      <c r="J55" s="1">
        <v>2</v>
      </c>
      <c r="L55" s="1" t="s">
        <v>69</v>
      </c>
      <c r="M55" s="80"/>
      <c r="O55" s="102"/>
    </row>
    <row r="56" spans="1:21" x14ac:dyDescent="0.25">
      <c r="B56" s="4"/>
      <c r="D56" s="163" t="s">
        <v>50</v>
      </c>
      <c r="E56" s="163"/>
      <c r="F56" s="163"/>
      <c r="G56" s="68">
        <f>SUM(G54:G55)</f>
        <v>21897.15155323398</v>
      </c>
      <c r="H56" s="36">
        <f>SUM(H54:H55)</f>
        <v>0.50249999999999995</v>
      </c>
      <c r="I56" s="9"/>
      <c r="J56" s="1">
        <v>3</v>
      </c>
      <c r="L56" s="1" t="s">
        <v>90</v>
      </c>
      <c r="N56" s="35"/>
      <c r="O56" s="102"/>
    </row>
    <row r="57" spans="1:21" x14ac:dyDescent="0.25">
      <c r="B57" s="4"/>
      <c r="F57" s="8"/>
      <c r="G57" s="68"/>
      <c r="H57" s="36"/>
      <c r="I57" s="9"/>
      <c r="J57" s="1">
        <v>4</v>
      </c>
      <c r="L57" s="1" t="s">
        <v>91</v>
      </c>
      <c r="O57" s="102"/>
    </row>
    <row r="58" spans="1:21" x14ac:dyDescent="0.25">
      <c r="B58" s="4"/>
      <c r="D58" s="165" t="s">
        <v>51</v>
      </c>
      <c r="E58" s="165"/>
      <c r="F58" s="165"/>
      <c r="G58" s="69">
        <f>M51+L51*0.25</f>
        <v>21679.269448226674</v>
      </c>
      <c r="H58" s="37">
        <f>G58/SUM(L51:M51)</f>
        <v>0.49749999999999994</v>
      </c>
      <c r="I58" s="9"/>
      <c r="J58" s="1">
        <v>5</v>
      </c>
      <c r="L58" s="1" t="s">
        <v>47</v>
      </c>
      <c r="O58" s="102"/>
    </row>
    <row r="59" spans="1:21" x14ac:dyDescent="0.25">
      <c r="B59" s="4"/>
      <c r="D59" s="163" t="s">
        <v>52</v>
      </c>
      <c r="E59" s="163"/>
      <c r="F59" s="163"/>
      <c r="G59" s="70">
        <f>SUM(G58)</f>
        <v>21679.269448226674</v>
      </c>
      <c r="H59" s="38">
        <f>SUM(H58)</f>
        <v>0.49749999999999994</v>
      </c>
      <c r="I59" s="9"/>
      <c r="J59" s="1">
        <v>6</v>
      </c>
      <c r="L59" s="1" t="s">
        <v>7</v>
      </c>
      <c r="O59" s="102"/>
    </row>
    <row r="60" spans="1:21" x14ac:dyDescent="0.25">
      <c r="B60" s="4"/>
      <c r="F60" s="34"/>
      <c r="G60" s="35"/>
      <c r="H60" s="35"/>
      <c r="I60" s="9"/>
      <c r="J60" s="1">
        <v>7</v>
      </c>
      <c r="L60" s="1" t="s">
        <v>2</v>
      </c>
      <c r="O60" s="102"/>
    </row>
    <row r="61" spans="1:21" x14ac:dyDescent="0.25">
      <c r="B61" s="4"/>
      <c r="C61" s="39" t="s">
        <v>107</v>
      </c>
      <c r="F61" s="95"/>
      <c r="G61" s="49" t="s">
        <v>3</v>
      </c>
      <c r="H61" s="49" t="s">
        <v>4</v>
      </c>
      <c r="I61" s="9"/>
      <c r="J61" s="1">
        <v>8</v>
      </c>
      <c r="L61" s="1" t="s">
        <v>43</v>
      </c>
      <c r="O61" s="102"/>
    </row>
    <row r="62" spans="1:21" x14ac:dyDescent="0.25">
      <c r="B62" s="4"/>
      <c r="D62" s="164" t="s">
        <v>54</v>
      </c>
      <c r="E62" s="164"/>
      <c r="F62" s="164"/>
      <c r="G62" s="71">
        <f>NPV($J$19/12*$M$20,VLOOKUP($M$20,$C$27:$O$50,9,FALSE))</f>
        <v>12825.179634163496</v>
      </c>
      <c r="H62" s="71">
        <f>NPV($J$19/12*$M$20,VLOOKUP($M$20,$C$27:$O$50,10,FALSE))</f>
        <v>8276.2629835066818</v>
      </c>
      <c r="I62" s="9"/>
      <c r="J62" s="1">
        <v>9</v>
      </c>
      <c r="L62" s="1" t="s">
        <v>94</v>
      </c>
      <c r="O62" s="102"/>
    </row>
    <row r="63" spans="1:21" x14ac:dyDescent="0.25">
      <c r="B63" s="4"/>
      <c r="D63" s="164" t="s">
        <v>55</v>
      </c>
      <c r="E63" s="164"/>
      <c r="F63" s="164"/>
      <c r="G63" s="71">
        <f>NPV($J$19,L51)</f>
        <v>26542.001882707853</v>
      </c>
      <c r="H63" s="71">
        <f>NPV($J$19,M51)</f>
        <v>13072.926300438194</v>
      </c>
      <c r="I63" s="9"/>
      <c r="J63" s="1">
        <v>10</v>
      </c>
      <c r="L63" s="1" t="s">
        <v>95</v>
      </c>
      <c r="O63" s="102"/>
    </row>
    <row r="64" spans="1:21" x14ac:dyDescent="0.25">
      <c r="B64" s="4"/>
      <c r="F64" s="8"/>
      <c r="G64" s="9"/>
      <c r="H64" s="9"/>
      <c r="I64" s="9"/>
      <c r="J64" s="1">
        <v>11</v>
      </c>
      <c r="L64" s="1" t="s">
        <v>100</v>
      </c>
      <c r="O64" s="102"/>
    </row>
    <row r="65" spans="2:15" ht="12" thickBot="1" x14ac:dyDescent="0.3">
      <c r="B65" s="40"/>
      <c r="C65" s="41"/>
      <c r="D65" s="41"/>
      <c r="E65" s="41"/>
      <c r="F65" s="42"/>
      <c r="G65" s="43"/>
      <c r="H65" s="43"/>
      <c r="I65" s="43"/>
      <c r="J65" s="41"/>
      <c r="K65" s="41"/>
      <c r="L65" s="41"/>
      <c r="M65" s="41"/>
      <c r="N65" s="41"/>
      <c r="O65" s="105"/>
    </row>
    <row r="66" spans="2:15" ht="15" customHeight="1" x14ac:dyDescent="0.25">
      <c r="J66" s="44"/>
      <c r="K66" s="44"/>
      <c r="L66" s="44"/>
      <c r="M66" s="45"/>
    </row>
  </sheetData>
  <mergeCells count="27">
    <mergeCell ref="C15:E15"/>
    <mergeCell ref="B2:O2"/>
    <mergeCell ref="C6:E6"/>
    <mergeCell ref="C12:E12"/>
    <mergeCell ref="C13:E13"/>
    <mergeCell ref="C14:E14"/>
    <mergeCell ref="N23:N24"/>
    <mergeCell ref="C18:E18"/>
    <mergeCell ref="C19:E19"/>
    <mergeCell ref="C20:E20"/>
    <mergeCell ref="C23:C25"/>
    <mergeCell ref="D23:D25"/>
    <mergeCell ref="E23:F23"/>
    <mergeCell ref="G23:G24"/>
    <mergeCell ref="H23:H24"/>
    <mergeCell ref="I23:I24"/>
    <mergeCell ref="J23:J24"/>
    <mergeCell ref="L23:M23"/>
    <mergeCell ref="K23:K24"/>
    <mergeCell ref="J53:L53"/>
    <mergeCell ref="D63:F63"/>
    <mergeCell ref="D54:F54"/>
    <mergeCell ref="D55:F55"/>
    <mergeCell ref="D56:F56"/>
    <mergeCell ref="D58:F58"/>
    <mergeCell ref="D59:F59"/>
    <mergeCell ref="D62:F62"/>
  </mergeCells>
  <phoneticPr fontId="20" type="noConversion"/>
  <printOptions horizontalCentered="1"/>
  <pageMargins left="0.2" right="0.2" top="0.25" bottom="0.25" header="0" footer="0"/>
  <pageSetup paperSize="9" scale="7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C69-20BA-4870-AFA1-0B65F6DD4073}">
  <sheetPr>
    <pageSetUpPr fitToPage="1"/>
  </sheetPr>
  <dimension ref="A1:T66"/>
  <sheetViews>
    <sheetView view="pageBreakPreview" topLeftCell="A10" zoomScaleNormal="130" zoomScaleSheetLayoutView="100" workbookViewId="0">
      <selection activeCell="L35" sqref="L35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10.5703125" style="1" customWidth="1"/>
    <col min="5" max="5" width="10.140625" style="1" customWidth="1"/>
    <col min="6" max="6" width="10.140625" style="2" customWidth="1"/>
    <col min="7" max="8" width="12.28515625" style="3" customWidth="1"/>
    <col min="9" max="9" width="8.85546875" style="3" customWidth="1"/>
    <col min="10" max="10" width="16.42578125" style="1" customWidth="1"/>
    <col min="11" max="12" width="14.7109375" style="1" customWidth="1"/>
    <col min="13" max="13" width="16.140625" style="1" bestFit="1" customWidth="1"/>
    <col min="14" max="14" width="2.85546875" style="1" customWidth="1"/>
    <col min="15" max="15" width="13.140625" style="3" bestFit="1" customWidth="1"/>
    <col min="16" max="16" width="12.5703125" style="1" bestFit="1" customWidth="1"/>
    <col min="17" max="17" width="9.140625" style="1"/>
    <col min="18" max="18" width="12.7109375" style="1" bestFit="1" customWidth="1"/>
    <col min="19" max="20" width="11.140625" style="3" bestFit="1" customWidth="1"/>
    <col min="21" max="21" width="10.7109375" style="1" bestFit="1" customWidth="1"/>
    <col min="22" max="16384" width="9.140625" style="1"/>
  </cols>
  <sheetData>
    <row r="1" spans="2:14" ht="12" thickBot="1" x14ac:dyDescent="0.3"/>
    <row r="2" spans="2:14" ht="54.6" customHeight="1" x14ac:dyDescent="0.25">
      <c r="B2" s="174" t="s">
        <v>123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</row>
    <row r="3" spans="2:14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101"/>
    </row>
    <row r="4" spans="2:14" x14ac:dyDescent="0.25">
      <c r="B4" s="4"/>
      <c r="F4" s="8"/>
      <c r="G4" s="9"/>
      <c r="H4" s="9"/>
      <c r="I4" s="9"/>
      <c r="L4" s="10" t="s">
        <v>11</v>
      </c>
      <c r="M4" s="80"/>
      <c r="N4" s="102"/>
    </row>
    <row r="5" spans="2:14" x14ac:dyDescent="0.25">
      <c r="B5" s="4"/>
      <c r="F5" s="8"/>
      <c r="G5" s="9"/>
      <c r="H5" s="9"/>
      <c r="I5" s="9"/>
      <c r="L5" s="10" t="s">
        <v>13</v>
      </c>
      <c r="M5" s="116" t="s">
        <v>65</v>
      </c>
      <c r="N5" s="102"/>
    </row>
    <row r="6" spans="2:14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4" t="s">
        <v>12</v>
      </c>
      <c r="M6" s="99"/>
      <c r="N6" s="102"/>
    </row>
    <row r="7" spans="2:14" ht="12" thickTop="1" x14ac:dyDescent="0.25">
      <c r="B7" s="4"/>
      <c r="C7" s="15" t="s">
        <v>17</v>
      </c>
      <c r="D7" s="15"/>
      <c r="F7" s="8"/>
      <c r="G7" s="9"/>
      <c r="H7" s="9"/>
      <c r="I7" s="9"/>
      <c r="N7" s="102"/>
    </row>
    <row r="8" spans="2:14" x14ac:dyDescent="0.25">
      <c r="B8" s="4"/>
      <c r="C8" s="1" t="s">
        <v>119</v>
      </c>
      <c r="D8" s="15"/>
      <c r="F8" s="8"/>
      <c r="G8" s="9"/>
      <c r="H8" s="9"/>
      <c r="I8" s="9"/>
      <c r="N8" s="102"/>
    </row>
    <row r="9" spans="2:14" x14ac:dyDescent="0.25">
      <c r="B9" s="4"/>
      <c r="C9" s="15"/>
      <c r="D9" s="15"/>
      <c r="F9" s="8"/>
      <c r="G9" s="9"/>
      <c r="H9" s="9"/>
      <c r="I9" s="9"/>
      <c r="N9" s="102"/>
    </row>
    <row r="10" spans="2:14" x14ac:dyDescent="0.25">
      <c r="B10" s="4"/>
      <c r="F10" s="8"/>
      <c r="G10" s="9"/>
      <c r="H10" s="9"/>
      <c r="I10" s="9"/>
      <c r="N10" s="102"/>
    </row>
    <row r="11" spans="2:14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K11" s="79" t="s">
        <v>40</v>
      </c>
      <c r="L11" s="20"/>
      <c r="M11" s="20"/>
      <c r="N11" s="102"/>
    </row>
    <row r="12" spans="2:14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K12" s="1" t="s">
        <v>41</v>
      </c>
      <c r="L12" s="15"/>
      <c r="M12" s="15"/>
      <c r="N12" s="102"/>
    </row>
    <row r="13" spans="2:14" x14ac:dyDescent="0.25">
      <c r="B13" s="4"/>
      <c r="C13" s="173" t="s">
        <v>33</v>
      </c>
      <c r="D13" s="173"/>
      <c r="E13" s="173"/>
      <c r="F13" s="16">
        <v>9000</v>
      </c>
      <c r="G13" s="100">
        <v>0</v>
      </c>
      <c r="H13" s="47" t="s">
        <v>101</v>
      </c>
      <c r="I13" s="1"/>
      <c r="K13" s="17" t="s">
        <v>1</v>
      </c>
      <c r="L13" s="82">
        <f>SUM('Prod Profile'!J8:J31)</f>
        <v>10127.518691736792</v>
      </c>
      <c r="M13" s="17" t="s">
        <v>23</v>
      </c>
      <c r="N13" s="102"/>
    </row>
    <row r="14" spans="2:14" x14ac:dyDescent="0.25">
      <c r="B14" s="4"/>
      <c r="C14" s="173" t="s">
        <v>28</v>
      </c>
      <c r="D14" s="173"/>
      <c r="E14" s="173"/>
      <c r="F14" s="16">
        <v>1000</v>
      </c>
      <c r="G14" s="100">
        <v>1</v>
      </c>
      <c r="H14" s="47" t="s">
        <v>102</v>
      </c>
      <c r="I14" s="1"/>
      <c r="K14" s="17" t="s">
        <v>0</v>
      </c>
      <c r="L14" s="82">
        <v>0</v>
      </c>
      <c r="M14" s="17" t="s">
        <v>22</v>
      </c>
      <c r="N14" s="102"/>
    </row>
    <row r="15" spans="2:14" x14ac:dyDescent="0.25">
      <c r="B15" s="4"/>
      <c r="C15" s="173" t="s">
        <v>29</v>
      </c>
      <c r="D15" s="173"/>
      <c r="E15" s="173"/>
      <c r="F15" s="16">
        <v>12300</v>
      </c>
      <c r="G15" s="100">
        <v>1</v>
      </c>
      <c r="H15" s="47" t="s">
        <v>103</v>
      </c>
      <c r="I15" s="18"/>
      <c r="J15" s="18"/>
      <c r="K15" s="18"/>
      <c r="L15" s="18"/>
      <c r="M15" s="16"/>
      <c r="N15" s="102"/>
    </row>
    <row r="16" spans="2:14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102"/>
    </row>
    <row r="17" spans="1:20" x14ac:dyDescent="0.25">
      <c r="B17" s="4"/>
      <c r="C17" s="23"/>
      <c r="D17" s="23"/>
      <c r="E17" s="23"/>
      <c r="F17" s="24"/>
      <c r="G17" s="25"/>
      <c r="H17" s="25"/>
      <c r="I17" s="25"/>
      <c r="J17" s="23"/>
      <c r="K17" s="96"/>
      <c r="N17" s="102"/>
    </row>
    <row r="18" spans="1:20" x14ac:dyDescent="0.25">
      <c r="B18" s="4"/>
      <c r="C18" s="163" t="s">
        <v>58</v>
      </c>
      <c r="D18" s="163"/>
      <c r="E18" s="163"/>
      <c r="F18" s="83" t="s">
        <v>130</v>
      </c>
      <c r="G18" s="74"/>
      <c r="H18" s="74"/>
      <c r="I18" s="10" t="s">
        <v>14</v>
      </c>
      <c r="J18" s="80">
        <v>2022</v>
      </c>
      <c r="K18" s="10" t="s">
        <v>66</v>
      </c>
      <c r="L18" s="72">
        <v>0.55000000000000004</v>
      </c>
      <c r="M18" s="39" t="s">
        <v>68</v>
      </c>
      <c r="N18" s="102"/>
    </row>
    <row r="19" spans="1:20" x14ac:dyDescent="0.25">
      <c r="B19" s="4"/>
      <c r="C19" s="163" t="s">
        <v>30</v>
      </c>
      <c r="D19" s="163"/>
      <c r="E19" s="163"/>
      <c r="F19" s="5">
        <v>12</v>
      </c>
      <c r="G19" s="76" t="s">
        <v>35</v>
      </c>
      <c r="H19" s="76"/>
      <c r="I19" s="10" t="s">
        <v>15</v>
      </c>
      <c r="J19" s="46">
        <v>0.1</v>
      </c>
      <c r="K19" s="10" t="s">
        <v>67</v>
      </c>
      <c r="L19" s="72">
        <v>0.65</v>
      </c>
      <c r="M19" s="39" t="s">
        <v>68</v>
      </c>
      <c r="N19" s="103"/>
    </row>
    <row r="20" spans="1:20" x14ac:dyDescent="0.25">
      <c r="B20" s="4"/>
      <c r="C20" s="163" t="s">
        <v>34</v>
      </c>
      <c r="D20" s="163"/>
      <c r="E20" s="163"/>
      <c r="F20" s="5">
        <v>12</v>
      </c>
      <c r="G20" s="76" t="s">
        <v>35</v>
      </c>
      <c r="H20" s="76"/>
      <c r="I20" s="10" t="s">
        <v>16</v>
      </c>
      <c r="J20" s="80" t="s">
        <v>8</v>
      </c>
      <c r="K20" s="10" t="s">
        <v>105</v>
      </c>
      <c r="L20" s="98" cm="1">
        <f t="array" ref="L20">IF(VLOOKUP(MIN(IF(K27:K50&gt;0,K27:K50)),$K$27:$N$50,4,FALSE)=0,$F$19,VLOOKUP(MIN(IF(K27:K50&gt;0,K27:K50)),$K$27:$N$50,4,FALSE))</f>
        <v>1</v>
      </c>
      <c r="M20" s="39" t="s">
        <v>69</v>
      </c>
      <c r="N20" s="102"/>
    </row>
    <row r="21" spans="1:20" x14ac:dyDescent="0.25">
      <c r="B21" s="4"/>
      <c r="C21" s="80"/>
      <c r="D21" s="80"/>
      <c r="E21" s="80"/>
      <c r="F21" s="5"/>
      <c r="G21" s="76"/>
      <c r="H21" s="76"/>
      <c r="I21" s="10"/>
      <c r="J21" s="80"/>
      <c r="K21" s="10" t="s">
        <v>106</v>
      </c>
      <c r="L21" s="75">
        <f>SUMIFS($F$27:$F$50,$C$27:$C$50,"&lt;="&amp;L20)</f>
        <v>741.63388313372843</v>
      </c>
      <c r="M21" s="75" t="s">
        <v>53</v>
      </c>
      <c r="N21" s="102"/>
    </row>
    <row r="22" spans="1:20" x14ac:dyDescent="0.25">
      <c r="B22" s="4"/>
      <c r="C22" s="80"/>
      <c r="D22" s="80"/>
      <c r="E22" s="80"/>
      <c r="F22" s="5"/>
      <c r="G22" s="76"/>
      <c r="H22" s="76"/>
      <c r="I22" s="10"/>
      <c r="J22" s="80"/>
      <c r="L22" s="80"/>
      <c r="N22" s="102"/>
    </row>
    <row r="23" spans="1:20" s="26" customFormat="1" ht="11.25" customHeight="1" x14ac:dyDescent="0.25">
      <c r="B23" s="27"/>
      <c r="C23" s="170" t="s">
        <v>31</v>
      </c>
      <c r="D23" s="170" t="s">
        <v>32</v>
      </c>
      <c r="E23" s="171" t="s">
        <v>46</v>
      </c>
      <c r="F23" s="172"/>
      <c r="G23" s="168" t="s">
        <v>47</v>
      </c>
      <c r="H23" s="166" t="s">
        <v>7</v>
      </c>
      <c r="I23" s="166" t="s">
        <v>2</v>
      </c>
      <c r="J23" s="166" t="s">
        <v>43</v>
      </c>
      <c r="K23" s="171" t="s">
        <v>70</v>
      </c>
      <c r="L23" s="172"/>
      <c r="M23" s="166" t="s">
        <v>59</v>
      </c>
      <c r="N23" s="102"/>
      <c r="O23" s="28"/>
      <c r="S23" s="28"/>
      <c r="T23" s="28"/>
    </row>
    <row r="24" spans="1:20" s="5" customFormat="1" ht="11.25" customHeight="1" x14ac:dyDescent="0.25">
      <c r="A24" s="29"/>
      <c r="B24" s="30"/>
      <c r="C24" s="170"/>
      <c r="D24" s="170"/>
      <c r="E24" s="81" t="s">
        <v>0</v>
      </c>
      <c r="F24" s="56" t="s">
        <v>1</v>
      </c>
      <c r="G24" s="169"/>
      <c r="H24" s="167"/>
      <c r="I24" s="167"/>
      <c r="J24" s="167"/>
      <c r="K24" s="81" t="s">
        <v>3</v>
      </c>
      <c r="L24" s="81" t="s">
        <v>4</v>
      </c>
      <c r="M24" s="167"/>
      <c r="N24" s="102"/>
      <c r="O24" s="31"/>
      <c r="S24" s="31"/>
      <c r="T24" s="31"/>
    </row>
    <row r="25" spans="1:20" s="5" customFormat="1" ht="11.25" customHeight="1" x14ac:dyDescent="0.25">
      <c r="A25" s="29"/>
      <c r="B25" s="30"/>
      <c r="C25" s="170"/>
      <c r="D25" s="170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65" t="s">
        <v>42</v>
      </c>
      <c r="N25" s="102"/>
      <c r="O25" s="31"/>
      <c r="S25" s="31"/>
      <c r="T25" s="31"/>
    </row>
    <row r="26" spans="1:20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97" t="s">
        <v>80</v>
      </c>
      <c r="K26" s="97" t="s">
        <v>81</v>
      </c>
      <c r="L26" s="97" t="s">
        <v>82</v>
      </c>
      <c r="M26" s="97" t="s">
        <v>83</v>
      </c>
      <c r="N26" s="102"/>
      <c r="O26" s="31"/>
      <c r="S26" s="31"/>
      <c r="T26" s="31"/>
    </row>
    <row r="27" spans="1:20" ht="11.25" customHeight="1" x14ac:dyDescent="0.25">
      <c r="A27" s="29"/>
      <c r="B27" s="32"/>
      <c r="C27" s="66">
        <v>1</v>
      </c>
      <c r="D27" s="33" t="str">
        <f>F18</f>
        <v>09-2022</v>
      </c>
      <c r="E27" s="53">
        <f t="shared" ref="E27:E50" si="0">IF(C27&lt;&gt;0,$L$14/$F$19,0)</f>
        <v>0</v>
      </c>
      <c r="F27" s="53">
        <f>_xlfn.IFNA(VLOOKUP(D27,'Prod Profile'!$K$8:$L$31,2,FALSE),0)</f>
        <v>741.63388313372843</v>
      </c>
      <c r="G27" s="53">
        <f>IF(C27&lt;&gt;0,IF(C27=1,$F$13+$F$14+$F$15,$F$13*$G$13+$F$14*$G$14+$F$15*$G$15),0)</f>
        <v>22300</v>
      </c>
      <c r="H27" s="52">
        <v>65</v>
      </c>
      <c r="I27" s="52">
        <v>2.5</v>
      </c>
      <c r="J27" s="51">
        <f t="shared" ref="J27:J50" si="1">F27*H27+E27*I27*1000</f>
        <v>48206.202403692347</v>
      </c>
      <c r="K27" s="51">
        <f>IF(C27&lt;&gt;0,J27*$L$18-G27,0)</f>
        <v>4213.4113220307918</v>
      </c>
      <c r="L27" s="51">
        <f>IF(C27&lt;&gt;0,J27*(1-$L$18),0)</f>
        <v>21692.791081661555</v>
      </c>
      <c r="M27" s="93">
        <f>IF(K27&lt;=0,0,$F$15*C27)</f>
        <v>12300</v>
      </c>
      <c r="N27" s="88">
        <v>1</v>
      </c>
      <c r="O27" s="31"/>
      <c r="P27" s="5"/>
      <c r="Q27" s="5"/>
      <c r="R27" s="5"/>
    </row>
    <row r="28" spans="1:20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10-2022</v>
      </c>
      <c r="E28" s="53">
        <f t="shared" si="0"/>
        <v>0</v>
      </c>
      <c r="F28" s="53">
        <f>_xlfn.IFNA(VLOOKUP(D28,'Prod Profile'!$K$8:$L$31,2,FALSE),0)</f>
        <v>748.44989994889352</v>
      </c>
      <c r="G28" s="53">
        <f t="shared" ref="G28:G50" si="2">IF(C28&lt;&gt;0,IF(C28=1,$F$13+$F$14+$F$15,$F$13*$G$13+$F$14*$G$14+$F$15*$G$15),0)</f>
        <v>13300</v>
      </c>
      <c r="H28" s="52">
        <v>65</v>
      </c>
      <c r="I28" s="52">
        <v>2.5</v>
      </c>
      <c r="J28" s="51">
        <f t="shared" si="1"/>
        <v>48649.243496678078</v>
      </c>
      <c r="K28" s="51">
        <f>IF(C28&lt;&gt;0,J28*$L$18+K27-G28,0)</f>
        <v>17670.495245203736</v>
      </c>
      <c r="L28" s="51">
        <f>IF(C28&lt;&gt;0,J28*(1-$L$18)+L27,0)</f>
        <v>43584.950655166685</v>
      </c>
      <c r="M28" s="93">
        <f>IF(K28&lt;=0,0,IF(SUM($M$27)&gt;=$F$15*C28,0,$F$15*C28-SUM($M$27)))</f>
        <v>12300</v>
      </c>
      <c r="N28" s="88">
        <v>2</v>
      </c>
      <c r="O28" s="31"/>
      <c r="P28" s="5"/>
      <c r="Q28" s="5"/>
      <c r="R28" s="5"/>
    </row>
    <row r="29" spans="1:20" x14ac:dyDescent="0.25">
      <c r="A29" s="29"/>
      <c r="B29" s="32"/>
      <c r="C29" s="66">
        <f t="shared" ref="C29:C50" si="3">IF(AND(C28&lt;$F$19,C28&lt;&gt;0),C28+1,0)</f>
        <v>3</v>
      </c>
      <c r="D29" s="33" t="str">
        <f t="shared" ref="D29:D50" si="4">IF(C29&lt;&gt;0,RIGHT("0"&amp;MONTH(EOMONTH(D28,1)),2)&amp;"-"&amp;YEAR(EOMONTH(D28,1)),"-")</f>
        <v>11-2022</v>
      </c>
      <c r="E29" s="53">
        <f t="shared" si="0"/>
        <v>0</v>
      </c>
      <c r="F29" s="53">
        <f>_xlfn.IFNA(VLOOKUP(D29,'Prod Profile'!$K$8:$L$31,2,FALSE),0)</f>
        <v>707.38150597378853</v>
      </c>
      <c r="G29" s="53">
        <f t="shared" si="2"/>
        <v>13300</v>
      </c>
      <c r="H29" s="52">
        <v>65</v>
      </c>
      <c r="I29" s="52">
        <v>2.5</v>
      </c>
      <c r="J29" s="51">
        <f t="shared" si="1"/>
        <v>45979.797888296256</v>
      </c>
      <c r="K29" s="51">
        <f>IF(C29&lt;&gt;0,J29*$L$18+K28-G29,0)</f>
        <v>29659.384083766679</v>
      </c>
      <c r="L29" s="51">
        <f t="shared" ref="L29:L50" si="5">IF(C29&lt;&gt;0,J29*(1-$L$18)+L28,0)</f>
        <v>64275.859704899995</v>
      </c>
      <c r="M29" s="93">
        <f>IF(K29&lt;=0,0,IF(SUM($M$27:M28)&gt;=$F$15*C29,0,$F$15*C29-SUM($M$27:M28)))</f>
        <v>12300</v>
      </c>
      <c r="N29" s="88">
        <v>3</v>
      </c>
      <c r="O29" s="31"/>
      <c r="P29" s="5"/>
      <c r="Q29" s="5"/>
      <c r="R29" s="5"/>
    </row>
    <row r="30" spans="1:20" x14ac:dyDescent="0.25">
      <c r="A30" s="29"/>
      <c r="B30" s="32"/>
      <c r="C30" s="66">
        <f t="shared" si="3"/>
        <v>4</v>
      </c>
      <c r="D30" s="33" t="str">
        <f t="shared" si="4"/>
        <v>12-2022</v>
      </c>
      <c r="E30" s="53">
        <f t="shared" si="0"/>
        <v>0</v>
      </c>
      <c r="F30" s="53">
        <f>_xlfn.IFNA(VLOOKUP(D30,'Prod Profile'!$K$8:$L$31,2,FALSE),0)</f>
        <v>713.88272490283896</v>
      </c>
      <c r="G30" s="53">
        <f t="shared" si="2"/>
        <v>13300</v>
      </c>
      <c r="H30" s="52">
        <v>65</v>
      </c>
      <c r="I30" s="52">
        <v>2.5</v>
      </c>
      <c r="J30" s="51">
        <f t="shared" si="1"/>
        <v>46402.377118684533</v>
      </c>
      <c r="K30" s="51">
        <f t="shared" ref="K30:K50" si="6">IF(C30&lt;&gt;0,J30*$L$18+K29-G30,0)</f>
        <v>41880.691499043176</v>
      </c>
      <c r="L30" s="51">
        <f t="shared" si="5"/>
        <v>85156.929408308031</v>
      </c>
      <c r="M30" s="93">
        <f>IF(K30&lt;=0,0,IF(SUM($M$27:M29)&gt;=$F$15*C30,0,$F$15*C30-SUM($M$27:M29)))</f>
        <v>12300</v>
      </c>
      <c r="N30" s="88">
        <v>4</v>
      </c>
      <c r="O30" s="31"/>
      <c r="P30" s="5"/>
      <c r="Q30" s="5"/>
      <c r="R30" s="5"/>
    </row>
    <row r="31" spans="1:20" x14ac:dyDescent="0.25">
      <c r="A31" s="29"/>
      <c r="B31" s="32"/>
      <c r="C31" s="66">
        <f t="shared" si="3"/>
        <v>5</v>
      </c>
      <c r="D31" s="33" t="str">
        <f t="shared" si="4"/>
        <v>01-2023</v>
      </c>
      <c r="E31" s="53">
        <f t="shared" si="0"/>
        <v>0</v>
      </c>
      <c r="F31" s="53">
        <f>_xlfn.IFNA(VLOOKUP(D31,'Prod Profile'!$K$8:$L$31,2,FALSE),0)</f>
        <v>696.93233558325176</v>
      </c>
      <c r="G31" s="53">
        <f t="shared" si="2"/>
        <v>13300</v>
      </c>
      <c r="H31" s="52">
        <v>65</v>
      </c>
      <c r="I31" s="52">
        <v>2.5</v>
      </c>
      <c r="J31" s="51">
        <f t="shared" si="1"/>
        <v>45300.601812911365</v>
      </c>
      <c r="K31" s="51">
        <f t="shared" si="6"/>
        <v>53496.022496144433</v>
      </c>
      <c r="L31" s="51">
        <f t="shared" si="5"/>
        <v>105542.20022411815</v>
      </c>
      <c r="M31" s="93">
        <f>IF(K31&lt;=0,0,IF(SUM($M$27:M30)&gt;=$F$15*C31,0,$F$15*C31-SUM($M$27:M30)))</f>
        <v>12300</v>
      </c>
      <c r="N31" s="90">
        <v>5</v>
      </c>
      <c r="O31" s="31"/>
      <c r="P31" s="5"/>
      <c r="Q31" s="5"/>
      <c r="R31" s="5"/>
    </row>
    <row r="32" spans="1:20" x14ac:dyDescent="0.25">
      <c r="A32" s="29"/>
      <c r="B32" s="32"/>
      <c r="C32" s="66">
        <f t="shared" si="3"/>
        <v>6</v>
      </c>
      <c r="D32" s="33" t="str">
        <f t="shared" si="4"/>
        <v>02-2023</v>
      </c>
      <c r="E32" s="53">
        <f t="shared" si="0"/>
        <v>0</v>
      </c>
      <c r="F32" s="53">
        <f>_xlfn.IFNA(VLOOKUP(D32,'Prod Profile'!$K$8:$L$31,2,FALSE),0)</f>
        <v>615.25301463739004</v>
      </c>
      <c r="G32" s="53">
        <f t="shared" si="2"/>
        <v>13300</v>
      </c>
      <c r="H32" s="52">
        <v>65</v>
      </c>
      <c r="I32" s="52">
        <v>2.5</v>
      </c>
      <c r="J32" s="51">
        <f t="shared" si="1"/>
        <v>39991.445951430353</v>
      </c>
      <c r="K32" s="51">
        <f t="shared" si="6"/>
        <v>62191.317769431131</v>
      </c>
      <c r="L32" s="51">
        <f t="shared" si="5"/>
        <v>123538.35090226181</v>
      </c>
      <c r="M32" s="93">
        <f>IF(K32&lt;=0,0,IF(SUM($M$27:M31)&gt;=$F$15*C32,0,$F$15*C32-SUM($M$27:M31)))</f>
        <v>12300</v>
      </c>
      <c r="N32" s="90">
        <v>6</v>
      </c>
      <c r="O32" s="31"/>
      <c r="P32" s="5"/>
      <c r="Q32" s="5"/>
      <c r="R32" s="5"/>
      <c r="S32" s="1"/>
      <c r="T32" s="1"/>
    </row>
    <row r="33" spans="1:20" x14ac:dyDescent="0.25">
      <c r="A33" s="29"/>
      <c r="B33" s="32"/>
      <c r="C33" s="66">
        <f t="shared" si="3"/>
        <v>7</v>
      </c>
      <c r="D33" s="33" t="str">
        <f t="shared" si="4"/>
        <v>03-2023</v>
      </c>
      <c r="E33" s="53">
        <f t="shared" si="0"/>
        <v>0</v>
      </c>
      <c r="F33" s="53">
        <f>_xlfn.IFNA(VLOOKUP(D33,'Prod Profile'!$K$8:$L$31,2,FALSE),0)</f>
        <v>665.77588401240666</v>
      </c>
      <c r="G33" s="53">
        <f t="shared" si="2"/>
        <v>13300</v>
      </c>
      <c r="H33" s="52">
        <v>65</v>
      </c>
      <c r="I33" s="52">
        <v>2.5</v>
      </c>
      <c r="J33" s="51">
        <f t="shared" si="1"/>
        <v>43275.432460806434</v>
      </c>
      <c r="K33" s="51">
        <f t="shared" si="6"/>
        <v>72692.805622874672</v>
      </c>
      <c r="L33" s="51">
        <f t="shared" si="5"/>
        <v>143012.2955096247</v>
      </c>
      <c r="M33" s="93">
        <f>IF(K33&lt;=0,0,IF(SUM($M$27:M32)&gt;=$F$15*C33,0,$F$15*C33-SUM($M$27:M32)))</f>
        <v>12300</v>
      </c>
      <c r="N33" s="90">
        <v>7</v>
      </c>
      <c r="O33" s="31"/>
      <c r="P33" s="5"/>
      <c r="Q33" s="5"/>
      <c r="R33" s="5"/>
      <c r="S33" s="1"/>
      <c r="T33" s="1"/>
    </row>
    <row r="34" spans="1:20" x14ac:dyDescent="0.25">
      <c r="A34" s="29"/>
      <c r="B34" s="32"/>
      <c r="C34" s="66">
        <f t="shared" si="3"/>
        <v>8</v>
      </c>
      <c r="D34" s="33" t="str">
        <f t="shared" si="4"/>
        <v>04-2023</v>
      </c>
      <c r="E34" s="53">
        <f t="shared" si="0"/>
        <v>0</v>
      </c>
      <c r="F34" s="53">
        <f>_xlfn.IFNA(VLOOKUP(D34,'Prod Profile'!$K$8:$L$31,2,FALSE),0)</f>
        <v>629.24391800424451</v>
      </c>
      <c r="G34" s="53">
        <f t="shared" si="2"/>
        <v>13300</v>
      </c>
      <c r="H34" s="52">
        <v>65</v>
      </c>
      <c r="I34" s="52">
        <v>2.5</v>
      </c>
      <c r="J34" s="51">
        <f t="shared" si="1"/>
        <v>40900.85467027589</v>
      </c>
      <c r="K34" s="51">
        <f t="shared" si="6"/>
        <v>81888.275691526418</v>
      </c>
      <c r="L34" s="51">
        <f t="shared" si="5"/>
        <v>161417.68011124886</v>
      </c>
      <c r="M34" s="93">
        <f>IF(K34&lt;=0,0,IF(SUM($M$27:M33)&gt;=$F$15*C34,0,$F$15*C34-SUM($M$27:M33)))</f>
        <v>12300</v>
      </c>
      <c r="N34" s="90">
        <v>8</v>
      </c>
      <c r="O34" s="31"/>
      <c r="P34" s="5"/>
      <c r="Q34" s="5"/>
      <c r="R34" s="5"/>
      <c r="S34" s="1"/>
      <c r="T34" s="1"/>
    </row>
    <row r="35" spans="1:20" x14ac:dyDescent="0.25">
      <c r="A35" s="29"/>
      <c r="B35" s="32"/>
      <c r="C35" s="66">
        <f t="shared" si="3"/>
        <v>9</v>
      </c>
      <c r="D35" s="33" t="str">
        <f t="shared" si="4"/>
        <v>05-2023</v>
      </c>
      <c r="E35" s="53">
        <f t="shared" si="0"/>
        <v>0</v>
      </c>
      <c r="F35" s="53">
        <f>_xlfn.IFNA(VLOOKUP(D35,'Prod Profile'!$K$8:$L$31,2,FALSE),0)</f>
        <v>635.02701020579627</v>
      </c>
      <c r="G35" s="53">
        <f t="shared" si="2"/>
        <v>13300</v>
      </c>
      <c r="H35" s="52">
        <v>65</v>
      </c>
      <c r="I35" s="52">
        <v>2.5</v>
      </c>
      <c r="J35" s="51">
        <f t="shared" si="1"/>
        <v>41276.75566337676</v>
      </c>
      <c r="K35" s="51">
        <f t="shared" si="6"/>
        <v>91290.491306383643</v>
      </c>
      <c r="L35" s="51">
        <f t="shared" si="5"/>
        <v>179992.22015976839</v>
      </c>
      <c r="M35" s="93">
        <f>IF(K35&lt;=0,0,IF(SUM($M$27:M34)&gt;=$F$15*C35,0,$F$15*C35-SUM($M$27:M34)))</f>
        <v>12300</v>
      </c>
      <c r="N35" s="90">
        <v>9</v>
      </c>
      <c r="O35" s="31"/>
      <c r="P35" s="5"/>
      <c r="Q35" s="5"/>
      <c r="R35" s="5"/>
      <c r="S35" s="1"/>
      <c r="T35" s="1"/>
    </row>
    <row r="36" spans="1:20" x14ac:dyDescent="0.25">
      <c r="A36" s="29"/>
      <c r="B36" s="32"/>
      <c r="C36" s="66">
        <f t="shared" si="3"/>
        <v>10</v>
      </c>
      <c r="D36" s="33" t="str">
        <f t="shared" si="4"/>
        <v>06-2023</v>
      </c>
      <c r="E36" s="53">
        <f t="shared" si="0"/>
        <v>0</v>
      </c>
      <c r="F36" s="53">
        <f>_xlfn.IFNA(VLOOKUP(D36,'Prod Profile'!$K$8:$L$31,2,FALSE),0)</f>
        <v>600.18227384903355</v>
      </c>
      <c r="G36" s="53">
        <f t="shared" si="2"/>
        <v>13300</v>
      </c>
      <c r="H36" s="52">
        <v>65</v>
      </c>
      <c r="I36" s="52">
        <v>2.5</v>
      </c>
      <c r="J36" s="51">
        <f t="shared" si="1"/>
        <v>39011.847800187177</v>
      </c>
      <c r="K36" s="51">
        <f t="shared" si="6"/>
        <v>99447.007596486597</v>
      </c>
      <c r="L36" s="51">
        <f t="shared" si="5"/>
        <v>197547.5516698526</v>
      </c>
      <c r="M36" s="93">
        <f>IF(K36&lt;=0,0,IF(SUM($M$27:M35)&gt;=$F$15*C36,0,$F$15*C36-SUM($M$27:M35)))</f>
        <v>12300</v>
      </c>
      <c r="N36" s="90">
        <v>10</v>
      </c>
      <c r="O36" s="31"/>
      <c r="P36" s="5"/>
      <c r="Q36" s="5"/>
      <c r="R36" s="5"/>
      <c r="S36" s="1"/>
      <c r="T36" s="1"/>
    </row>
    <row r="37" spans="1:20" x14ac:dyDescent="0.25">
      <c r="A37" s="29"/>
      <c r="B37" s="32"/>
      <c r="C37" s="66">
        <f t="shared" si="3"/>
        <v>11</v>
      </c>
      <c r="D37" s="33" t="str">
        <f t="shared" si="4"/>
        <v>07-2023</v>
      </c>
      <c r="E37" s="53">
        <f t="shared" si="0"/>
        <v>0</v>
      </c>
      <c r="F37" s="53">
        <f>_xlfn.IFNA(VLOOKUP(D37,'Prod Profile'!$K$8:$L$31,2,FALSE),0)</f>
        <v>605.6982738104075</v>
      </c>
      <c r="G37" s="53">
        <f t="shared" si="2"/>
        <v>13300</v>
      </c>
      <c r="H37" s="52">
        <v>65</v>
      </c>
      <c r="I37" s="52">
        <v>2.5</v>
      </c>
      <c r="J37" s="51">
        <f t="shared" si="1"/>
        <v>39370.387797676485</v>
      </c>
      <c r="K37" s="51">
        <f t="shared" si="6"/>
        <v>107800.72088520866</v>
      </c>
      <c r="L37" s="51">
        <f t="shared" si="5"/>
        <v>215264.22617880703</v>
      </c>
      <c r="M37" s="93">
        <f>IF(K37&lt;=0,0,IF(SUM($M$27:M36)&gt;=$F$15*C37,0,$F$15*C37-SUM($M$27:M36)))</f>
        <v>12300</v>
      </c>
      <c r="N37" s="90">
        <v>11</v>
      </c>
      <c r="O37" s="31"/>
      <c r="P37" s="5"/>
      <c r="Q37" s="5"/>
      <c r="R37" s="5"/>
    </row>
    <row r="38" spans="1:20" x14ac:dyDescent="0.25">
      <c r="A38" s="29"/>
      <c r="B38" s="32"/>
      <c r="C38" s="66">
        <f t="shared" si="3"/>
        <v>12</v>
      </c>
      <c r="D38" s="33" t="str">
        <f t="shared" si="4"/>
        <v>08-2023</v>
      </c>
      <c r="E38" s="53">
        <f t="shared" si="0"/>
        <v>0</v>
      </c>
      <c r="F38" s="53">
        <f>_xlfn.IFNA(VLOOKUP(D38,'Prod Profile'!$K$8:$L$31,2,FALSE),0)</f>
        <v>591.31660971749181</v>
      </c>
      <c r="G38" s="53">
        <f t="shared" si="2"/>
        <v>13300</v>
      </c>
      <c r="H38" s="52">
        <v>65</v>
      </c>
      <c r="I38" s="52">
        <v>2.5</v>
      </c>
      <c r="J38" s="51">
        <f t="shared" si="1"/>
        <v>38435.579631636967</v>
      </c>
      <c r="K38" s="51">
        <f t="shared" si="6"/>
        <v>115640.289682609</v>
      </c>
      <c r="L38" s="51">
        <f t="shared" si="5"/>
        <v>232560.23701304366</v>
      </c>
      <c r="M38" s="93">
        <f>IF(K38&lt;=0,0,IF(SUM($M$27:M37)&gt;=$F$15*C38,0,$F$15*C38-SUM($M$27:M37)))</f>
        <v>12300</v>
      </c>
      <c r="N38" s="90">
        <v>12</v>
      </c>
      <c r="O38" s="31"/>
      <c r="P38" s="5"/>
      <c r="Q38" s="5"/>
      <c r="R38" s="5"/>
    </row>
    <row r="39" spans="1:20" x14ac:dyDescent="0.25">
      <c r="A39" s="29"/>
      <c r="B39" s="32"/>
      <c r="C39" s="66">
        <f t="shared" si="3"/>
        <v>0</v>
      </c>
      <c r="D39" s="33" t="str">
        <f t="shared" si="4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2"/>
        <v>0</v>
      </c>
      <c r="H39" s="52">
        <v>65</v>
      </c>
      <c r="I39" s="52">
        <v>2.5</v>
      </c>
      <c r="J39" s="51">
        <f t="shared" si="1"/>
        <v>0</v>
      </c>
      <c r="K39" s="51">
        <f t="shared" si="6"/>
        <v>0</v>
      </c>
      <c r="L39" s="51">
        <f t="shared" si="5"/>
        <v>0</v>
      </c>
      <c r="M39" s="93">
        <f>IF(K39&lt;=0,0,IF(SUM($M$27:M38)&gt;=$F$15*C39,0,$F$15*C39-SUM($M$27:M38)))</f>
        <v>0</v>
      </c>
      <c r="N39" s="90">
        <v>13</v>
      </c>
      <c r="O39" s="31"/>
      <c r="P39" s="5"/>
      <c r="Q39" s="5"/>
      <c r="R39" s="5"/>
    </row>
    <row r="40" spans="1:20" x14ac:dyDescent="0.25">
      <c r="A40" s="29"/>
      <c r="B40" s="32"/>
      <c r="C40" s="66">
        <f t="shared" si="3"/>
        <v>0</v>
      </c>
      <c r="D40" s="33" t="str">
        <f t="shared" si="4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2"/>
        <v>0</v>
      </c>
      <c r="H40" s="52">
        <v>65</v>
      </c>
      <c r="I40" s="52">
        <v>2.5</v>
      </c>
      <c r="J40" s="51">
        <f t="shared" si="1"/>
        <v>0</v>
      </c>
      <c r="K40" s="51">
        <f t="shared" si="6"/>
        <v>0</v>
      </c>
      <c r="L40" s="51">
        <f t="shared" si="5"/>
        <v>0</v>
      </c>
      <c r="M40" s="93">
        <f>IF(K40&lt;=0,0,IF(SUM($M$27:M39)&gt;=$F$15*C40,0,$F$15*C40-SUM($M$27:M39)))</f>
        <v>0</v>
      </c>
      <c r="N40" s="90">
        <v>0</v>
      </c>
      <c r="O40" s="31"/>
      <c r="P40" s="5"/>
      <c r="Q40" s="5"/>
      <c r="R40" s="5"/>
    </row>
    <row r="41" spans="1:20" x14ac:dyDescent="0.25">
      <c r="A41" s="29"/>
      <c r="B41" s="32"/>
      <c r="C41" s="66">
        <f t="shared" si="3"/>
        <v>0</v>
      </c>
      <c r="D41" s="33" t="str">
        <f t="shared" si="4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2"/>
        <v>0</v>
      </c>
      <c r="H41" s="52">
        <v>65</v>
      </c>
      <c r="I41" s="52">
        <v>2.5</v>
      </c>
      <c r="J41" s="51">
        <f t="shared" si="1"/>
        <v>0</v>
      </c>
      <c r="K41" s="51">
        <f t="shared" si="6"/>
        <v>0</v>
      </c>
      <c r="L41" s="51">
        <f t="shared" si="5"/>
        <v>0</v>
      </c>
      <c r="M41" s="93">
        <f>IF(K41&lt;=0,0,IF(SUM($M$27:M40)&gt;=$F$15*C41,0,$F$15*C41-SUM($M$27:M40)))</f>
        <v>0</v>
      </c>
      <c r="N41" s="90">
        <v>0</v>
      </c>
      <c r="O41" s="31"/>
      <c r="P41" s="5"/>
      <c r="Q41" s="5"/>
      <c r="R41" s="5"/>
    </row>
    <row r="42" spans="1:20" x14ac:dyDescent="0.25">
      <c r="A42" s="29"/>
      <c r="B42" s="32"/>
      <c r="C42" s="66">
        <f t="shared" si="3"/>
        <v>0</v>
      </c>
      <c r="D42" s="33" t="str">
        <f t="shared" si="4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2"/>
        <v>0</v>
      </c>
      <c r="H42" s="52">
        <v>65</v>
      </c>
      <c r="I42" s="52">
        <v>2.5</v>
      </c>
      <c r="J42" s="51">
        <f t="shared" si="1"/>
        <v>0</v>
      </c>
      <c r="K42" s="51">
        <f t="shared" si="6"/>
        <v>0</v>
      </c>
      <c r="L42" s="51">
        <f t="shared" si="5"/>
        <v>0</v>
      </c>
      <c r="M42" s="93">
        <f>IF(K42&lt;=0,0,IF(SUM($M$27:M41)&gt;=$F$15*C42,0,$F$15*C42-SUM($M$27:M41)))</f>
        <v>0</v>
      </c>
      <c r="N42" s="90">
        <v>0</v>
      </c>
      <c r="O42" s="31"/>
      <c r="P42" s="5"/>
      <c r="Q42" s="5"/>
      <c r="R42" s="5"/>
    </row>
    <row r="43" spans="1:20" x14ac:dyDescent="0.25">
      <c r="A43" s="29"/>
      <c r="B43" s="32"/>
      <c r="C43" s="66">
        <f t="shared" si="3"/>
        <v>0</v>
      </c>
      <c r="D43" s="33" t="str">
        <f t="shared" si="4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2"/>
        <v>0</v>
      </c>
      <c r="H43" s="52">
        <v>65</v>
      </c>
      <c r="I43" s="52">
        <v>2.5</v>
      </c>
      <c r="J43" s="51">
        <f t="shared" si="1"/>
        <v>0</v>
      </c>
      <c r="K43" s="51">
        <f t="shared" si="6"/>
        <v>0</v>
      </c>
      <c r="L43" s="51">
        <f t="shared" si="5"/>
        <v>0</v>
      </c>
      <c r="M43" s="93">
        <f>IF(K43&lt;=0,0,IF(SUM($M$27:M42)&gt;=$F$15*C43,0,$F$15*C43-SUM($M$27:M42)))</f>
        <v>0</v>
      </c>
      <c r="N43" s="90">
        <v>0</v>
      </c>
      <c r="O43" s="31"/>
      <c r="P43" s="5"/>
      <c r="Q43" s="5"/>
      <c r="R43" s="5"/>
    </row>
    <row r="44" spans="1:20" x14ac:dyDescent="0.25">
      <c r="A44" s="29"/>
      <c r="B44" s="32"/>
      <c r="C44" s="66">
        <f t="shared" si="3"/>
        <v>0</v>
      </c>
      <c r="D44" s="33" t="str">
        <f t="shared" si="4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2"/>
        <v>0</v>
      </c>
      <c r="H44" s="52">
        <v>65</v>
      </c>
      <c r="I44" s="52">
        <v>2.5</v>
      </c>
      <c r="J44" s="51">
        <f t="shared" si="1"/>
        <v>0</v>
      </c>
      <c r="K44" s="51">
        <f t="shared" si="6"/>
        <v>0</v>
      </c>
      <c r="L44" s="51">
        <f t="shared" si="5"/>
        <v>0</v>
      </c>
      <c r="M44" s="93">
        <f>IF(K44&lt;=0,0,IF(SUM($M$27:M43)&gt;=$F$15*C44,0,$F$15*C44-SUM($M$27:M43)))</f>
        <v>0</v>
      </c>
      <c r="N44" s="90">
        <v>0</v>
      </c>
      <c r="O44" s="31"/>
      <c r="P44" s="5"/>
      <c r="Q44" s="5"/>
      <c r="R44" s="5"/>
    </row>
    <row r="45" spans="1:20" x14ac:dyDescent="0.25">
      <c r="A45" s="29"/>
      <c r="B45" s="32"/>
      <c r="C45" s="66">
        <f t="shared" si="3"/>
        <v>0</v>
      </c>
      <c r="D45" s="33" t="str">
        <f t="shared" si="4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2"/>
        <v>0</v>
      </c>
      <c r="H45" s="52">
        <v>65</v>
      </c>
      <c r="I45" s="52">
        <v>2.5</v>
      </c>
      <c r="J45" s="51">
        <f t="shared" si="1"/>
        <v>0</v>
      </c>
      <c r="K45" s="51">
        <f t="shared" si="6"/>
        <v>0</v>
      </c>
      <c r="L45" s="51">
        <f t="shared" si="5"/>
        <v>0</v>
      </c>
      <c r="M45" s="93">
        <f>IF(K45&lt;=0,0,IF(SUM($M$27:M44)&gt;=$F$15*C45,0,$F$15*C45-SUM($M$27:M44)))</f>
        <v>0</v>
      </c>
      <c r="N45" s="90">
        <v>0</v>
      </c>
      <c r="O45" s="31"/>
      <c r="P45" s="5"/>
      <c r="Q45" s="5"/>
      <c r="R45" s="5"/>
    </row>
    <row r="46" spans="1:20" x14ac:dyDescent="0.25">
      <c r="A46" s="29"/>
      <c r="B46" s="32"/>
      <c r="C46" s="66">
        <f t="shared" si="3"/>
        <v>0</v>
      </c>
      <c r="D46" s="33" t="str">
        <f t="shared" si="4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2"/>
        <v>0</v>
      </c>
      <c r="H46" s="52">
        <v>65</v>
      </c>
      <c r="I46" s="52">
        <v>2.5</v>
      </c>
      <c r="J46" s="51">
        <f t="shared" si="1"/>
        <v>0</v>
      </c>
      <c r="K46" s="51">
        <f t="shared" si="6"/>
        <v>0</v>
      </c>
      <c r="L46" s="51">
        <f t="shared" si="5"/>
        <v>0</v>
      </c>
      <c r="M46" s="93">
        <f>IF(K46&lt;=0,0,IF(SUM($M$27:M45)&gt;=$F$15*C46,0,$F$15*C46-SUM($M$27:M45)))</f>
        <v>0</v>
      </c>
      <c r="N46" s="90">
        <v>0</v>
      </c>
      <c r="O46" s="31"/>
      <c r="P46" s="5"/>
      <c r="Q46" s="5"/>
      <c r="R46" s="5"/>
    </row>
    <row r="47" spans="1:20" x14ac:dyDescent="0.25">
      <c r="A47" s="29"/>
      <c r="B47" s="32"/>
      <c r="C47" s="67">
        <f t="shared" si="3"/>
        <v>0</v>
      </c>
      <c r="D47" s="33" t="str">
        <f t="shared" si="4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2"/>
        <v>0</v>
      </c>
      <c r="H47" s="52">
        <v>65</v>
      </c>
      <c r="I47" s="52">
        <v>2.5</v>
      </c>
      <c r="J47" s="51">
        <f t="shared" si="1"/>
        <v>0</v>
      </c>
      <c r="K47" s="51">
        <f t="shared" si="6"/>
        <v>0</v>
      </c>
      <c r="L47" s="51">
        <f t="shared" si="5"/>
        <v>0</v>
      </c>
      <c r="M47" s="93">
        <f>IF(K47&lt;=0,0,IF(SUM($M$27:M46)&gt;=$F$15*C47,0,$F$15*C47-SUM($M$27:M46)))</f>
        <v>0</v>
      </c>
      <c r="N47" s="90">
        <v>0</v>
      </c>
      <c r="O47" s="31"/>
      <c r="P47" s="5"/>
      <c r="Q47" s="5"/>
      <c r="R47" s="5"/>
    </row>
    <row r="48" spans="1:20" x14ac:dyDescent="0.25">
      <c r="A48" s="29"/>
      <c r="B48" s="32"/>
      <c r="C48" s="66">
        <f t="shared" si="3"/>
        <v>0</v>
      </c>
      <c r="D48" s="33" t="str">
        <f t="shared" si="4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2"/>
        <v>0</v>
      </c>
      <c r="H48" s="52">
        <v>65</v>
      </c>
      <c r="I48" s="52">
        <v>2.5</v>
      </c>
      <c r="J48" s="51">
        <f t="shared" si="1"/>
        <v>0</v>
      </c>
      <c r="K48" s="51">
        <f t="shared" si="6"/>
        <v>0</v>
      </c>
      <c r="L48" s="51">
        <f t="shared" si="5"/>
        <v>0</v>
      </c>
      <c r="M48" s="93">
        <f>IF(K48&lt;=0,0,IF(SUM($M$27:M47)&gt;=$F$15*C48,0,$F$15*C48-SUM($M$27:M47)))</f>
        <v>0</v>
      </c>
      <c r="N48" s="90">
        <v>0</v>
      </c>
      <c r="O48" s="31"/>
      <c r="P48" s="5"/>
      <c r="Q48" s="5"/>
      <c r="R48" s="5"/>
    </row>
    <row r="49" spans="1:20" x14ac:dyDescent="0.25">
      <c r="A49" s="29"/>
      <c r="B49" s="32"/>
      <c r="C49" s="66">
        <f t="shared" si="3"/>
        <v>0</v>
      </c>
      <c r="D49" s="33" t="str">
        <f t="shared" si="4"/>
        <v>-</v>
      </c>
      <c r="E49" s="53">
        <f t="shared" si="0"/>
        <v>0</v>
      </c>
      <c r="F49" s="53">
        <f>_xlfn.IFNA(VLOOKUP(D49,'Prod Profile'!$K$8:$L$31,2,FALSE),0)</f>
        <v>0</v>
      </c>
      <c r="G49" s="53">
        <f t="shared" si="2"/>
        <v>0</v>
      </c>
      <c r="H49" s="52">
        <v>65</v>
      </c>
      <c r="I49" s="52">
        <v>2.5</v>
      </c>
      <c r="J49" s="51">
        <f t="shared" si="1"/>
        <v>0</v>
      </c>
      <c r="K49" s="51">
        <f t="shared" si="6"/>
        <v>0</v>
      </c>
      <c r="L49" s="51">
        <f t="shared" si="5"/>
        <v>0</v>
      </c>
      <c r="M49" s="93">
        <f>IF(K49&lt;=0,0,IF(SUM($M$27:M48)&gt;=$F$15*C49,0,$F$15*C49-SUM($M$27:M48)))</f>
        <v>0</v>
      </c>
      <c r="N49" s="90">
        <v>0</v>
      </c>
      <c r="O49" s="31"/>
      <c r="P49" s="5"/>
      <c r="Q49" s="5"/>
      <c r="R49" s="5"/>
    </row>
    <row r="50" spans="1:20" x14ac:dyDescent="0.25">
      <c r="A50" s="29"/>
      <c r="B50" s="32"/>
      <c r="C50" s="66">
        <f t="shared" si="3"/>
        <v>0</v>
      </c>
      <c r="D50" s="33" t="str">
        <f t="shared" si="4"/>
        <v>-</v>
      </c>
      <c r="E50" s="53">
        <f t="shared" si="0"/>
        <v>0</v>
      </c>
      <c r="F50" s="53">
        <f>_xlfn.IFNA(VLOOKUP(D50,'Prod Profile'!$K$8:$L$31,2,FALSE),0)</f>
        <v>0</v>
      </c>
      <c r="G50" s="53">
        <f t="shared" si="2"/>
        <v>0</v>
      </c>
      <c r="H50" s="52">
        <v>65</v>
      </c>
      <c r="I50" s="52">
        <v>2.5</v>
      </c>
      <c r="J50" s="51">
        <f t="shared" si="1"/>
        <v>0</v>
      </c>
      <c r="K50" s="51">
        <f t="shared" si="6"/>
        <v>0</v>
      </c>
      <c r="L50" s="51">
        <f t="shared" si="5"/>
        <v>0</v>
      </c>
      <c r="M50" s="93">
        <f>IF(K50&lt;=0,0,IF(SUM($M$27:M49)&gt;=$F$15*C50,0,$F$15*C50-SUM($M$27:M49)))</f>
        <v>0</v>
      </c>
      <c r="N50" s="90">
        <v>0</v>
      </c>
      <c r="O50" s="31"/>
      <c r="P50" s="5"/>
      <c r="Q50" s="5"/>
      <c r="R50" s="5"/>
    </row>
    <row r="51" spans="1:20" s="39" customFormat="1" x14ac:dyDescent="0.25">
      <c r="A51" s="59"/>
      <c r="B51" s="60"/>
      <c r="E51" s="61">
        <f>SUM(E27:E50)</f>
        <v>0</v>
      </c>
      <c r="F51" s="61">
        <f>SUM(F27:F50)</f>
        <v>7950.7773337792723</v>
      </c>
      <c r="G51" s="61">
        <f>SUM(G27:G50)</f>
        <v>168600</v>
      </c>
      <c r="H51" s="76"/>
      <c r="I51" s="62"/>
      <c r="J51" s="63">
        <f>SUM(J27:J50)</f>
        <v>516800.52669565263</v>
      </c>
      <c r="K51" s="63">
        <f>MAX(K27:K50)</f>
        <v>115640.289682609</v>
      </c>
      <c r="L51" s="63">
        <f>MAX(L27:L50)</f>
        <v>232560.23701304366</v>
      </c>
      <c r="M51" s="94">
        <f>SUM(M27:M50)</f>
        <v>147600</v>
      </c>
      <c r="N51" s="104"/>
      <c r="O51" s="64"/>
      <c r="S51" s="64"/>
      <c r="T51" s="64"/>
    </row>
    <row r="52" spans="1:20" x14ac:dyDescent="0.25">
      <c r="A52" s="29"/>
      <c r="B52" s="32"/>
      <c r="E52" s="8"/>
      <c r="F52" s="8"/>
      <c r="G52" s="9"/>
      <c r="H52" s="76"/>
      <c r="I52" s="9"/>
      <c r="K52" s="50"/>
      <c r="L52" s="80"/>
      <c r="N52" s="102"/>
    </row>
    <row r="53" spans="1:20" x14ac:dyDescent="0.25">
      <c r="B53" s="4"/>
      <c r="C53" s="39" t="s">
        <v>9</v>
      </c>
      <c r="D53" s="34"/>
      <c r="E53" s="34"/>
      <c r="F53" s="8"/>
      <c r="G53" s="77"/>
      <c r="H53" s="9"/>
      <c r="I53" s="35"/>
      <c r="J53" s="162" t="s">
        <v>89</v>
      </c>
      <c r="K53" s="162"/>
      <c r="L53" s="80"/>
      <c r="N53" s="102"/>
    </row>
    <row r="54" spans="1:20" x14ac:dyDescent="0.25">
      <c r="B54" s="4"/>
      <c r="D54" s="163" t="s">
        <v>48</v>
      </c>
      <c r="E54" s="163"/>
      <c r="F54" s="163"/>
      <c r="G54" s="68">
        <f>K51*0.75</f>
        <v>86730.217261956743</v>
      </c>
      <c r="H54" s="36">
        <f>G54/SUM(K51:L51)</f>
        <v>0.24908123512910124</v>
      </c>
      <c r="I54" s="9"/>
      <c r="J54" s="1">
        <v>1</v>
      </c>
      <c r="K54" s="1" t="s">
        <v>92</v>
      </c>
      <c r="L54" s="80"/>
      <c r="N54" s="102"/>
    </row>
    <row r="55" spans="1:20" x14ac:dyDescent="0.25">
      <c r="B55" s="4"/>
      <c r="D55" s="165" t="s">
        <v>49</v>
      </c>
      <c r="E55" s="165"/>
      <c r="F55" s="165"/>
      <c r="G55" s="69">
        <v>0</v>
      </c>
      <c r="H55" s="37">
        <f>G55/SUM(K51:L51)</f>
        <v>0</v>
      </c>
      <c r="I55" s="9"/>
      <c r="J55" s="1">
        <v>2</v>
      </c>
      <c r="K55" s="1" t="s">
        <v>69</v>
      </c>
      <c r="L55" s="80"/>
      <c r="N55" s="102"/>
    </row>
    <row r="56" spans="1:20" x14ac:dyDescent="0.25">
      <c r="B56" s="4"/>
      <c r="D56" s="163" t="s">
        <v>50</v>
      </c>
      <c r="E56" s="163"/>
      <c r="F56" s="163"/>
      <c r="G56" s="68">
        <f>SUM(G54:G55)</f>
        <v>86730.217261956743</v>
      </c>
      <c r="H56" s="36">
        <f>SUM(H54:H55)</f>
        <v>0.24908123512910124</v>
      </c>
      <c r="I56" s="9"/>
      <c r="J56" s="1">
        <v>3</v>
      </c>
      <c r="K56" s="1" t="s">
        <v>90</v>
      </c>
      <c r="M56" s="35"/>
      <c r="N56" s="102"/>
    </row>
    <row r="57" spans="1:20" x14ac:dyDescent="0.25">
      <c r="B57" s="4"/>
      <c r="F57" s="8"/>
      <c r="G57" s="68"/>
      <c r="H57" s="36"/>
      <c r="I57" s="9"/>
      <c r="J57" s="1">
        <v>4</v>
      </c>
      <c r="K57" s="1" t="s">
        <v>91</v>
      </c>
      <c r="N57" s="102"/>
    </row>
    <row r="58" spans="1:20" x14ac:dyDescent="0.25">
      <c r="B58" s="4"/>
      <c r="D58" s="165" t="s">
        <v>51</v>
      </c>
      <c r="E58" s="165"/>
      <c r="F58" s="165"/>
      <c r="G58" s="69">
        <f>L51+K51*0.25</f>
        <v>261470.30943369592</v>
      </c>
      <c r="H58" s="37">
        <f>G58/SUM(K51:L51)</f>
        <v>0.75091876487089881</v>
      </c>
      <c r="I58" s="9"/>
      <c r="J58" s="1">
        <v>5</v>
      </c>
      <c r="K58" s="1" t="s">
        <v>47</v>
      </c>
      <c r="N58" s="102"/>
    </row>
    <row r="59" spans="1:20" x14ac:dyDescent="0.25">
      <c r="B59" s="4"/>
      <c r="D59" s="163" t="s">
        <v>52</v>
      </c>
      <c r="E59" s="163"/>
      <c r="F59" s="163"/>
      <c r="G59" s="70">
        <f>SUM(G58)</f>
        <v>261470.30943369592</v>
      </c>
      <c r="H59" s="38">
        <f>SUM(H58)</f>
        <v>0.75091876487089881</v>
      </c>
      <c r="I59" s="9"/>
      <c r="J59" s="1">
        <v>6</v>
      </c>
      <c r="K59" s="1" t="s">
        <v>7</v>
      </c>
      <c r="N59" s="102"/>
    </row>
    <row r="60" spans="1:20" x14ac:dyDescent="0.25">
      <c r="B60" s="4"/>
      <c r="F60" s="34"/>
      <c r="G60" s="35"/>
      <c r="H60" s="35"/>
      <c r="I60" s="9"/>
      <c r="J60" s="1">
        <v>7</v>
      </c>
      <c r="K60" s="1" t="s">
        <v>2</v>
      </c>
      <c r="N60" s="102"/>
    </row>
    <row r="61" spans="1:20" x14ac:dyDescent="0.25">
      <c r="B61" s="4"/>
      <c r="C61" s="39" t="s">
        <v>107</v>
      </c>
      <c r="F61" s="95"/>
      <c r="G61" s="49" t="s">
        <v>3</v>
      </c>
      <c r="H61" s="49" t="s">
        <v>4</v>
      </c>
      <c r="I61" s="9"/>
      <c r="J61" s="1">
        <v>8</v>
      </c>
      <c r="K61" s="1" t="s">
        <v>43</v>
      </c>
      <c r="N61" s="102"/>
    </row>
    <row r="62" spans="1:20" x14ac:dyDescent="0.25">
      <c r="B62" s="4"/>
      <c r="D62" s="164" t="s">
        <v>54</v>
      </c>
      <c r="E62" s="164"/>
      <c r="F62" s="164"/>
      <c r="G62" s="71">
        <f>NPV($J$19/12*$L$20,VLOOKUP($L$20,$C$27:$N$50,9,FALSE))</f>
        <v>4178.5897408569836</v>
      </c>
      <c r="H62" s="71">
        <f>NPV($J$19/12*$L$20,VLOOKUP($L$20,$C$27:$N$50,10,FALSE))</f>
        <v>21513.511816523856</v>
      </c>
      <c r="I62" s="9"/>
      <c r="J62" s="1">
        <v>9</v>
      </c>
      <c r="K62" s="1" t="s">
        <v>94</v>
      </c>
      <c r="N62" s="102"/>
    </row>
    <row r="63" spans="1:20" x14ac:dyDescent="0.25">
      <c r="B63" s="4"/>
      <c r="D63" s="164" t="s">
        <v>55</v>
      </c>
      <c r="E63" s="164"/>
      <c r="F63" s="164"/>
      <c r="G63" s="71">
        <f>NPV($J$19,K51)</f>
        <v>105127.53607509908</v>
      </c>
      <c r="H63" s="71">
        <f>NPV($J$19,L51)</f>
        <v>211418.39728458514</v>
      </c>
      <c r="I63" s="9"/>
      <c r="J63" s="1">
        <v>10</v>
      </c>
      <c r="K63" s="1" t="s">
        <v>95</v>
      </c>
      <c r="N63" s="102"/>
    </row>
    <row r="64" spans="1:20" x14ac:dyDescent="0.25">
      <c r="B64" s="4"/>
      <c r="F64" s="8"/>
      <c r="G64" s="9"/>
      <c r="H64" s="9"/>
      <c r="I64" s="9"/>
      <c r="J64" s="1">
        <v>11</v>
      </c>
      <c r="K64" s="1" t="s">
        <v>100</v>
      </c>
      <c r="N64" s="102"/>
    </row>
    <row r="65" spans="2:14" ht="12" thickBot="1" x14ac:dyDescent="0.3">
      <c r="B65" s="40"/>
      <c r="C65" s="41"/>
      <c r="D65" s="41"/>
      <c r="E65" s="41"/>
      <c r="F65" s="42"/>
      <c r="G65" s="43"/>
      <c r="H65" s="43"/>
      <c r="I65" s="43"/>
      <c r="J65" s="41"/>
      <c r="K65" s="41"/>
      <c r="L65" s="41"/>
      <c r="M65" s="41"/>
      <c r="N65" s="105"/>
    </row>
    <row r="66" spans="2:14" ht="15" customHeight="1" x14ac:dyDescent="0.25">
      <c r="J66" s="44"/>
      <c r="K66" s="44"/>
      <c r="L66" s="45"/>
    </row>
  </sheetData>
  <mergeCells count="26">
    <mergeCell ref="C15:E15"/>
    <mergeCell ref="B2:N2"/>
    <mergeCell ref="C6:E6"/>
    <mergeCell ref="C12:E12"/>
    <mergeCell ref="C13:E13"/>
    <mergeCell ref="C14:E14"/>
    <mergeCell ref="M23:M24"/>
    <mergeCell ref="C18:E18"/>
    <mergeCell ref="C19:E19"/>
    <mergeCell ref="C20:E20"/>
    <mergeCell ref="C23:C25"/>
    <mergeCell ref="D23:D25"/>
    <mergeCell ref="E23:F23"/>
    <mergeCell ref="G23:G24"/>
    <mergeCell ref="H23:H24"/>
    <mergeCell ref="I23:I24"/>
    <mergeCell ref="J23:J24"/>
    <mergeCell ref="K23:L23"/>
    <mergeCell ref="J53:K53"/>
    <mergeCell ref="D63:F63"/>
    <mergeCell ref="D54:F54"/>
    <mergeCell ref="D55:F55"/>
    <mergeCell ref="D56:F56"/>
    <mergeCell ref="D58:F58"/>
    <mergeCell ref="D59:F59"/>
    <mergeCell ref="D62:F62"/>
  </mergeCells>
  <printOptions horizontalCentered="1"/>
  <pageMargins left="0.2" right="0.2" top="0.25" bottom="0.25" header="0" footer="0"/>
  <pageSetup paperSize="9" scale="76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0A8B-BA0F-4518-BE6C-4AC326DF0DB8}">
  <sheetPr>
    <tabColor rgb="FFFFC000"/>
    <pageSetUpPr fitToPage="1"/>
  </sheetPr>
  <dimension ref="A1:Y69"/>
  <sheetViews>
    <sheetView view="pageBreakPreview" topLeftCell="A7" zoomScaleNormal="115" zoomScaleSheetLayoutView="100" workbookViewId="0">
      <selection activeCell="B2" sqref="B2:S2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0" style="2" bestFit="1" customWidth="1"/>
    <col min="7" max="8" width="11.85546875" style="3" customWidth="1"/>
    <col min="9" max="9" width="9.140625" style="3"/>
    <col min="10" max="10" width="9.140625" style="1"/>
    <col min="11" max="11" width="16.140625" style="1" customWidth="1"/>
    <col min="12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3.140625" style="3" bestFit="1" customWidth="1"/>
    <col min="21" max="21" width="12.5703125" style="1" bestFit="1" customWidth="1"/>
    <col min="22" max="22" width="9.140625" style="1"/>
    <col min="23" max="23" width="12.7109375" style="1" bestFit="1" customWidth="1"/>
    <col min="24" max="25" width="11.140625" style="3" bestFit="1" customWidth="1"/>
    <col min="26" max="26" width="10.7109375" style="1" bestFit="1" customWidth="1"/>
    <col min="27" max="16384" width="9.140625" style="1"/>
  </cols>
  <sheetData>
    <row r="1" spans="2:19" ht="12" thickBot="1" x14ac:dyDescent="0.3"/>
    <row r="2" spans="2:19" ht="60" customHeight="1" x14ac:dyDescent="0.25">
      <c r="B2" s="174" t="s">
        <v>124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1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27</v>
      </c>
      <c r="R5" s="5"/>
      <c r="S5" s="86"/>
    </row>
    <row r="6" spans="2:19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73" t="s">
        <v>33</v>
      </c>
      <c r="D13" s="173"/>
      <c r="E13" s="173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10127.518691736792</v>
      </c>
      <c r="N13" s="17" t="s">
        <v>23</v>
      </c>
      <c r="P13" s="18"/>
      <c r="Q13" s="16"/>
      <c r="S13" s="88"/>
    </row>
    <row r="14" spans="2:19" x14ac:dyDescent="0.25">
      <c r="B14" s="4"/>
      <c r="C14" s="173" t="s">
        <v>28</v>
      </c>
      <c r="D14" s="173"/>
      <c r="E14" s="173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73" t="s">
        <v>29</v>
      </c>
      <c r="D15" s="173"/>
      <c r="E15" s="173"/>
      <c r="F15" s="16">
        <v>50000</v>
      </c>
      <c r="G15" s="106">
        <v>1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5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5" x14ac:dyDescent="0.25">
      <c r="B18" s="4"/>
      <c r="C18" s="163" t="s">
        <v>58</v>
      </c>
      <c r="D18" s="163"/>
      <c r="E18" s="163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0.15</v>
      </c>
      <c r="N18" s="10" t="s">
        <v>105</v>
      </c>
      <c r="O18" s="98" cm="1">
        <f t="array" ref="O18">VLOOKUP(MIN(IF(M25:M48&gt;0,M25:M48)),$M$25:$S$48,7,FALSE)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5" x14ac:dyDescent="0.25">
      <c r="B19" s="4"/>
      <c r="C19" s="163" t="s">
        <v>30</v>
      </c>
      <c r="D19" s="163"/>
      <c r="E19" s="163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0.3</v>
      </c>
      <c r="N19" s="10" t="s">
        <v>111</v>
      </c>
      <c r="O19" s="98" cm="1">
        <f t="array" ref="O19">VLOOKUP(MIN(IF(O25:O48&gt;0,O25:O48)),$O$25:$S$48,5,FALSE)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5" x14ac:dyDescent="0.25">
      <c r="B20" s="4"/>
      <c r="C20" s="163" t="s">
        <v>34</v>
      </c>
      <c r="D20" s="163"/>
      <c r="E20" s="163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5" s="26" customFormat="1" ht="11.25" customHeight="1" x14ac:dyDescent="0.25">
      <c r="B21" s="27"/>
      <c r="C21" s="170" t="s">
        <v>31</v>
      </c>
      <c r="D21" s="170" t="s">
        <v>32</v>
      </c>
      <c r="E21" s="171" t="s">
        <v>46</v>
      </c>
      <c r="F21" s="172"/>
      <c r="G21" s="168" t="s">
        <v>47</v>
      </c>
      <c r="H21" s="168" t="s">
        <v>72</v>
      </c>
      <c r="I21" s="166" t="s">
        <v>7</v>
      </c>
      <c r="J21" s="166" t="s">
        <v>2</v>
      </c>
      <c r="K21" s="166" t="s">
        <v>43</v>
      </c>
      <c r="L21" s="171" t="s">
        <v>70</v>
      </c>
      <c r="M21" s="172"/>
      <c r="N21" s="171" t="s">
        <v>71</v>
      </c>
      <c r="O21" s="172"/>
      <c r="P21" s="182" t="s">
        <v>112</v>
      </c>
      <c r="Q21" s="182"/>
      <c r="R21" s="182"/>
      <c r="S21" s="89"/>
      <c r="T21" s="28"/>
      <c r="X21" s="28"/>
      <c r="Y21" s="28"/>
    </row>
    <row r="22" spans="1:25" s="5" customFormat="1" ht="11.25" customHeight="1" x14ac:dyDescent="0.25">
      <c r="A22" s="29"/>
      <c r="B22" s="30"/>
      <c r="C22" s="170"/>
      <c r="D22" s="170"/>
      <c r="E22" s="81" t="s">
        <v>0</v>
      </c>
      <c r="F22" s="56" t="s">
        <v>1</v>
      </c>
      <c r="G22" s="169"/>
      <c r="H22" s="169"/>
      <c r="I22" s="167"/>
      <c r="J22" s="167"/>
      <c r="K22" s="167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T22" s="31"/>
      <c r="X22" s="31"/>
      <c r="Y22" s="31"/>
    </row>
    <row r="23" spans="1:25" s="5" customFormat="1" ht="11.25" customHeight="1" x14ac:dyDescent="0.25">
      <c r="A23" s="29"/>
      <c r="B23" s="30"/>
      <c r="C23" s="170"/>
      <c r="D23" s="170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T23" s="31"/>
      <c r="X23" s="31"/>
      <c r="Y23" s="31"/>
    </row>
    <row r="24" spans="1:25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T24" s="31"/>
      <c r="X24" s="31"/>
      <c r="Y24" s="31"/>
    </row>
    <row r="25" spans="1:25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520.80551994817972</v>
      </c>
      <c r="G25" s="53">
        <f>IF(C25&lt;&gt;0,IF(C25=1,$F$13+$F$14+$F$15,$F$13*$G$13+$F$14*$G$14+$F$15*$G$15),0)</f>
        <v>551000</v>
      </c>
      <c r="H25" s="58">
        <f>IF(C25&lt;&gt;0,IF(C25=1,$F$13+$F$14,$F$13*$G$13+$F$14*$G$14),0)</f>
        <v>501000</v>
      </c>
      <c r="I25" s="52">
        <v>65</v>
      </c>
      <c r="J25" s="52">
        <v>2.5</v>
      </c>
      <c r="K25" s="51">
        <f>F25*I25+E25*J25*1000</f>
        <v>33852.358796631685</v>
      </c>
      <c r="L25" s="51">
        <f>IF(C25&lt;&gt;0,K25*$M$18,0)</f>
        <v>5077.8538194947523</v>
      </c>
      <c r="M25" s="51">
        <f>IF(C25&lt;&gt;0,K25*(1-$M$18)-G25,0)</f>
        <v>-522225.49502286309</v>
      </c>
      <c r="N25" s="55">
        <f>IF(C25&lt;&gt;0,K25*$M$18,0)</f>
        <v>5077.8538194947523</v>
      </c>
      <c r="O25" s="55">
        <f>IF(C25&lt;&gt;0,K25*(1-$M$18)-H25,0)</f>
        <v>-472225.49502286309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IF(O25&lt;=0,0,$F$15*C25)</f>
        <v>0</v>
      </c>
      <c r="S25" s="78">
        <f t="shared" ref="S25:S48" si="2">C25</f>
        <v>1</v>
      </c>
      <c r="T25" s="31"/>
      <c r="U25" s="5"/>
      <c r="V25" s="5"/>
      <c r="W25" s="5"/>
    </row>
    <row r="26" spans="1:25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IF(C26&lt;&gt;0,IF(C26=1,$F$13+$F$14+$F$15,$F$13*$G$13+$F$14*$G$14+$F$15*$G$15),0)</f>
        <v>51000</v>
      </c>
      <c r="H26" s="58">
        <f t="shared" ref="H26:H48" si="4">IF(C26&lt;&gt;0,IF(C26=1,$F$13+$F$14,$F$13*$G$13+$F$14*$G$14),0)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IF(C26&lt;&gt;0,K26*$M$18+L25,0)</f>
        <v>5077.8538194947523</v>
      </c>
      <c r="M26" s="51">
        <f>IF(C26&lt;&gt;0,K26*(1-$M$18)-G26+M25,0)</f>
        <v>-573225.49502286315</v>
      </c>
      <c r="N26" s="55">
        <f>IF(C26&lt;&gt;0,K26*$M$18+N25,0)</f>
        <v>5077.8538194947523</v>
      </c>
      <c r="O26" s="55">
        <f>IF(C26&lt;&gt;0,K26*(1-$M$18)-H26+O25,0)</f>
        <v>-473225.49502286309</v>
      </c>
      <c r="P26" s="54" t="e">
        <f>IF(F26/$Q$18+P25&gt;1,1,F26/$Q$18+P25)</f>
        <v>#DIV/0!</v>
      </c>
      <c r="Q26" s="54" t="e">
        <f t="shared" si="1"/>
        <v>#DIV/0!</v>
      </c>
      <c r="R26" s="93">
        <f>IF(O26&lt;=0,0,IF(SUM($R$25:R25)&gt;=$F$15*C26,0,($F$15*C26-SUM($R$25:R25))*Q26))</f>
        <v>0</v>
      </c>
      <c r="S26" s="78">
        <f t="shared" si="2"/>
        <v>2</v>
      </c>
      <c r="T26" s="31"/>
      <c r="U26" s="5"/>
      <c r="V26" s="5"/>
      <c r="W26" s="5"/>
    </row>
    <row r="27" spans="1:25" ht="11.25" customHeight="1" x14ac:dyDescent="0.25">
      <c r="A27" s="29"/>
      <c r="B27" s="32"/>
      <c r="C27" s="66">
        <f t="shared" ref="C27:C48" si="6">IF(AND(C26&lt;$F$19,C26&lt;&gt;0),C26+1,0)</f>
        <v>3</v>
      </c>
      <c r="D27" s="33" t="str">
        <f t="shared" ref="D27:D48" si="7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51000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8">IF(C27&lt;&gt;0,K27*$M$18+L26,0)</f>
        <v>5077.8538194947523</v>
      </c>
      <c r="M27" s="51">
        <f t="shared" ref="M27:M48" si="9">IF(C27&lt;&gt;0,K27*(1-$M$18)-G27+M26,0)</f>
        <v>-624225.49502286315</v>
      </c>
      <c r="N27" s="55">
        <f t="shared" ref="N27:N48" si="10">IF(C27&lt;&gt;0,K27*$M$18+N26,0)</f>
        <v>5077.8538194947523</v>
      </c>
      <c r="O27" s="55">
        <f t="shared" ref="O27:O48" si="11">IF(C27&lt;&gt;0,K27*(1-$M$18)-H27+O26,0)</f>
        <v>-474225.49502286309</v>
      </c>
      <c r="P27" s="54" t="e">
        <f t="shared" ref="P27:P48" si="12">IF(F27/$Q$18+P26&gt;1,1,F27/$Q$18+P26)</f>
        <v>#DIV/0!</v>
      </c>
      <c r="Q27" s="54" t="e">
        <f t="shared" si="1"/>
        <v>#DIV/0!</v>
      </c>
      <c r="R27" s="93">
        <f>IF(O27&lt;=0,0,IF(SUM($R$25:R26)&gt;=$F$15*C27,0,($F$15*C27-SUM($R$25:R26))*Q27))</f>
        <v>0</v>
      </c>
      <c r="S27" s="78">
        <f t="shared" si="2"/>
        <v>3</v>
      </c>
      <c r="T27" s="31"/>
      <c r="U27" s="5"/>
      <c r="V27" s="5"/>
      <c r="W27" s="5"/>
    </row>
    <row r="28" spans="1:25" ht="11.25" customHeight="1" x14ac:dyDescent="0.25">
      <c r="A28" s="29"/>
      <c r="B28" s="32"/>
      <c r="C28" s="66">
        <f t="shared" si="6"/>
        <v>4</v>
      </c>
      <c r="D28" s="33" t="str">
        <f t="shared" si="7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51000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8"/>
        <v>5077.8538194947523</v>
      </c>
      <c r="M28" s="51">
        <f t="shared" si="9"/>
        <v>-675225.49502286315</v>
      </c>
      <c r="N28" s="55">
        <f t="shared" si="10"/>
        <v>5077.8538194947523</v>
      </c>
      <c r="O28" s="55">
        <f t="shared" si="11"/>
        <v>-475225.49502286309</v>
      </c>
      <c r="P28" s="54" t="e">
        <f t="shared" si="12"/>
        <v>#DIV/0!</v>
      </c>
      <c r="Q28" s="54" t="e">
        <f t="shared" si="1"/>
        <v>#DIV/0!</v>
      </c>
      <c r="R28" s="93">
        <f>IF(O28&lt;=0,0,IF(SUM($R$25:R27)&gt;=$F$15*C28,0,($F$15*C28-SUM($R$25:R27))*Q28))</f>
        <v>0</v>
      </c>
      <c r="S28" s="78">
        <f t="shared" si="2"/>
        <v>4</v>
      </c>
      <c r="T28" s="31"/>
      <c r="U28" s="5"/>
      <c r="V28" s="5"/>
      <c r="W28" s="5"/>
    </row>
    <row r="29" spans="1:25" ht="11.25" customHeight="1" x14ac:dyDescent="0.25">
      <c r="A29" s="29"/>
      <c r="B29" s="32"/>
      <c r="C29" s="66">
        <f t="shared" si="6"/>
        <v>5</v>
      </c>
      <c r="D29" s="33" t="str">
        <f t="shared" si="7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51000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8"/>
        <v>5077.8538194947523</v>
      </c>
      <c r="M29" s="51">
        <f t="shared" si="9"/>
        <v>-726225.49502286315</v>
      </c>
      <c r="N29" s="55">
        <f t="shared" si="10"/>
        <v>5077.8538194947523</v>
      </c>
      <c r="O29" s="55">
        <f t="shared" si="11"/>
        <v>-476225.49502286309</v>
      </c>
      <c r="P29" s="54" t="e">
        <f t="shared" si="12"/>
        <v>#DIV/0!</v>
      </c>
      <c r="Q29" s="54" t="e">
        <f t="shared" si="1"/>
        <v>#DIV/0!</v>
      </c>
      <c r="R29" s="93">
        <f>IF(O29&lt;=0,0,IF(SUM($R$25:R28)&gt;=$F$15*C29,0,($F$15*C29-SUM($R$25:R28))*Q29))</f>
        <v>0</v>
      </c>
      <c r="S29" s="78">
        <f t="shared" si="2"/>
        <v>5</v>
      </c>
      <c r="T29" s="31"/>
      <c r="U29" s="5"/>
      <c r="V29" s="5"/>
      <c r="W29" s="5"/>
    </row>
    <row r="30" spans="1:25" ht="11.25" customHeight="1" x14ac:dyDescent="0.25">
      <c r="A30" s="29"/>
      <c r="B30" s="32"/>
      <c r="C30" s="66">
        <f t="shared" si="6"/>
        <v>6</v>
      </c>
      <c r="D30" s="33" t="str">
        <f t="shared" si="7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51000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8"/>
        <v>5077.8538194947523</v>
      </c>
      <c r="M30" s="51">
        <f t="shared" si="9"/>
        <v>-777225.49502286315</v>
      </c>
      <c r="N30" s="55">
        <f t="shared" si="10"/>
        <v>5077.8538194947523</v>
      </c>
      <c r="O30" s="55">
        <f t="shared" si="11"/>
        <v>-477225.49502286309</v>
      </c>
      <c r="P30" s="54" t="e">
        <f t="shared" si="12"/>
        <v>#DIV/0!</v>
      </c>
      <c r="Q30" s="54" t="e">
        <f t="shared" si="1"/>
        <v>#DIV/0!</v>
      </c>
      <c r="R30" s="93">
        <f>IF(O30&lt;=0,0,IF(SUM($R$25:R29)&gt;=$F$15*C30,0,($F$15*C30-SUM($R$25:R29))*Q30))</f>
        <v>0</v>
      </c>
      <c r="S30" s="78">
        <f t="shared" si="2"/>
        <v>6</v>
      </c>
      <c r="T30" s="31"/>
      <c r="U30" s="5"/>
      <c r="V30" s="5"/>
      <c r="W30" s="5"/>
      <c r="X30" s="1"/>
      <c r="Y30" s="1"/>
    </row>
    <row r="31" spans="1:25" ht="11.25" customHeight="1" x14ac:dyDescent="0.25">
      <c r="A31" s="29"/>
      <c r="B31" s="32"/>
      <c r="C31" s="66">
        <f t="shared" si="6"/>
        <v>7</v>
      </c>
      <c r="D31" s="33" t="str">
        <f t="shared" si="7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51000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8"/>
        <v>5077.8538194947523</v>
      </c>
      <c r="M31" s="51">
        <f t="shared" si="9"/>
        <v>-828225.49502286315</v>
      </c>
      <c r="N31" s="55">
        <f t="shared" si="10"/>
        <v>5077.8538194947523</v>
      </c>
      <c r="O31" s="55">
        <f t="shared" si="11"/>
        <v>-478225.49502286309</v>
      </c>
      <c r="P31" s="54" t="e">
        <f t="shared" si="12"/>
        <v>#DIV/0!</v>
      </c>
      <c r="Q31" s="54" t="e">
        <f t="shared" si="1"/>
        <v>#DIV/0!</v>
      </c>
      <c r="R31" s="93">
        <f>IF(O31&lt;=0,0,IF(SUM($R$25:R30)&gt;=$F$15*C31,0,($F$15*C31-SUM($R$25:R30))*Q31))</f>
        <v>0</v>
      </c>
      <c r="S31" s="78">
        <f t="shared" si="2"/>
        <v>7</v>
      </c>
      <c r="T31" s="31"/>
      <c r="U31" s="5"/>
      <c r="V31" s="5"/>
      <c r="W31" s="5"/>
      <c r="X31" s="1"/>
      <c r="Y31" s="1"/>
    </row>
    <row r="32" spans="1:25" ht="11.25" customHeight="1" x14ac:dyDescent="0.25">
      <c r="A32" s="29"/>
      <c r="B32" s="32"/>
      <c r="C32" s="66">
        <f t="shared" si="6"/>
        <v>8</v>
      </c>
      <c r="D32" s="33" t="str">
        <f t="shared" si="7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51000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8"/>
        <v>5077.8538194947523</v>
      </c>
      <c r="M32" s="51">
        <f t="shared" si="9"/>
        <v>-879225.49502286315</v>
      </c>
      <c r="N32" s="55">
        <f t="shared" si="10"/>
        <v>5077.8538194947523</v>
      </c>
      <c r="O32" s="55">
        <f t="shared" si="11"/>
        <v>-479225.49502286309</v>
      </c>
      <c r="P32" s="54" t="e">
        <f t="shared" si="12"/>
        <v>#DIV/0!</v>
      </c>
      <c r="Q32" s="54" t="e">
        <f t="shared" si="1"/>
        <v>#DIV/0!</v>
      </c>
      <c r="R32" s="93">
        <f>IF(O32&lt;=0,0,IF(SUM($R$25:R31)&gt;=$F$15*C32,0,($F$15*C32-SUM($R$25:R31))*Q32))</f>
        <v>0</v>
      </c>
      <c r="S32" s="78">
        <f t="shared" si="2"/>
        <v>8</v>
      </c>
      <c r="T32" s="31"/>
      <c r="U32" s="5"/>
      <c r="V32" s="5"/>
      <c r="W32" s="5"/>
      <c r="X32" s="1"/>
      <c r="Y32" s="1"/>
    </row>
    <row r="33" spans="1:25" ht="11.25" customHeight="1" x14ac:dyDescent="0.25">
      <c r="A33" s="29"/>
      <c r="B33" s="32"/>
      <c r="C33" s="66">
        <f t="shared" si="6"/>
        <v>9</v>
      </c>
      <c r="D33" s="33" t="str">
        <f t="shared" si="7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51000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8"/>
        <v>5077.8538194947523</v>
      </c>
      <c r="M33" s="51">
        <f t="shared" si="9"/>
        <v>-930225.49502286315</v>
      </c>
      <c r="N33" s="55">
        <f t="shared" si="10"/>
        <v>5077.8538194947523</v>
      </c>
      <c r="O33" s="55">
        <f t="shared" si="11"/>
        <v>-480225.49502286309</v>
      </c>
      <c r="P33" s="54" t="e">
        <f t="shared" si="12"/>
        <v>#DIV/0!</v>
      </c>
      <c r="Q33" s="54" t="e">
        <f t="shared" si="1"/>
        <v>#DIV/0!</v>
      </c>
      <c r="R33" s="93">
        <f>IF(O33&lt;=0,0,IF(SUM($R$25:R32)&gt;=$F$15*C33,0,($F$15*C33-SUM($R$25:R32))*Q33))</f>
        <v>0</v>
      </c>
      <c r="S33" s="78">
        <f t="shared" si="2"/>
        <v>9</v>
      </c>
      <c r="T33" s="31"/>
      <c r="U33" s="5"/>
      <c r="V33" s="5"/>
      <c r="W33" s="5"/>
      <c r="X33" s="1"/>
      <c r="Y33" s="1"/>
    </row>
    <row r="34" spans="1:25" ht="11.25" customHeight="1" x14ac:dyDescent="0.25">
      <c r="A34" s="29"/>
      <c r="B34" s="32"/>
      <c r="C34" s="66">
        <f t="shared" si="6"/>
        <v>10</v>
      </c>
      <c r="D34" s="33" t="str">
        <f t="shared" si="7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51000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8"/>
        <v>5077.8538194947523</v>
      </c>
      <c r="M34" s="51">
        <f t="shared" si="9"/>
        <v>-981225.49502286315</v>
      </c>
      <c r="N34" s="55">
        <f t="shared" si="10"/>
        <v>5077.8538194947523</v>
      </c>
      <c r="O34" s="55">
        <f t="shared" si="11"/>
        <v>-481225.49502286309</v>
      </c>
      <c r="P34" s="54" t="e">
        <f t="shared" si="12"/>
        <v>#DIV/0!</v>
      </c>
      <c r="Q34" s="54" t="e">
        <f t="shared" si="1"/>
        <v>#DIV/0!</v>
      </c>
      <c r="R34" s="93">
        <f>IF(O34&lt;=0,0,IF(SUM($R$25:R33)&gt;=$F$15*C34,0,($F$15*C34-SUM($R$25:R33))*Q34))</f>
        <v>0</v>
      </c>
      <c r="S34" s="78">
        <f t="shared" si="2"/>
        <v>10</v>
      </c>
      <c r="T34" s="31"/>
      <c r="U34" s="5"/>
      <c r="V34" s="5"/>
      <c r="W34" s="5"/>
      <c r="X34" s="1"/>
      <c r="Y34" s="1"/>
    </row>
    <row r="35" spans="1:25" ht="11.25" customHeight="1" x14ac:dyDescent="0.25">
      <c r="A35" s="29"/>
      <c r="B35" s="32"/>
      <c r="C35" s="66">
        <f t="shared" si="6"/>
        <v>11</v>
      </c>
      <c r="D35" s="33" t="str">
        <f t="shared" si="7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51000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8"/>
        <v>5077.8538194947523</v>
      </c>
      <c r="M35" s="51">
        <f t="shared" si="9"/>
        <v>-1032225.4950228631</v>
      </c>
      <c r="N35" s="55">
        <f t="shared" si="10"/>
        <v>5077.8538194947523</v>
      </c>
      <c r="O35" s="55">
        <f t="shared" si="11"/>
        <v>-482225.49502286309</v>
      </c>
      <c r="P35" s="54" t="e">
        <f t="shared" si="12"/>
        <v>#DIV/0!</v>
      </c>
      <c r="Q35" s="54" t="e">
        <f t="shared" si="1"/>
        <v>#DIV/0!</v>
      </c>
      <c r="R35" s="93">
        <f>IF(O35&lt;=0,0,IF(SUM($R$25:R34)&gt;=$F$15*C35,0,($F$15*C35-SUM($R$25:R34))*Q35))</f>
        <v>0</v>
      </c>
      <c r="S35" s="78">
        <f t="shared" si="2"/>
        <v>11</v>
      </c>
      <c r="T35" s="31"/>
      <c r="U35" s="5"/>
      <c r="V35" s="5"/>
      <c r="W35" s="5"/>
    </row>
    <row r="36" spans="1:25" ht="11.25" customHeight="1" x14ac:dyDescent="0.25">
      <c r="A36" s="29"/>
      <c r="B36" s="32"/>
      <c r="C36" s="66">
        <f t="shared" si="6"/>
        <v>12</v>
      </c>
      <c r="D36" s="33" t="str">
        <f t="shared" si="7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51000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8"/>
        <v>5077.8538194947523</v>
      </c>
      <c r="M36" s="51">
        <f t="shared" si="9"/>
        <v>-1083225.4950228631</v>
      </c>
      <c r="N36" s="55">
        <f t="shared" si="10"/>
        <v>5077.8538194947523</v>
      </c>
      <c r="O36" s="55">
        <f t="shared" si="11"/>
        <v>-483225.49502286309</v>
      </c>
      <c r="P36" s="54" t="e">
        <f t="shared" si="12"/>
        <v>#DIV/0!</v>
      </c>
      <c r="Q36" s="54" t="e">
        <f t="shared" si="1"/>
        <v>#DIV/0!</v>
      </c>
      <c r="R36" s="93">
        <f>IF(O36&lt;=0,0,IF(SUM($R$25:R35)&gt;=$F$15*C36,0,($F$15*C36-SUM($R$25:R35))*Q36))</f>
        <v>0</v>
      </c>
      <c r="S36" s="78">
        <f t="shared" si="2"/>
        <v>12</v>
      </c>
      <c r="T36" s="31"/>
      <c r="U36" s="5"/>
      <c r="V36" s="5"/>
      <c r="W36" s="5"/>
    </row>
    <row r="37" spans="1:25" ht="11.25" customHeight="1" x14ac:dyDescent="0.25">
      <c r="A37" s="29"/>
      <c r="B37" s="32"/>
      <c r="C37" s="66">
        <f t="shared" si="6"/>
        <v>13</v>
      </c>
      <c r="D37" s="33" t="str">
        <f t="shared" si="7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51000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8"/>
        <v>5077.8538194947523</v>
      </c>
      <c r="M37" s="51">
        <f t="shared" si="9"/>
        <v>-1134225.4950228631</v>
      </c>
      <c r="N37" s="55">
        <f t="shared" si="10"/>
        <v>5077.8538194947523</v>
      </c>
      <c r="O37" s="55">
        <f t="shared" si="11"/>
        <v>-484225.49502286309</v>
      </c>
      <c r="P37" s="54" t="e">
        <f t="shared" si="12"/>
        <v>#DIV/0!</v>
      </c>
      <c r="Q37" s="54" t="e">
        <f t="shared" si="1"/>
        <v>#DIV/0!</v>
      </c>
      <c r="R37" s="93">
        <f>IF(O37&lt;=0,0,IF(SUM($R$25:R36)&gt;=$F$15*C37,0,($F$15*C37-SUM($R$25:R36))*Q37))</f>
        <v>0</v>
      </c>
      <c r="S37" s="78">
        <f t="shared" si="2"/>
        <v>13</v>
      </c>
      <c r="T37" s="31"/>
      <c r="U37" s="5"/>
      <c r="V37" s="5"/>
      <c r="W37" s="5"/>
    </row>
    <row r="38" spans="1:25" ht="11.25" customHeight="1" x14ac:dyDescent="0.25">
      <c r="A38" s="29"/>
      <c r="B38" s="32"/>
      <c r="C38" s="66">
        <f t="shared" si="6"/>
        <v>0</v>
      </c>
      <c r="D38" s="33" t="str">
        <f t="shared" si="7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8"/>
        <v>0</v>
      </c>
      <c r="M38" s="51">
        <f t="shared" si="9"/>
        <v>0</v>
      </c>
      <c r="N38" s="55">
        <f t="shared" si="10"/>
        <v>0</v>
      </c>
      <c r="O38" s="55">
        <f t="shared" si="11"/>
        <v>0</v>
      </c>
      <c r="P38" s="54" t="e">
        <f t="shared" si="12"/>
        <v>#DIV/0!</v>
      </c>
      <c r="Q38" s="54" t="e">
        <f t="shared" si="1"/>
        <v>#DIV/0!</v>
      </c>
      <c r="R38" s="93">
        <f>IF(O38&lt;=0,0,IF(SUM($R$25:R37)&gt;=$F$15*C38,0,($F$15*C38-SUM($R$25:R37))*Q38))</f>
        <v>0</v>
      </c>
      <c r="S38" s="78">
        <f t="shared" si="2"/>
        <v>0</v>
      </c>
      <c r="T38" s="31"/>
      <c r="U38" s="5"/>
      <c r="V38" s="5"/>
      <c r="W38" s="5"/>
    </row>
    <row r="39" spans="1:25" ht="11.25" customHeight="1" x14ac:dyDescent="0.25">
      <c r="A39" s="29"/>
      <c r="B39" s="32"/>
      <c r="C39" s="66">
        <f t="shared" si="6"/>
        <v>0</v>
      </c>
      <c r="D39" s="33" t="str">
        <f t="shared" si="7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8"/>
        <v>0</v>
      </c>
      <c r="M39" s="51">
        <f t="shared" si="9"/>
        <v>0</v>
      </c>
      <c r="N39" s="55">
        <f t="shared" si="10"/>
        <v>0</v>
      </c>
      <c r="O39" s="55">
        <f t="shared" si="11"/>
        <v>0</v>
      </c>
      <c r="P39" s="54" t="e">
        <f t="shared" si="12"/>
        <v>#DIV/0!</v>
      </c>
      <c r="Q39" s="54" t="e">
        <f t="shared" si="1"/>
        <v>#DIV/0!</v>
      </c>
      <c r="R39" s="93">
        <f>IF(O39&lt;=0,0,IF(SUM($R$25:R38)&gt;=$F$15*C39,0,($F$15*C39-SUM($R$25:R38))*Q39))</f>
        <v>0</v>
      </c>
      <c r="S39" s="78">
        <f t="shared" si="2"/>
        <v>0</v>
      </c>
      <c r="T39" s="31"/>
      <c r="U39" s="5"/>
      <c r="V39" s="5"/>
      <c r="W39" s="5"/>
    </row>
    <row r="40" spans="1:25" ht="11.25" customHeight="1" x14ac:dyDescent="0.25">
      <c r="A40" s="29"/>
      <c r="B40" s="32"/>
      <c r="C40" s="66">
        <f t="shared" si="6"/>
        <v>0</v>
      </c>
      <c r="D40" s="33" t="str">
        <f t="shared" si="7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8"/>
        <v>0</v>
      </c>
      <c r="M40" s="51">
        <f t="shared" si="9"/>
        <v>0</v>
      </c>
      <c r="N40" s="55">
        <f t="shared" si="10"/>
        <v>0</v>
      </c>
      <c r="O40" s="55">
        <f t="shared" si="11"/>
        <v>0</v>
      </c>
      <c r="P40" s="54" t="e">
        <f t="shared" si="12"/>
        <v>#DIV/0!</v>
      </c>
      <c r="Q40" s="54" t="e">
        <f t="shared" si="1"/>
        <v>#DIV/0!</v>
      </c>
      <c r="R40" s="93">
        <f>IF(O40&lt;=0,0,IF(SUM($R$25:R39)&gt;=$F$15*C40,0,($F$15*C40-SUM($R$25:R39))*Q40))</f>
        <v>0</v>
      </c>
      <c r="S40" s="78">
        <f t="shared" si="2"/>
        <v>0</v>
      </c>
      <c r="T40" s="31"/>
      <c r="U40" s="5"/>
      <c r="V40" s="5"/>
      <c r="W40" s="5"/>
    </row>
    <row r="41" spans="1:25" ht="11.25" customHeight="1" x14ac:dyDescent="0.25">
      <c r="A41" s="29"/>
      <c r="B41" s="32"/>
      <c r="C41" s="66">
        <f t="shared" si="6"/>
        <v>0</v>
      </c>
      <c r="D41" s="33" t="str">
        <f t="shared" si="7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8"/>
        <v>0</v>
      </c>
      <c r="M41" s="51">
        <f t="shared" si="9"/>
        <v>0</v>
      </c>
      <c r="N41" s="55">
        <f t="shared" si="10"/>
        <v>0</v>
      </c>
      <c r="O41" s="55">
        <f t="shared" si="11"/>
        <v>0</v>
      </c>
      <c r="P41" s="54" t="e">
        <f t="shared" si="12"/>
        <v>#DIV/0!</v>
      </c>
      <c r="Q41" s="54" t="e">
        <f t="shared" si="1"/>
        <v>#DIV/0!</v>
      </c>
      <c r="R41" s="93">
        <f>IF(O41&lt;=0,0,IF(SUM($R$25:R40)&gt;=$F$15*C41,0,($F$15*C41-SUM($R$25:R40))*Q41))</f>
        <v>0</v>
      </c>
      <c r="S41" s="78">
        <f t="shared" si="2"/>
        <v>0</v>
      </c>
      <c r="T41" s="31"/>
      <c r="U41" s="5"/>
      <c r="V41" s="5"/>
      <c r="W41" s="5"/>
    </row>
    <row r="42" spans="1:25" ht="11.25" customHeight="1" x14ac:dyDescent="0.25">
      <c r="A42" s="29"/>
      <c r="B42" s="32"/>
      <c r="C42" s="66">
        <f t="shared" si="6"/>
        <v>0</v>
      </c>
      <c r="D42" s="33" t="str">
        <f t="shared" si="7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8"/>
        <v>0</v>
      </c>
      <c r="M42" s="51">
        <f t="shared" si="9"/>
        <v>0</v>
      </c>
      <c r="N42" s="55">
        <f t="shared" si="10"/>
        <v>0</v>
      </c>
      <c r="O42" s="55">
        <f t="shared" si="11"/>
        <v>0</v>
      </c>
      <c r="P42" s="54" t="e">
        <f t="shared" si="12"/>
        <v>#DIV/0!</v>
      </c>
      <c r="Q42" s="54" t="e">
        <f t="shared" si="1"/>
        <v>#DIV/0!</v>
      </c>
      <c r="R42" s="93">
        <f>IF(O42&lt;=0,0,IF(SUM($R$25:R41)&gt;=$F$15*C42,0,($F$15*C42-SUM($R$25:R41))*Q42))</f>
        <v>0</v>
      </c>
      <c r="S42" s="78">
        <f t="shared" si="2"/>
        <v>0</v>
      </c>
      <c r="T42" s="31"/>
      <c r="U42" s="5"/>
      <c r="V42" s="5"/>
      <c r="W42" s="5"/>
    </row>
    <row r="43" spans="1:25" ht="11.25" customHeight="1" x14ac:dyDescent="0.25">
      <c r="A43" s="29"/>
      <c r="B43" s="32"/>
      <c r="C43" s="66">
        <f t="shared" si="6"/>
        <v>0</v>
      </c>
      <c r="D43" s="33" t="str">
        <f t="shared" si="7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8"/>
        <v>0</v>
      </c>
      <c r="M43" s="51">
        <f t="shared" si="9"/>
        <v>0</v>
      </c>
      <c r="N43" s="55">
        <f t="shared" si="10"/>
        <v>0</v>
      </c>
      <c r="O43" s="55">
        <f t="shared" si="11"/>
        <v>0</v>
      </c>
      <c r="P43" s="54" t="e">
        <f t="shared" si="12"/>
        <v>#DIV/0!</v>
      </c>
      <c r="Q43" s="54" t="e">
        <f t="shared" si="1"/>
        <v>#DIV/0!</v>
      </c>
      <c r="R43" s="93">
        <f>IF(O43&lt;=0,0,IF(SUM($R$25:R42)&gt;=$F$15*C43,0,($F$15*C43-SUM($R$25:R42))*Q43))</f>
        <v>0</v>
      </c>
      <c r="S43" s="78">
        <f t="shared" si="2"/>
        <v>0</v>
      </c>
      <c r="T43" s="31"/>
      <c r="U43" s="5"/>
      <c r="V43" s="5"/>
      <c r="W43" s="5"/>
    </row>
    <row r="44" spans="1:25" ht="11.25" customHeight="1" x14ac:dyDescent="0.25">
      <c r="A44" s="29"/>
      <c r="B44" s="32"/>
      <c r="C44" s="66">
        <f t="shared" si="6"/>
        <v>0</v>
      </c>
      <c r="D44" s="33" t="str">
        <f t="shared" si="7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8"/>
        <v>0</v>
      </c>
      <c r="M44" s="51">
        <f t="shared" si="9"/>
        <v>0</v>
      </c>
      <c r="N44" s="55">
        <f t="shared" si="10"/>
        <v>0</v>
      </c>
      <c r="O44" s="55">
        <f t="shared" si="11"/>
        <v>0</v>
      </c>
      <c r="P44" s="54" t="e">
        <f t="shared" si="12"/>
        <v>#DIV/0!</v>
      </c>
      <c r="Q44" s="54" t="e">
        <f t="shared" si="1"/>
        <v>#DIV/0!</v>
      </c>
      <c r="R44" s="93">
        <f>IF(O44&lt;=0,0,IF(SUM($R$25:R43)&gt;=$F$15*C44,0,($F$15*C44-SUM($R$25:R43))*Q44))</f>
        <v>0</v>
      </c>
      <c r="S44" s="78">
        <f t="shared" si="2"/>
        <v>0</v>
      </c>
      <c r="T44" s="31"/>
      <c r="U44" s="5"/>
      <c r="V44" s="5"/>
      <c r="W44" s="5"/>
    </row>
    <row r="45" spans="1:25" ht="11.25" customHeight="1" x14ac:dyDescent="0.25">
      <c r="A45" s="29"/>
      <c r="B45" s="32"/>
      <c r="C45" s="67">
        <f t="shared" si="6"/>
        <v>0</v>
      </c>
      <c r="D45" s="33" t="str">
        <f t="shared" si="7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8"/>
        <v>0</v>
      </c>
      <c r="M45" s="51">
        <f t="shared" si="9"/>
        <v>0</v>
      </c>
      <c r="N45" s="55">
        <f t="shared" si="10"/>
        <v>0</v>
      </c>
      <c r="O45" s="55">
        <f t="shared" si="11"/>
        <v>0</v>
      </c>
      <c r="P45" s="54" t="e">
        <f t="shared" si="12"/>
        <v>#DIV/0!</v>
      </c>
      <c r="Q45" s="54" t="e">
        <f t="shared" si="1"/>
        <v>#DIV/0!</v>
      </c>
      <c r="R45" s="93">
        <f>IF(O45&lt;=0,0,IF(SUM($R$25:R44)&gt;=$F$15*C45,0,($F$15*C45-SUM($R$25:R44))*Q45))</f>
        <v>0</v>
      </c>
      <c r="S45" s="78">
        <f t="shared" si="2"/>
        <v>0</v>
      </c>
      <c r="T45" s="31"/>
      <c r="U45" s="5"/>
      <c r="V45" s="5"/>
      <c r="W45" s="5"/>
    </row>
    <row r="46" spans="1:25" ht="11.25" customHeight="1" x14ac:dyDescent="0.25">
      <c r="A46" s="29"/>
      <c r="B46" s="32"/>
      <c r="C46" s="66">
        <f t="shared" si="6"/>
        <v>0</v>
      </c>
      <c r="D46" s="33" t="str">
        <f t="shared" si="7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8"/>
        <v>0</v>
      </c>
      <c r="M46" s="51">
        <f t="shared" si="9"/>
        <v>0</v>
      </c>
      <c r="N46" s="55">
        <f t="shared" si="10"/>
        <v>0</v>
      </c>
      <c r="O46" s="55">
        <f t="shared" si="11"/>
        <v>0</v>
      </c>
      <c r="P46" s="54" t="e">
        <f t="shared" si="12"/>
        <v>#DIV/0!</v>
      </c>
      <c r="Q46" s="54" t="e">
        <f t="shared" si="1"/>
        <v>#DIV/0!</v>
      </c>
      <c r="R46" s="93">
        <f>IF(O46&lt;=0,0,IF(SUM($R$25:R45)&gt;=$F$15*C46,0,($F$15*C46-SUM($R$25:R45))*Q46))</f>
        <v>0</v>
      </c>
      <c r="S46" s="78">
        <f t="shared" si="2"/>
        <v>0</v>
      </c>
      <c r="T46" s="31"/>
      <c r="U46" s="5"/>
      <c r="V46" s="5"/>
      <c r="W46" s="5"/>
    </row>
    <row r="47" spans="1:25" ht="11.25" customHeight="1" x14ac:dyDescent="0.25">
      <c r="A47" s="29"/>
      <c r="B47" s="32"/>
      <c r="C47" s="66">
        <f t="shared" si="6"/>
        <v>0</v>
      </c>
      <c r="D47" s="33" t="str">
        <f t="shared" si="7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8"/>
        <v>0</v>
      </c>
      <c r="M47" s="51">
        <f t="shared" si="9"/>
        <v>0</v>
      </c>
      <c r="N47" s="55">
        <f t="shared" si="10"/>
        <v>0</v>
      </c>
      <c r="O47" s="55">
        <f t="shared" si="11"/>
        <v>0</v>
      </c>
      <c r="P47" s="54" t="e">
        <f t="shared" si="12"/>
        <v>#DIV/0!</v>
      </c>
      <c r="Q47" s="54" t="e">
        <f t="shared" si="1"/>
        <v>#DIV/0!</v>
      </c>
      <c r="R47" s="93">
        <f>IF(O47&lt;=0,0,IF(SUM($R$25:R46)&gt;=$F$15*C47,0,($F$15*C47-SUM($R$25:R46))*Q47))</f>
        <v>0</v>
      </c>
      <c r="S47" s="78">
        <f t="shared" si="2"/>
        <v>0</v>
      </c>
      <c r="T47" s="31"/>
      <c r="U47" s="5"/>
      <c r="V47" s="5"/>
      <c r="W47" s="5"/>
    </row>
    <row r="48" spans="1:25" ht="11.25" customHeight="1" x14ac:dyDescent="0.25">
      <c r="A48" s="29"/>
      <c r="B48" s="32"/>
      <c r="C48" s="66">
        <f t="shared" si="6"/>
        <v>0</v>
      </c>
      <c r="D48" s="33" t="str">
        <f t="shared" si="7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8"/>
        <v>0</v>
      </c>
      <c r="M48" s="51">
        <f t="shared" si="9"/>
        <v>0</v>
      </c>
      <c r="N48" s="55">
        <f t="shared" si="10"/>
        <v>0</v>
      </c>
      <c r="O48" s="55">
        <f t="shared" si="11"/>
        <v>0</v>
      </c>
      <c r="P48" s="54" t="e">
        <f t="shared" si="12"/>
        <v>#DIV/0!</v>
      </c>
      <c r="Q48" s="54" t="e">
        <f t="shared" si="1"/>
        <v>#DIV/0!</v>
      </c>
      <c r="R48" s="93">
        <f>IF(O48&lt;=0,0,IF(SUM($R$25:R47)&gt;=$F$15*C48,0,($F$15*C48-SUM($R$25:R47))*Q48))</f>
        <v>0</v>
      </c>
      <c r="S48" s="78">
        <f t="shared" si="2"/>
        <v>0</v>
      </c>
      <c r="T48" s="31"/>
      <c r="U48" s="5"/>
      <c r="V48" s="5"/>
      <c r="W48" s="5"/>
    </row>
    <row r="49" spans="1:25" s="39" customFormat="1" x14ac:dyDescent="0.25">
      <c r="A49" s="59"/>
      <c r="B49" s="60"/>
      <c r="E49" s="61">
        <f>SUM(E25:E48)</f>
        <v>0</v>
      </c>
      <c r="F49" s="61">
        <f>SUM(F25:F48)</f>
        <v>520.80551994817972</v>
      </c>
      <c r="G49" s="61">
        <f>SUM(G25:G48)</f>
        <v>1163000</v>
      </c>
      <c r="H49" s="61">
        <f>SUM(H25:H48)</f>
        <v>513000</v>
      </c>
      <c r="I49" s="62"/>
      <c r="J49" s="62"/>
      <c r="K49" s="63">
        <f>SUM(K25:K48)</f>
        <v>33852.358796631685</v>
      </c>
      <c r="L49" s="63">
        <f>MAX(L25:L48)</f>
        <v>5077.8538194947523</v>
      </c>
      <c r="M49" s="63">
        <f>MAX(M25:M48)</f>
        <v>0</v>
      </c>
      <c r="N49" s="63">
        <f>MAX(N25:N48)</f>
        <v>5077.8538194947523</v>
      </c>
      <c r="O49" s="63">
        <f>MAX(O25:O48)</f>
        <v>0</v>
      </c>
      <c r="R49" s="94">
        <f>SUM(R25:R48)</f>
        <v>0</v>
      </c>
      <c r="S49" s="90"/>
      <c r="T49" s="64"/>
      <c r="X49" s="64"/>
      <c r="Y49" s="64"/>
    </row>
    <row r="50" spans="1:25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5" x14ac:dyDescent="0.25">
      <c r="B51" s="4"/>
      <c r="C51" s="39" t="s">
        <v>9</v>
      </c>
      <c r="D51" s="34"/>
      <c r="E51" s="34"/>
      <c r="F51" s="8"/>
      <c r="G51" s="77"/>
      <c r="H51" s="9"/>
      <c r="I51" s="35"/>
      <c r="K51" s="39" t="s">
        <v>89</v>
      </c>
      <c r="P51" s="80"/>
      <c r="S51" s="88"/>
    </row>
    <row r="52" spans="1:25" x14ac:dyDescent="0.25">
      <c r="B52" s="4"/>
      <c r="D52" s="163" t="s">
        <v>48</v>
      </c>
      <c r="E52" s="163"/>
      <c r="F52" s="163"/>
      <c r="G52" s="68">
        <f>L49*0.75</f>
        <v>3808.3903646210642</v>
      </c>
      <c r="H52" s="36">
        <f>G52/SUM(L49:M49)</f>
        <v>0.75</v>
      </c>
      <c r="I52" s="9"/>
      <c r="K52" s="1">
        <v>1</v>
      </c>
      <c r="L52" s="1" t="s">
        <v>92</v>
      </c>
      <c r="P52" s="80"/>
      <c r="S52" s="88"/>
    </row>
    <row r="53" spans="1:25" x14ac:dyDescent="0.25">
      <c r="B53" s="4"/>
      <c r="D53" s="165" t="s">
        <v>49</v>
      </c>
      <c r="E53" s="165"/>
      <c r="F53" s="165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5" x14ac:dyDescent="0.25">
      <c r="B54" s="4"/>
      <c r="D54" s="163" t="s">
        <v>50</v>
      </c>
      <c r="E54" s="163"/>
      <c r="F54" s="163"/>
      <c r="G54" s="68">
        <f>SUM(G52:G53)</f>
        <v>3808.3903646210642</v>
      </c>
      <c r="H54" s="36">
        <f>SUM(H52:H53)</f>
        <v>0.75</v>
      </c>
      <c r="I54" s="9"/>
      <c r="K54" s="1">
        <v>3</v>
      </c>
      <c r="L54" s="1" t="s">
        <v>90</v>
      </c>
      <c r="M54" s="35"/>
      <c r="P54" s="80"/>
      <c r="S54" s="88"/>
    </row>
    <row r="55" spans="1:25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5" x14ac:dyDescent="0.25">
      <c r="B56" s="4"/>
      <c r="D56" s="165" t="s">
        <v>51</v>
      </c>
      <c r="E56" s="165"/>
      <c r="F56" s="165"/>
      <c r="G56" s="69">
        <f>M49+L49*0.25</f>
        <v>1269.4634548736881</v>
      </c>
      <c r="H56" s="37">
        <f>G56/SUM(L49:M49)</f>
        <v>0.25</v>
      </c>
      <c r="I56" s="9"/>
      <c r="K56" s="1">
        <v>5</v>
      </c>
      <c r="L56" s="1" t="s">
        <v>47</v>
      </c>
      <c r="S56" s="88"/>
    </row>
    <row r="57" spans="1:25" x14ac:dyDescent="0.25">
      <c r="B57" s="4"/>
      <c r="D57" s="163" t="s">
        <v>52</v>
      </c>
      <c r="E57" s="163"/>
      <c r="F57" s="163"/>
      <c r="G57" s="70">
        <f>SUM(G56)</f>
        <v>1269.4634548736881</v>
      </c>
      <c r="H57" s="38">
        <f>SUM(H56)</f>
        <v>0.25</v>
      </c>
      <c r="I57" s="9"/>
      <c r="K57" s="1">
        <v>6</v>
      </c>
      <c r="L57" s="1" t="s">
        <v>93</v>
      </c>
      <c r="S57" s="88"/>
    </row>
    <row r="58" spans="1:25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5" x14ac:dyDescent="0.25">
      <c r="B59" s="4"/>
      <c r="C59" s="39" t="s">
        <v>107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5" x14ac:dyDescent="0.25">
      <c r="B60" s="4"/>
      <c r="D60" s="164" t="s">
        <v>54</v>
      </c>
      <c r="E60" s="164"/>
      <c r="F60" s="164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5" x14ac:dyDescent="0.25">
      <c r="B61" s="4"/>
      <c r="D61" s="164" t="s">
        <v>55</v>
      </c>
      <c r="E61" s="164"/>
      <c r="F61" s="164"/>
      <c r="G61" s="71">
        <f>NPV($K$19,L49)</f>
        <v>4616.2307449952286</v>
      </c>
      <c r="H61" s="71">
        <f>NPV($K$19,M49)</f>
        <v>0</v>
      </c>
      <c r="I61" s="9"/>
      <c r="K61" s="1">
        <v>10</v>
      </c>
      <c r="L61" s="1" t="s">
        <v>94</v>
      </c>
      <c r="S61" s="88"/>
    </row>
    <row r="62" spans="1:25" x14ac:dyDescent="0.25">
      <c r="B62" s="4"/>
      <c r="I62" s="9"/>
      <c r="K62" s="1">
        <v>11</v>
      </c>
      <c r="L62" s="1" t="s">
        <v>95</v>
      </c>
      <c r="S62" s="88"/>
    </row>
    <row r="63" spans="1:25" x14ac:dyDescent="0.25">
      <c r="B63" s="4"/>
      <c r="I63" s="9"/>
      <c r="K63" s="1">
        <v>12</v>
      </c>
      <c r="L63" s="1" t="s">
        <v>96</v>
      </c>
      <c r="S63" s="88"/>
    </row>
    <row r="64" spans="1:25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7">
    <mergeCell ref="C15:E15"/>
    <mergeCell ref="B2:S2"/>
    <mergeCell ref="C6:E6"/>
    <mergeCell ref="C12:E12"/>
    <mergeCell ref="C13:E13"/>
    <mergeCell ref="C14:E14"/>
    <mergeCell ref="C18:E18"/>
    <mergeCell ref="C19:E19"/>
    <mergeCell ref="C20:E20"/>
    <mergeCell ref="C21:C23"/>
    <mergeCell ref="D21:D23"/>
    <mergeCell ref="E21:F21"/>
    <mergeCell ref="D57:F57"/>
    <mergeCell ref="D60:F60"/>
    <mergeCell ref="D61:F61"/>
    <mergeCell ref="N21:O21"/>
    <mergeCell ref="P21:R21"/>
    <mergeCell ref="D52:F52"/>
    <mergeCell ref="D53:F53"/>
    <mergeCell ref="D54:F54"/>
    <mergeCell ref="D56:F56"/>
    <mergeCell ref="G21:G22"/>
    <mergeCell ref="H21:H22"/>
    <mergeCell ref="I21:I22"/>
    <mergeCell ref="J21:J22"/>
    <mergeCell ref="K21:K22"/>
    <mergeCell ref="L21:M21"/>
  </mergeCells>
  <printOptions horizontalCentered="1"/>
  <pageMargins left="0.2" right="0.2" top="0.25" bottom="0.25" header="0" footer="0"/>
  <pageSetup paperSize="9" scale="71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D038-A567-4E2D-B5FE-6B994519ECCA}">
  <sheetPr>
    <pageSetUpPr fitToPage="1"/>
  </sheetPr>
  <dimension ref="A1:Y69"/>
  <sheetViews>
    <sheetView view="pageBreakPreview" topLeftCell="A9" zoomScaleNormal="115" zoomScaleSheetLayoutView="100" workbookViewId="0">
      <selection activeCell="H33" sqref="H33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3.140625" style="2" bestFit="1" customWidth="1"/>
    <col min="7" max="8" width="11.85546875" style="3" customWidth="1"/>
    <col min="9" max="9" width="9.140625" style="3"/>
    <col min="10" max="10" width="9.140625" style="1"/>
    <col min="11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3.140625" style="3" bestFit="1" customWidth="1"/>
    <col min="21" max="21" width="12.5703125" style="1" bestFit="1" customWidth="1"/>
    <col min="22" max="22" width="9.140625" style="1"/>
    <col min="23" max="23" width="12.7109375" style="1" bestFit="1" customWidth="1"/>
    <col min="24" max="25" width="11.140625" style="3" bestFit="1" customWidth="1"/>
    <col min="26" max="26" width="10.7109375" style="1" bestFit="1" customWidth="1"/>
    <col min="27" max="16384" width="9.140625" style="1"/>
  </cols>
  <sheetData>
    <row r="1" spans="2:19" ht="12" thickBot="1" x14ac:dyDescent="0.3"/>
    <row r="2" spans="2:19" ht="58.9" customHeight="1" x14ac:dyDescent="0.25">
      <c r="B2" s="174" t="s">
        <v>125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1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65</v>
      </c>
      <c r="R5" s="5"/>
      <c r="S5" s="86"/>
    </row>
    <row r="6" spans="2:19" ht="12" thickBot="1" x14ac:dyDescent="0.3">
      <c r="B6" s="4"/>
      <c r="C6" s="177">
        <v>44805</v>
      </c>
      <c r="D6" s="177"/>
      <c r="E6" s="177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3" t="s">
        <v>128</v>
      </c>
      <c r="D12" s="163"/>
      <c r="E12" s="163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73" t="s">
        <v>33</v>
      </c>
      <c r="D13" s="173"/>
      <c r="E13" s="173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10127.518691736792</v>
      </c>
      <c r="N13" s="17" t="s">
        <v>23</v>
      </c>
      <c r="P13" s="18"/>
      <c r="Q13" s="16"/>
      <c r="S13" s="88"/>
    </row>
    <row r="14" spans="2:19" x14ac:dyDescent="0.25">
      <c r="B14" s="4"/>
      <c r="C14" s="173" t="s">
        <v>28</v>
      </c>
      <c r="D14" s="173"/>
      <c r="E14" s="173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73" t="s">
        <v>29</v>
      </c>
      <c r="D15" s="173"/>
      <c r="E15" s="173"/>
      <c r="F15" s="16">
        <v>50000</v>
      </c>
      <c r="G15" s="106">
        <v>1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5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5" x14ac:dyDescent="0.25">
      <c r="B18" s="4"/>
      <c r="C18" s="163" t="s">
        <v>58</v>
      </c>
      <c r="D18" s="163"/>
      <c r="E18" s="163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0.55000000000000004</v>
      </c>
      <c r="N18" s="10" t="s">
        <v>105</v>
      </c>
      <c r="O18" s="98" cm="1">
        <f t="array" ref="O18">VLOOKUP(MIN(IF(L25:L48&gt;0,L25:L48)),$L$25:$S$48,8,FALSE)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5" x14ac:dyDescent="0.25">
      <c r="B19" s="4"/>
      <c r="C19" s="163" t="s">
        <v>30</v>
      </c>
      <c r="D19" s="163"/>
      <c r="E19" s="163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0.65</v>
      </c>
      <c r="N19" s="10" t="s">
        <v>111</v>
      </c>
      <c r="O19" s="98" cm="1">
        <f t="array" ref="O19">VLOOKUP(MIN(IF(N25:N48&gt;0,N25:N48)),$N$25:$S$48,6,FALSE)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5" x14ac:dyDescent="0.25">
      <c r="B20" s="4"/>
      <c r="C20" s="163" t="s">
        <v>34</v>
      </c>
      <c r="D20" s="163"/>
      <c r="E20" s="163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5" s="26" customFormat="1" ht="11.25" customHeight="1" x14ac:dyDescent="0.25">
      <c r="B21" s="27"/>
      <c r="C21" s="170" t="s">
        <v>31</v>
      </c>
      <c r="D21" s="170" t="s">
        <v>32</v>
      </c>
      <c r="E21" s="171" t="s">
        <v>46</v>
      </c>
      <c r="F21" s="172"/>
      <c r="G21" s="168" t="s">
        <v>47</v>
      </c>
      <c r="H21" s="168" t="s">
        <v>72</v>
      </c>
      <c r="I21" s="166" t="s">
        <v>7</v>
      </c>
      <c r="J21" s="166" t="s">
        <v>2</v>
      </c>
      <c r="K21" s="166" t="s">
        <v>43</v>
      </c>
      <c r="L21" s="171" t="s">
        <v>70</v>
      </c>
      <c r="M21" s="172"/>
      <c r="N21" s="171" t="s">
        <v>71</v>
      </c>
      <c r="O21" s="172"/>
      <c r="P21" s="182" t="s">
        <v>112</v>
      </c>
      <c r="Q21" s="182"/>
      <c r="R21" s="182"/>
      <c r="S21" s="89"/>
      <c r="T21" s="28"/>
      <c r="X21" s="28"/>
      <c r="Y21" s="28"/>
    </row>
    <row r="22" spans="1:25" s="5" customFormat="1" ht="11.25" customHeight="1" x14ac:dyDescent="0.25">
      <c r="A22" s="29"/>
      <c r="B22" s="30"/>
      <c r="C22" s="170"/>
      <c r="D22" s="170"/>
      <c r="E22" s="81" t="s">
        <v>0</v>
      </c>
      <c r="F22" s="56" t="s">
        <v>1</v>
      </c>
      <c r="G22" s="169"/>
      <c r="H22" s="169"/>
      <c r="I22" s="167"/>
      <c r="J22" s="167"/>
      <c r="K22" s="167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T22" s="31"/>
      <c r="X22" s="31"/>
      <c r="Y22" s="31"/>
    </row>
    <row r="23" spans="1:25" s="5" customFormat="1" ht="11.25" customHeight="1" x14ac:dyDescent="0.25">
      <c r="A23" s="29"/>
      <c r="B23" s="30"/>
      <c r="C23" s="170"/>
      <c r="D23" s="170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T23" s="31"/>
      <c r="X23" s="31"/>
      <c r="Y23" s="31"/>
    </row>
    <row r="24" spans="1:25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T24" s="31"/>
      <c r="X24" s="31"/>
      <c r="Y24" s="31"/>
    </row>
    <row r="25" spans="1:25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520.80551994817972</v>
      </c>
      <c r="G25" s="53">
        <f>IF(C25&lt;&gt;0,IF(C25=1,$F$13+$F$14+$F$15,$F$13*$G$13+$F$14*$G$14+$F$15*$G$15),0)</f>
        <v>551000</v>
      </c>
      <c r="H25" s="58">
        <f>IF(C25&lt;&gt;0,IF(C25=1,$F$13+$F$14,$F$13*$G$13+$F$14*$G$14),0)</f>
        <v>501000</v>
      </c>
      <c r="I25" s="52">
        <v>65</v>
      </c>
      <c r="J25" s="52">
        <v>2.5</v>
      </c>
      <c r="K25" s="51">
        <f>F25*I25+E25*J25*1000</f>
        <v>33852.358796631685</v>
      </c>
      <c r="L25" s="51">
        <f>IF(C25&lt;&gt;0,K25*$M$18-G25,0)</f>
        <v>-532381.20266185259</v>
      </c>
      <c r="M25" s="51">
        <f>IF(C25&lt;&gt;0,K25*(1-$M$18),0)</f>
        <v>15233.561458484257</v>
      </c>
      <c r="N25" s="55">
        <f>IF(C25&lt;&gt;0,K25*$M$18-H25,0)</f>
        <v>-482381.20266185259</v>
      </c>
      <c r="O25" s="55">
        <f>IF(C25&lt;&gt;0,K25*(1-$M$18),0)</f>
        <v>15233.561458484257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IF(N25&lt;=0,0,$F$15*C25)</f>
        <v>0</v>
      </c>
      <c r="S25" s="78">
        <f t="shared" ref="S25:S48" si="2">C25</f>
        <v>1</v>
      </c>
      <c r="T25" s="31"/>
      <c r="U25" s="5"/>
      <c r="V25" s="5"/>
      <c r="W25" s="5"/>
    </row>
    <row r="26" spans="1:25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IF(C26&lt;&gt;0,IF(C26=1,$F$13+$F$14+$F$15,$F$13*$G$13+$F$14*$G$14+$F$15*$G$15),0)</f>
        <v>51000</v>
      </c>
      <c r="H26" s="58">
        <f t="shared" ref="H26:H48" si="4">IF(C26&lt;&gt;0,IF(C26=1,$F$13+$F$14,$F$13*$G$13+$F$14*$G$14),0)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IF(C26&lt;&gt;0,K26*$M$18+L25-G26,0)</f>
        <v>-583381.20266185259</v>
      </c>
      <c r="M26" s="51">
        <f>IF(C26&lt;&gt;0,K26*(1-$M$18)+M25,0)</f>
        <v>15233.561458484257</v>
      </c>
      <c r="N26" s="55">
        <f>IF(C26&lt;&gt;0,K26*$M$18+N25-H26,0)</f>
        <v>-483381.20266185259</v>
      </c>
      <c r="O26" s="55">
        <f>IF(C26&lt;&gt;0,K26*(1-$M$18)+O25,0)</f>
        <v>15233.561458484257</v>
      </c>
      <c r="P26" s="54" t="e">
        <f>IF(F26/$Q$18+P25&gt;1,1,F26/$Q$18+P25)</f>
        <v>#DIV/0!</v>
      </c>
      <c r="Q26" s="54" t="e">
        <f t="shared" si="1"/>
        <v>#DIV/0!</v>
      </c>
      <c r="R26" s="93">
        <f>IF(N26&lt;=0,0,IF(SUM($R$25:R25)&gt;=$F$15*C26,0,($F$15*C26-SUM($R$25:R25))*Q26))</f>
        <v>0</v>
      </c>
      <c r="S26" s="78">
        <f t="shared" si="2"/>
        <v>2</v>
      </c>
      <c r="T26" s="31"/>
      <c r="U26" s="5"/>
      <c r="V26" s="5"/>
      <c r="W26" s="5"/>
    </row>
    <row r="27" spans="1:25" ht="11.25" customHeight="1" x14ac:dyDescent="0.25">
      <c r="A27" s="29"/>
      <c r="B27" s="32"/>
      <c r="C27" s="66">
        <f t="shared" ref="C27:C48" si="6">IF(AND(C26&lt;$F$19,C26&lt;&gt;0),C26+1,0)</f>
        <v>3</v>
      </c>
      <c r="D27" s="33" t="str">
        <f t="shared" ref="D27:D48" si="7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51000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8">IF(C27&lt;&gt;0,K27*$M$18+L26-G27,0)</f>
        <v>-634381.20266185259</v>
      </c>
      <c r="M27" s="51">
        <f t="shared" ref="M27:M48" si="9">IF(C27&lt;&gt;0,K27*(1-$M$18)+M26,0)</f>
        <v>15233.561458484257</v>
      </c>
      <c r="N27" s="55">
        <f t="shared" ref="N27:N48" si="10">IF(C27&lt;&gt;0,K27*$M$18+N26-H27,0)</f>
        <v>-484381.20266185259</v>
      </c>
      <c r="O27" s="55">
        <f t="shared" ref="O27:O48" si="11">IF(C27&lt;&gt;0,K27*(1-$M$18)+O26,0)</f>
        <v>15233.561458484257</v>
      </c>
      <c r="P27" s="54" t="e">
        <f t="shared" ref="P27:P48" si="12">IF(F27/$Q$18+P26&gt;1,1,F27/$Q$18+P26)</f>
        <v>#DIV/0!</v>
      </c>
      <c r="Q27" s="54" t="e">
        <f t="shared" si="1"/>
        <v>#DIV/0!</v>
      </c>
      <c r="R27" s="93">
        <f>IF(N27&lt;=0,0,IF(SUM($R$25:R26)&gt;=$F$15*C27,0,($F$15*C27-SUM($R$25:R26))*Q27))</f>
        <v>0</v>
      </c>
      <c r="S27" s="78">
        <f t="shared" si="2"/>
        <v>3</v>
      </c>
      <c r="T27" s="31"/>
      <c r="U27" s="5"/>
      <c r="V27" s="5"/>
      <c r="W27" s="5"/>
    </row>
    <row r="28" spans="1:25" ht="11.25" customHeight="1" x14ac:dyDescent="0.25">
      <c r="A28" s="29"/>
      <c r="B28" s="32"/>
      <c r="C28" s="66">
        <f t="shared" si="6"/>
        <v>4</v>
      </c>
      <c r="D28" s="33" t="str">
        <f t="shared" si="7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51000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8"/>
        <v>-685381.20266185259</v>
      </c>
      <c r="M28" s="51">
        <f t="shared" si="9"/>
        <v>15233.561458484257</v>
      </c>
      <c r="N28" s="55">
        <f t="shared" si="10"/>
        <v>-485381.20266185259</v>
      </c>
      <c r="O28" s="55">
        <f t="shared" si="11"/>
        <v>15233.561458484257</v>
      </c>
      <c r="P28" s="54" t="e">
        <f t="shared" si="12"/>
        <v>#DIV/0!</v>
      </c>
      <c r="Q28" s="54" t="e">
        <f t="shared" si="1"/>
        <v>#DIV/0!</v>
      </c>
      <c r="R28" s="93">
        <f>IF(N28&lt;=0,0,IF(SUM($R$25:R27)&gt;=$F$15*C28,0,($F$15*C28-SUM($R$25:R27))*Q28))</f>
        <v>0</v>
      </c>
      <c r="S28" s="78">
        <f t="shared" si="2"/>
        <v>4</v>
      </c>
      <c r="T28" s="31"/>
      <c r="U28" s="5"/>
      <c r="V28" s="5"/>
      <c r="W28" s="5"/>
    </row>
    <row r="29" spans="1:25" ht="11.25" customHeight="1" x14ac:dyDescent="0.25">
      <c r="A29" s="29"/>
      <c r="B29" s="32"/>
      <c r="C29" s="66">
        <f t="shared" si="6"/>
        <v>5</v>
      </c>
      <c r="D29" s="33" t="str">
        <f t="shared" si="7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51000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8"/>
        <v>-736381.20266185259</v>
      </c>
      <c r="M29" s="51">
        <f t="shared" si="9"/>
        <v>15233.561458484257</v>
      </c>
      <c r="N29" s="55">
        <f t="shared" si="10"/>
        <v>-486381.20266185259</v>
      </c>
      <c r="O29" s="55">
        <f t="shared" si="11"/>
        <v>15233.561458484257</v>
      </c>
      <c r="P29" s="54" t="e">
        <f t="shared" si="12"/>
        <v>#DIV/0!</v>
      </c>
      <c r="Q29" s="54" t="e">
        <f t="shared" si="1"/>
        <v>#DIV/0!</v>
      </c>
      <c r="R29" s="93">
        <f>IF(N29&lt;=0,0,IF(SUM($R$25:R28)&gt;=$F$15*C29,0,($F$15*C29-SUM($R$25:R28))*Q29))</f>
        <v>0</v>
      </c>
      <c r="S29" s="78">
        <f t="shared" si="2"/>
        <v>5</v>
      </c>
      <c r="T29" s="31"/>
      <c r="U29" s="5"/>
      <c r="V29" s="5"/>
      <c r="W29" s="5"/>
    </row>
    <row r="30" spans="1:25" ht="11.25" customHeight="1" x14ac:dyDescent="0.25">
      <c r="A30" s="29"/>
      <c r="B30" s="32"/>
      <c r="C30" s="66">
        <f t="shared" si="6"/>
        <v>6</v>
      </c>
      <c r="D30" s="33" t="str">
        <f t="shared" si="7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51000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8"/>
        <v>-787381.20266185259</v>
      </c>
      <c r="M30" s="51">
        <f t="shared" si="9"/>
        <v>15233.561458484257</v>
      </c>
      <c r="N30" s="55">
        <f t="shared" si="10"/>
        <v>-487381.20266185259</v>
      </c>
      <c r="O30" s="55">
        <f t="shared" si="11"/>
        <v>15233.561458484257</v>
      </c>
      <c r="P30" s="54" t="e">
        <f t="shared" si="12"/>
        <v>#DIV/0!</v>
      </c>
      <c r="Q30" s="54" t="e">
        <f t="shared" si="1"/>
        <v>#DIV/0!</v>
      </c>
      <c r="R30" s="93">
        <f>IF(N30&lt;=0,0,IF(SUM($R$25:R29)&gt;=$F$15*C30,0,($F$15*C30-SUM($R$25:R29))*Q30))</f>
        <v>0</v>
      </c>
      <c r="S30" s="78">
        <f t="shared" si="2"/>
        <v>6</v>
      </c>
      <c r="T30" s="31"/>
      <c r="U30" s="5"/>
      <c r="V30" s="5"/>
      <c r="W30" s="5"/>
      <c r="X30" s="1"/>
      <c r="Y30" s="1"/>
    </row>
    <row r="31" spans="1:25" ht="11.25" customHeight="1" x14ac:dyDescent="0.25">
      <c r="A31" s="29"/>
      <c r="B31" s="32"/>
      <c r="C31" s="66">
        <f t="shared" si="6"/>
        <v>7</v>
      </c>
      <c r="D31" s="33" t="str">
        <f t="shared" si="7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51000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8"/>
        <v>-838381.20266185259</v>
      </c>
      <c r="M31" s="51">
        <f t="shared" si="9"/>
        <v>15233.561458484257</v>
      </c>
      <c r="N31" s="55">
        <f t="shared" si="10"/>
        <v>-488381.20266185259</v>
      </c>
      <c r="O31" s="55">
        <f t="shared" si="11"/>
        <v>15233.561458484257</v>
      </c>
      <c r="P31" s="54" t="e">
        <f t="shared" si="12"/>
        <v>#DIV/0!</v>
      </c>
      <c r="Q31" s="54" t="e">
        <f t="shared" si="1"/>
        <v>#DIV/0!</v>
      </c>
      <c r="R31" s="93">
        <f>IF(N31&lt;=0,0,IF(SUM($R$25:R30)&gt;=$F$15*C31,0,($F$15*C31-SUM($R$25:R30))*Q31))</f>
        <v>0</v>
      </c>
      <c r="S31" s="78">
        <f t="shared" si="2"/>
        <v>7</v>
      </c>
      <c r="T31" s="31"/>
      <c r="U31" s="5"/>
      <c r="V31" s="5"/>
      <c r="W31" s="5"/>
      <c r="X31" s="1"/>
      <c r="Y31" s="1"/>
    </row>
    <row r="32" spans="1:25" ht="11.25" customHeight="1" x14ac:dyDescent="0.25">
      <c r="A32" s="29"/>
      <c r="B32" s="32"/>
      <c r="C32" s="66">
        <f t="shared" si="6"/>
        <v>8</v>
      </c>
      <c r="D32" s="33" t="str">
        <f t="shared" si="7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51000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8"/>
        <v>-889381.20266185259</v>
      </c>
      <c r="M32" s="51">
        <f t="shared" si="9"/>
        <v>15233.561458484257</v>
      </c>
      <c r="N32" s="55">
        <f t="shared" si="10"/>
        <v>-489381.20266185259</v>
      </c>
      <c r="O32" s="55">
        <f t="shared" si="11"/>
        <v>15233.561458484257</v>
      </c>
      <c r="P32" s="54" t="e">
        <f t="shared" si="12"/>
        <v>#DIV/0!</v>
      </c>
      <c r="Q32" s="54" t="e">
        <f t="shared" si="1"/>
        <v>#DIV/0!</v>
      </c>
      <c r="R32" s="93">
        <f>IF(N32&lt;=0,0,IF(SUM($R$25:R31)&gt;=$F$15*C32,0,($F$15*C32-SUM($R$25:R31))*Q32))</f>
        <v>0</v>
      </c>
      <c r="S32" s="78">
        <f t="shared" si="2"/>
        <v>8</v>
      </c>
      <c r="T32" s="31"/>
      <c r="U32" s="5"/>
      <c r="V32" s="5"/>
      <c r="W32" s="5"/>
      <c r="X32" s="1"/>
      <c r="Y32" s="1"/>
    </row>
    <row r="33" spans="1:25" ht="11.25" customHeight="1" x14ac:dyDescent="0.25">
      <c r="A33" s="29"/>
      <c r="B33" s="32"/>
      <c r="C33" s="66">
        <f t="shared" si="6"/>
        <v>9</v>
      </c>
      <c r="D33" s="33" t="str">
        <f t="shared" si="7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51000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8"/>
        <v>-940381.20266185259</v>
      </c>
      <c r="M33" s="51">
        <f t="shared" si="9"/>
        <v>15233.561458484257</v>
      </c>
      <c r="N33" s="55">
        <f t="shared" si="10"/>
        <v>-490381.20266185259</v>
      </c>
      <c r="O33" s="55">
        <f t="shared" si="11"/>
        <v>15233.561458484257</v>
      </c>
      <c r="P33" s="54" t="e">
        <f t="shared" si="12"/>
        <v>#DIV/0!</v>
      </c>
      <c r="Q33" s="54" t="e">
        <f t="shared" si="1"/>
        <v>#DIV/0!</v>
      </c>
      <c r="R33" s="93">
        <f>IF(N33&lt;=0,0,IF(SUM($R$25:R32)&gt;=$F$15*C33,0,($F$15*C33-SUM($R$25:R32))*Q33))</f>
        <v>0</v>
      </c>
      <c r="S33" s="78">
        <f t="shared" si="2"/>
        <v>9</v>
      </c>
      <c r="T33" s="31"/>
      <c r="U33" s="5"/>
      <c r="V33" s="5"/>
      <c r="W33" s="5"/>
      <c r="X33" s="1"/>
      <c r="Y33" s="1"/>
    </row>
    <row r="34" spans="1:25" ht="11.25" customHeight="1" x14ac:dyDescent="0.25">
      <c r="A34" s="29"/>
      <c r="B34" s="32"/>
      <c r="C34" s="66">
        <f t="shared" si="6"/>
        <v>10</v>
      </c>
      <c r="D34" s="33" t="str">
        <f t="shared" si="7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51000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8"/>
        <v>-991381.20266185259</v>
      </c>
      <c r="M34" s="51">
        <f t="shared" si="9"/>
        <v>15233.561458484257</v>
      </c>
      <c r="N34" s="55">
        <f t="shared" si="10"/>
        <v>-491381.20266185259</v>
      </c>
      <c r="O34" s="55">
        <f t="shared" si="11"/>
        <v>15233.561458484257</v>
      </c>
      <c r="P34" s="54" t="e">
        <f t="shared" si="12"/>
        <v>#DIV/0!</v>
      </c>
      <c r="Q34" s="54" t="e">
        <f t="shared" si="1"/>
        <v>#DIV/0!</v>
      </c>
      <c r="R34" s="93">
        <f>IF(N34&lt;=0,0,IF(SUM($R$25:R33)&gt;=$F$15*C34,0,($F$15*C34-SUM($R$25:R33))*Q34))</f>
        <v>0</v>
      </c>
      <c r="S34" s="78">
        <f t="shared" si="2"/>
        <v>10</v>
      </c>
      <c r="T34" s="31"/>
      <c r="U34" s="5"/>
      <c r="V34" s="5"/>
      <c r="W34" s="5"/>
      <c r="X34" s="1"/>
      <c r="Y34" s="1"/>
    </row>
    <row r="35" spans="1:25" ht="11.25" customHeight="1" x14ac:dyDescent="0.25">
      <c r="A35" s="29"/>
      <c r="B35" s="32"/>
      <c r="C35" s="66">
        <f t="shared" si="6"/>
        <v>11</v>
      </c>
      <c r="D35" s="33" t="str">
        <f t="shared" si="7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51000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8"/>
        <v>-1042381.2026618526</v>
      </c>
      <c r="M35" s="51">
        <f t="shared" si="9"/>
        <v>15233.561458484257</v>
      </c>
      <c r="N35" s="55">
        <f t="shared" si="10"/>
        <v>-492381.20266185259</v>
      </c>
      <c r="O35" s="55">
        <f t="shared" si="11"/>
        <v>15233.561458484257</v>
      </c>
      <c r="P35" s="54" t="e">
        <f t="shared" si="12"/>
        <v>#DIV/0!</v>
      </c>
      <c r="Q35" s="54" t="e">
        <f t="shared" si="1"/>
        <v>#DIV/0!</v>
      </c>
      <c r="R35" s="93">
        <f>IF(N35&lt;=0,0,IF(SUM($R$25:R34)&gt;=$F$15*C35,0,($F$15*C35-SUM($R$25:R34))*Q35))</f>
        <v>0</v>
      </c>
      <c r="S35" s="78">
        <f t="shared" si="2"/>
        <v>11</v>
      </c>
      <c r="T35" s="31"/>
      <c r="U35" s="5"/>
      <c r="V35" s="5"/>
      <c r="W35" s="5"/>
    </row>
    <row r="36" spans="1:25" ht="11.25" customHeight="1" x14ac:dyDescent="0.25">
      <c r="A36" s="29"/>
      <c r="B36" s="32"/>
      <c r="C36" s="66">
        <f t="shared" si="6"/>
        <v>12</v>
      </c>
      <c r="D36" s="33" t="str">
        <f t="shared" si="7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51000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8"/>
        <v>-1093381.2026618526</v>
      </c>
      <c r="M36" s="51">
        <f t="shared" si="9"/>
        <v>15233.561458484257</v>
      </c>
      <c r="N36" s="55">
        <f t="shared" si="10"/>
        <v>-493381.20266185259</v>
      </c>
      <c r="O36" s="55">
        <f t="shared" si="11"/>
        <v>15233.561458484257</v>
      </c>
      <c r="P36" s="54" t="e">
        <f t="shared" si="12"/>
        <v>#DIV/0!</v>
      </c>
      <c r="Q36" s="54" t="e">
        <f t="shared" si="1"/>
        <v>#DIV/0!</v>
      </c>
      <c r="R36" s="93">
        <f>IF(N36&lt;=0,0,IF(SUM($R$25:R35)&gt;=$F$15*C36,0,($F$15*C36-SUM($R$25:R35))*Q36))</f>
        <v>0</v>
      </c>
      <c r="S36" s="78">
        <f t="shared" si="2"/>
        <v>12</v>
      </c>
      <c r="T36" s="31"/>
      <c r="U36" s="5"/>
      <c r="V36" s="5"/>
      <c r="W36" s="5"/>
    </row>
    <row r="37" spans="1:25" ht="11.25" customHeight="1" x14ac:dyDescent="0.25">
      <c r="A37" s="29"/>
      <c r="B37" s="32"/>
      <c r="C37" s="66">
        <f t="shared" si="6"/>
        <v>13</v>
      </c>
      <c r="D37" s="33" t="str">
        <f t="shared" si="7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51000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8"/>
        <v>-1144381.2026618526</v>
      </c>
      <c r="M37" s="51">
        <f t="shared" si="9"/>
        <v>15233.561458484257</v>
      </c>
      <c r="N37" s="55">
        <f t="shared" si="10"/>
        <v>-494381.20266185259</v>
      </c>
      <c r="O37" s="55">
        <f t="shared" si="11"/>
        <v>15233.561458484257</v>
      </c>
      <c r="P37" s="54" t="e">
        <f t="shared" si="12"/>
        <v>#DIV/0!</v>
      </c>
      <c r="Q37" s="54" t="e">
        <f t="shared" si="1"/>
        <v>#DIV/0!</v>
      </c>
      <c r="R37" s="93">
        <f>IF(N37&lt;=0,0,IF(SUM($R$25:R36)&gt;=$F$15*C37,0,($F$15*C37-SUM($R$25:R36))*Q37))</f>
        <v>0</v>
      </c>
      <c r="S37" s="78">
        <f t="shared" si="2"/>
        <v>13</v>
      </c>
      <c r="T37" s="31"/>
      <c r="U37" s="5"/>
      <c r="V37" s="5"/>
      <c r="W37" s="5"/>
    </row>
    <row r="38" spans="1:25" ht="11.25" customHeight="1" x14ac:dyDescent="0.25">
      <c r="A38" s="29"/>
      <c r="B38" s="32"/>
      <c r="C38" s="66">
        <f t="shared" si="6"/>
        <v>0</v>
      </c>
      <c r="D38" s="33" t="str">
        <f t="shared" si="7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8"/>
        <v>0</v>
      </c>
      <c r="M38" s="51">
        <f t="shared" si="9"/>
        <v>0</v>
      </c>
      <c r="N38" s="55">
        <f t="shared" si="10"/>
        <v>0</v>
      </c>
      <c r="O38" s="55">
        <f t="shared" si="11"/>
        <v>0</v>
      </c>
      <c r="P38" s="54" t="e">
        <f t="shared" si="12"/>
        <v>#DIV/0!</v>
      </c>
      <c r="Q38" s="54" t="e">
        <f t="shared" si="1"/>
        <v>#DIV/0!</v>
      </c>
      <c r="R38" s="93">
        <f>IF(N38&lt;=0,0,IF(SUM($R$25:R37)&gt;=$F$15*C38,0,($F$15*C38-SUM($R$25:R37))*Q38))</f>
        <v>0</v>
      </c>
      <c r="S38" s="78">
        <f t="shared" si="2"/>
        <v>0</v>
      </c>
      <c r="T38" s="31"/>
      <c r="U38" s="5"/>
      <c r="V38" s="5"/>
      <c r="W38" s="5"/>
    </row>
    <row r="39" spans="1:25" ht="11.25" customHeight="1" x14ac:dyDescent="0.25">
      <c r="A39" s="29"/>
      <c r="B39" s="32"/>
      <c r="C39" s="66">
        <f t="shared" si="6"/>
        <v>0</v>
      </c>
      <c r="D39" s="33" t="str">
        <f t="shared" si="7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8"/>
        <v>0</v>
      </c>
      <c r="M39" s="51">
        <f t="shared" si="9"/>
        <v>0</v>
      </c>
      <c r="N39" s="55">
        <f t="shared" si="10"/>
        <v>0</v>
      </c>
      <c r="O39" s="55">
        <f t="shared" si="11"/>
        <v>0</v>
      </c>
      <c r="P39" s="54" t="e">
        <f t="shared" si="12"/>
        <v>#DIV/0!</v>
      </c>
      <c r="Q39" s="54" t="e">
        <f t="shared" si="1"/>
        <v>#DIV/0!</v>
      </c>
      <c r="R39" s="93">
        <f>IF(N39&lt;=0,0,IF(SUM($R$25:R38)&gt;=$F$15*C39,0,($F$15*C39-SUM($R$25:R38))*Q39))</f>
        <v>0</v>
      </c>
      <c r="S39" s="78">
        <f t="shared" si="2"/>
        <v>0</v>
      </c>
      <c r="T39" s="31"/>
      <c r="U39" s="5"/>
      <c r="V39" s="5"/>
      <c r="W39" s="5"/>
    </row>
    <row r="40" spans="1:25" ht="11.25" customHeight="1" x14ac:dyDescent="0.25">
      <c r="A40" s="29"/>
      <c r="B40" s="32"/>
      <c r="C40" s="66">
        <f t="shared" si="6"/>
        <v>0</v>
      </c>
      <c r="D40" s="33" t="str">
        <f t="shared" si="7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8"/>
        <v>0</v>
      </c>
      <c r="M40" s="51">
        <f t="shared" si="9"/>
        <v>0</v>
      </c>
      <c r="N40" s="55">
        <f t="shared" si="10"/>
        <v>0</v>
      </c>
      <c r="O40" s="55">
        <f t="shared" si="11"/>
        <v>0</v>
      </c>
      <c r="P40" s="54" t="e">
        <f t="shared" si="12"/>
        <v>#DIV/0!</v>
      </c>
      <c r="Q40" s="54" t="e">
        <f t="shared" si="1"/>
        <v>#DIV/0!</v>
      </c>
      <c r="R40" s="93">
        <f>IF(N40&lt;=0,0,IF(SUM($R$25:R39)&gt;=$F$15*C40,0,($F$15*C40-SUM($R$25:R39))*Q40))</f>
        <v>0</v>
      </c>
      <c r="S40" s="78">
        <f t="shared" si="2"/>
        <v>0</v>
      </c>
      <c r="T40" s="31"/>
      <c r="U40" s="5"/>
      <c r="V40" s="5"/>
      <c r="W40" s="5"/>
    </row>
    <row r="41" spans="1:25" ht="11.25" customHeight="1" x14ac:dyDescent="0.25">
      <c r="A41" s="29"/>
      <c r="B41" s="32"/>
      <c r="C41" s="66">
        <f t="shared" si="6"/>
        <v>0</v>
      </c>
      <c r="D41" s="33" t="str">
        <f t="shared" si="7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8"/>
        <v>0</v>
      </c>
      <c r="M41" s="51">
        <f t="shared" si="9"/>
        <v>0</v>
      </c>
      <c r="N41" s="55">
        <f t="shared" si="10"/>
        <v>0</v>
      </c>
      <c r="O41" s="55">
        <f t="shared" si="11"/>
        <v>0</v>
      </c>
      <c r="P41" s="54" t="e">
        <f t="shared" si="12"/>
        <v>#DIV/0!</v>
      </c>
      <c r="Q41" s="54" t="e">
        <f t="shared" si="1"/>
        <v>#DIV/0!</v>
      </c>
      <c r="R41" s="93">
        <f>IF(N41&lt;=0,0,IF(SUM($R$25:R40)&gt;=$F$15*C41,0,($F$15*C41-SUM($R$25:R40))*Q41))</f>
        <v>0</v>
      </c>
      <c r="S41" s="78">
        <f t="shared" si="2"/>
        <v>0</v>
      </c>
      <c r="T41" s="31"/>
      <c r="U41" s="5"/>
      <c r="V41" s="5"/>
      <c r="W41" s="5"/>
    </row>
    <row r="42" spans="1:25" ht="11.25" customHeight="1" x14ac:dyDescent="0.25">
      <c r="A42" s="29"/>
      <c r="B42" s="32"/>
      <c r="C42" s="66">
        <f t="shared" si="6"/>
        <v>0</v>
      </c>
      <c r="D42" s="33" t="str">
        <f t="shared" si="7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8"/>
        <v>0</v>
      </c>
      <c r="M42" s="51">
        <f t="shared" si="9"/>
        <v>0</v>
      </c>
      <c r="N42" s="55">
        <f t="shared" si="10"/>
        <v>0</v>
      </c>
      <c r="O42" s="55">
        <f t="shared" si="11"/>
        <v>0</v>
      </c>
      <c r="P42" s="54" t="e">
        <f t="shared" si="12"/>
        <v>#DIV/0!</v>
      </c>
      <c r="Q42" s="54" t="e">
        <f t="shared" si="1"/>
        <v>#DIV/0!</v>
      </c>
      <c r="R42" s="93">
        <f>IF(N42&lt;=0,0,IF(SUM($R$25:R41)&gt;=$F$15*C42,0,($F$15*C42-SUM($R$25:R41))*Q42))</f>
        <v>0</v>
      </c>
      <c r="S42" s="78">
        <f t="shared" si="2"/>
        <v>0</v>
      </c>
      <c r="T42" s="31"/>
      <c r="U42" s="5"/>
      <c r="V42" s="5"/>
      <c r="W42" s="5"/>
    </row>
    <row r="43" spans="1:25" ht="11.25" customHeight="1" x14ac:dyDescent="0.25">
      <c r="A43" s="29"/>
      <c r="B43" s="32"/>
      <c r="C43" s="66">
        <f t="shared" si="6"/>
        <v>0</v>
      </c>
      <c r="D43" s="33" t="str">
        <f t="shared" si="7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8"/>
        <v>0</v>
      </c>
      <c r="M43" s="51">
        <f t="shared" si="9"/>
        <v>0</v>
      </c>
      <c r="N43" s="55">
        <f t="shared" si="10"/>
        <v>0</v>
      </c>
      <c r="O43" s="55">
        <f t="shared" si="11"/>
        <v>0</v>
      </c>
      <c r="P43" s="54" t="e">
        <f t="shared" si="12"/>
        <v>#DIV/0!</v>
      </c>
      <c r="Q43" s="54" t="e">
        <f t="shared" si="1"/>
        <v>#DIV/0!</v>
      </c>
      <c r="R43" s="93">
        <f>IF(N43&lt;=0,0,IF(SUM($R$25:R42)&gt;=$F$15*C43,0,($F$15*C43-SUM($R$25:R42))*Q43))</f>
        <v>0</v>
      </c>
      <c r="S43" s="78">
        <f t="shared" si="2"/>
        <v>0</v>
      </c>
      <c r="T43" s="31"/>
      <c r="U43" s="5"/>
      <c r="V43" s="5"/>
      <c r="W43" s="5"/>
    </row>
    <row r="44" spans="1:25" ht="11.25" customHeight="1" x14ac:dyDescent="0.25">
      <c r="A44" s="29"/>
      <c r="B44" s="32"/>
      <c r="C44" s="66">
        <f t="shared" si="6"/>
        <v>0</v>
      </c>
      <c r="D44" s="33" t="str">
        <f t="shared" si="7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8"/>
        <v>0</v>
      </c>
      <c r="M44" s="51">
        <f t="shared" si="9"/>
        <v>0</v>
      </c>
      <c r="N44" s="55">
        <f t="shared" si="10"/>
        <v>0</v>
      </c>
      <c r="O44" s="55">
        <f t="shared" si="11"/>
        <v>0</v>
      </c>
      <c r="P44" s="54" t="e">
        <f t="shared" si="12"/>
        <v>#DIV/0!</v>
      </c>
      <c r="Q44" s="54" t="e">
        <f t="shared" si="1"/>
        <v>#DIV/0!</v>
      </c>
      <c r="R44" s="93">
        <f>IF(N44&lt;=0,0,IF(SUM($R$25:R43)&gt;=$F$15*C44,0,($F$15*C44-SUM($R$25:R43))*Q44))</f>
        <v>0</v>
      </c>
      <c r="S44" s="78">
        <f t="shared" si="2"/>
        <v>0</v>
      </c>
      <c r="T44" s="31"/>
      <c r="U44" s="5"/>
      <c r="V44" s="5"/>
      <c r="W44" s="5"/>
    </row>
    <row r="45" spans="1:25" ht="11.25" customHeight="1" x14ac:dyDescent="0.25">
      <c r="A45" s="29"/>
      <c r="B45" s="32"/>
      <c r="C45" s="67">
        <f t="shared" si="6"/>
        <v>0</v>
      </c>
      <c r="D45" s="33" t="str">
        <f t="shared" si="7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8"/>
        <v>0</v>
      </c>
      <c r="M45" s="51">
        <f t="shared" si="9"/>
        <v>0</v>
      </c>
      <c r="N45" s="55">
        <f t="shared" si="10"/>
        <v>0</v>
      </c>
      <c r="O45" s="55">
        <f t="shared" si="11"/>
        <v>0</v>
      </c>
      <c r="P45" s="54" t="e">
        <f t="shared" si="12"/>
        <v>#DIV/0!</v>
      </c>
      <c r="Q45" s="54" t="e">
        <f t="shared" si="1"/>
        <v>#DIV/0!</v>
      </c>
      <c r="R45" s="93">
        <f>IF(N45&lt;=0,0,IF(SUM($R$25:R44)&gt;=$F$15*C45,0,($F$15*C45-SUM($R$25:R44))*Q45))</f>
        <v>0</v>
      </c>
      <c r="S45" s="78">
        <f t="shared" si="2"/>
        <v>0</v>
      </c>
      <c r="T45" s="31"/>
      <c r="U45" s="5"/>
      <c r="V45" s="5"/>
      <c r="W45" s="5"/>
    </row>
    <row r="46" spans="1:25" ht="11.25" customHeight="1" x14ac:dyDescent="0.25">
      <c r="A46" s="29"/>
      <c r="B46" s="32"/>
      <c r="C46" s="66">
        <f t="shared" si="6"/>
        <v>0</v>
      </c>
      <c r="D46" s="33" t="str">
        <f t="shared" si="7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8"/>
        <v>0</v>
      </c>
      <c r="M46" s="51">
        <f t="shared" si="9"/>
        <v>0</v>
      </c>
      <c r="N46" s="55">
        <f t="shared" si="10"/>
        <v>0</v>
      </c>
      <c r="O46" s="55">
        <f t="shared" si="11"/>
        <v>0</v>
      </c>
      <c r="P46" s="54" t="e">
        <f t="shared" si="12"/>
        <v>#DIV/0!</v>
      </c>
      <c r="Q46" s="54" t="e">
        <f t="shared" si="1"/>
        <v>#DIV/0!</v>
      </c>
      <c r="R46" s="93">
        <f>IF(N46&lt;=0,0,IF(SUM($R$25:R45)&gt;=$F$15*C46,0,($F$15*C46-SUM($R$25:R45))*Q46))</f>
        <v>0</v>
      </c>
      <c r="S46" s="78">
        <f t="shared" si="2"/>
        <v>0</v>
      </c>
      <c r="T46" s="31"/>
      <c r="U46" s="5"/>
      <c r="V46" s="5"/>
      <c r="W46" s="5"/>
    </row>
    <row r="47" spans="1:25" ht="11.25" customHeight="1" x14ac:dyDescent="0.25">
      <c r="A47" s="29"/>
      <c r="B47" s="32"/>
      <c r="C47" s="66">
        <f t="shared" si="6"/>
        <v>0</v>
      </c>
      <c r="D47" s="33" t="str">
        <f t="shared" si="7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8"/>
        <v>0</v>
      </c>
      <c r="M47" s="51">
        <f t="shared" si="9"/>
        <v>0</v>
      </c>
      <c r="N47" s="55">
        <f t="shared" si="10"/>
        <v>0</v>
      </c>
      <c r="O47" s="55">
        <f t="shared" si="11"/>
        <v>0</v>
      </c>
      <c r="P47" s="54" t="e">
        <f t="shared" si="12"/>
        <v>#DIV/0!</v>
      </c>
      <c r="Q47" s="54" t="e">
        <f t="shared" si="1"/>
        <v>#DIV/0!</v>
      </c>
      <c r="R47" s="93">
        <f>IF(N47&lt;=0,0,IF(SUM($R$25:R46)&gt;=$F$15*C47,0,($F$15*C47-SUM($R$25:R46))*Q47))</f>
        <v>0</v>
      </c>
      <c r="S47" s="78">
        <f t="shared" si="2"/>
        <v>0</v>
      </c>
      <c r="T47" s="31"/>
      <c r="U47" s="5"/>
      <c r="V47" s="5"/>
      <c r="W47" s="5"/>
    </row>
    <row r="48" spans="1:25" ht="11.25" customHeight="1" x14ac:dyDescent="0.25">
      <c r="A48" s="29"/>
      <c r="B48" s="32"/>
      <c r="C48" s="66">
        <f t="shared" si="6"/>
        <v>0</v>
      </c>
      <c r="D48" s="33" t="str">
        <f t="shared" si="7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8"/>
        <v>0</v>
      </c>
      <c r="M48" s="51">
        <f t="shared" si="9"/>
        <v>0</v>
      </c>
      <c r="N48" s="55">
        <f t="shared" si="10"/>
        <v>0</v>
      </c>
      <c r="O48" s="55">
        <f t="shared" si="11"/>
        <v>0</v>
      </c>
      <c r="P48" s="54" t="e">
        <f t="shared" si="12"/>
        <v>#DIV/0!</v>
      </c>
      <c r="Q48" s="54" t="e">
        <f t="shared" si="1"/>
        <v>#DIV/0!</v>
      </c>
      <c r="R48" s="93">
        <f>IF(N48&lt;=0,0,IF(SUM($R$25:R47)&gt;=$F$15*C48,0,($F$15*C48-SUM($R$25:R47))*Q48))</f>
        <v>0</v>
      </c>
      <c r="S48" s="78">
        <f t="shared" si="2"/>
        <v>0</v>
      </c>
      <c r="T48" s="31"/>
      <c r="U48" s="5"/>
      <c r="V48" s="5"/>
      <c r="W48" s="5"/>
    </row>
    <row r="49" spans="1:25" s="39" customFormat="1" x14ac:dyDescent="0.25">
      <c r="A49" s="59"/>
      <c r="B49" s="60"/>
      <c r="E49" s="61">
        <f>SUM(E25:E48)</f>
        <v>0</v>
      </c>
      <c r="F49" s="61">
        <f>SUM(F25:F48)</f>
        <v>520.80551994817972</v>
      </c>
      <c r="G49" s="61">
        <f>SUM(G25:G48)</f>
        <v>1163000</v>
      </c>
      <c r="H49" s="61">
        <f>SUM(H25:H48)</f>
        <v>513000</v>
      </c>
      <c r="I49" s="62"/>
      <c r="J49" s="62"/>
      <c r="K49" s="63">
        <f>SUM(K25:K48)</f>
        <v>33852.358796631685</v>
      </c>
      <c r="L49" s="63">
        <f>MAX(L25:L48)</f>
        <v>0</v>
      </c>
      <c r="M49" s="63">
        <f>MAX(M25:M48)</f>
        <v>15233.561458484257</v>
      </c>
      <c r="N49" s="63">
        <f>MAX(N25:N48)</f>
        <v>0</v>
      </c>
      <c r="O49" s="63">
        <f>MAX(O25:O48)</f>
        <v>15233.561458484257</v>
      </c>
      <c r="R49" s="94">
        <f>SUM(R25:R48)</f>
        <v>0</v>
      </c>
      <c r="S49" s="90"/>
      <c r="T49" s="64"/>
      <c r="X49" s="64"/>
      <c r="Y49" s="64"/>
    </row>
    <row r="50" spans="1:25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5" x14ac:dyDescent="0.25">
      <c r="B51" s="4"/>
      <c r="C51" s="39" t="s">
        <v>10</v>
      </c>
      <c r="D51" s="34"/>
      <c r="E51" s="34"/>
      <c r="F51" s="8"/>
      <c r="G51" s="77"/>
      <c r="H51" s="9"/>
      <c r="I51" s="35"/>
      <c r="K51" s="39" t="s">
        <v>89</v>
      </c>
      <c r="P51" s="80"/>
      <c r="S51" s="88"/>
    </row>
    <row r="52" spans="1:25" x14ac:dyDescent="0.25">
      <c r="B52" s="4"/>
      <c r="D52" s="163" t="s">
        <v>48</v>
      </c>
      <c r="E52" s="163"/>
      <c r="F52" s="163"/>
      <c r="G52" s="68">
        <f>L49*0.75</f>
        <v>0</v>
      </c>
      <c r="H52" s="36">
        <f>G52/SUM(L49:M49)</f>
        <v>0</v>
      </c>
      <c r="I52" s="9"/>
      <c r="K52" s="1">
        <v>1</v>
      </c>
      <c r="L52" s="1" t="s">
        <v>92</v>
      </c>
      <c r="P52" s="80"/>
      <c r="S52" s="88"/>
    </row>
    <row r="53" spans="1:25" x14ac:dyDescent="0.25">
      <c r="B53" s="4"/>
      <c r="D53" s="165" t="s">
        <v>49</v>
      </c>
      <c r="E53" s="165"/>
      <c r="F53" s="165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5" x14ac:dyDescent="0.25">
      <c r="B54" s="4"/>
      <c r="D54" s="163" t="s">
        <v>50</v>
      </c>
      <c r="E54" s="163"/>
      <c r="F54" s="163"/>
      <c r="G54" s="68">
        <f>SUM(G52:G53)</f>
        <v>0</v>
      </c>
      <c r="H54" s="36">
        <f>SUM(H52:H53)</f>
        <v>0</v>
      </c>
      <c r="I54" s="9"/>
      <c r="K54" s="1">
        <v>3</v>
      </c>
      <c r="L54" s="1" t="s">
        <v>90</v>
      </c>
      <c r="M54" s="35"/>
      <c r="P54" s="80"/>
      <c r="S54" s="88"/>
    </row>
    <row r="55" spans="1:25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5" x14ac:dyDescent="0.25">
      <c r="B56" s="4"/>
      <c r="D56" s="165" t="s">
        <v>51</v>
      </c>
      <c r="E56" s="165"/>
      <c r="F56" s="165"/>
      <c r="G56" s="69">
        <f>M49+L49*0.25</f>
        <v>15233.561458484257</v>
      </c>
      <c r="H56" s="37">
        <f>G56/SUM(L49:M49)</f>
        <v>1</v>
      </c>
      <c r="I56" s="9"/>
      <c r="K56" s="1">
        <v>5</v>
      </c>
      <c r="L56" s="1" t="s">
        <v>47</v>
      </c>
      <c r="S56" s="88"/>
    </row>
    <row r="57" spans="1:25" x14ac:dyDescent="0.25">
      <c r="B57" s="4"/>
      <c r="D57" s="163" t="s">
        <v>52</v>
      </c>
      <c r="E57" s="163"/>
      <c r="F57" s="163"/>
      <c r="G57" s="70">
        <f>SUM(G56)</f>
        <v>15233.561458484257</v>
      </c>
      <c r="H57" s="38">
        <f>SUM(H56)</f>
        <v>1</v>
      </c>
      <c r="I57" s="9"/>
      <c r="K57" s="1">
        <v>6</v>
      </c>
      <c r="L57" s="1" t="s">
        <v>93</v>
      </c>
      <c r="S57" s="88"/>
    </row>
    <row r="58" spans="1:25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5" x14ac:dyDescent="0.25">
      <c r="B59" s="4"/>
      <c r="C59" s="39" t="s">
        <v>56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5" x14ac:dyDescent="0.25">
      <c r="B60" s="4"/>
      <c r="D60" s="164" t="s">
        <v>54</v>
      </c>
      <c r="E60" s="164"/>
      <c r="F60" s="164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5" x14ac:dyDescent="0.25">
      <c r="B61" s="4"/>
      <c r="D61" s="164" t="s">
        <v>55</v>
      </c>
      <c r="E61" s="164"/>
      <c r="F61" s="164"/>
      <c r="G61" s="71">
        <f>NPV($K$19,L49)</f>
        <v>0</v>
      </c>
      <c r="H61" s="71">
        <f>NPV($K$19,M49)</f>
        <v>13848.692234985687</v>
      </c>
      <c r="I61" s="9"/>
      <c r="K61" s="1">
        <v>10</v>
      </c>
      <c r="L61" s="1" t="s">
        <v>94</v>
      </c>
      <c r="S61" s="88"/>
    </row>
    <row r="62" spans="1:25" x14ac:dyDescent="0.25">
      <c r="B62" s="4"/>
      <c r="I62" s="9"/>
      <c r="K62" s="1">
        <v>11</v>
      </c>
      <c r="L62" s="1" t="s">
        <v>95</v>
      </c>
      <c r="S62" s="88"/>
    </row>
    <row r="63" spans="1:25" x14ac:dyDescent="0.25">
      <c r="B63" s="4"/>
      <c r="I63" s="9"/>
      <c r="K63" s="1">
        <v>12</v>
      </c>
      <c r="L63" s="1" t="s">
        <v>96</v>
      </c>
      <c r="S63" s="88"/>
    </row>
    <row r="64" spans="1:25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7">
    <mergeCell ref="C15:E15"/>
    <mergeCell ref="B2:S2"/>
    <mergeCell ref="C6:E6"/>
    <mergeCell ref="C12:E12"/>
    <mergeCell ref="C13:E13"/>
    <mergeCell ref="C14:E14"/>
    <mergeCell ref="C18:E18"/>
    <mergeCell ref="C19:E19"/>
    <mergeCell ref="C20:E20"/>
    <mergeCell ref="C21:C23"/>
    <mergeCell ref="D21:D23"/>
    <mergeCell ref="E21:F21"/>
    <mergeCell ref="D57:F57"/>
    <mergeCell ref="D60:F60"/>
    <mergeCell ref="D61:F61"/>
    <mergeCell ref="N21:O21"/>
    <mergeCell ref="P21:R21"/>
    <mergeCell ref="D52:F52"/>
    <mergeCell ref="D53:F53"/>
    <mergeCell ref="D54:F54"/>
    <mergeCell ref="D56:F56"/>
    <mergeCell ref="G21:G22"/>
    <mergeCell ref="H21:H22"/>
    <mergeCell ref="I21:I22"/>
    <mergeCell ref="J21:J22"/>
    <mergeCell ref="K21:K22"/>
    <mergeCell ref="L21:M21"/>
  </mergeCells>
  <printOptions horizontalCentered="1"/>
  <pageMargins left="0.2" right="0.2" top="0.25" bottom="0.25" header="0" footer="0"/>
  <pageSetup paperSize="9" scale="5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FC9E-DDBA-4CB7-9C82-247906EFA8E4}">
  <sheetPr>
    <tabColor rgb="FF92D050"/>
  </sheetPr>
  <dimension ref="A1:J51"/>
  <sheetViews>
    <sheetView view="pageBreakPreview" topLeftCell="B10" zoomScale="180" zoomScaleNormal="190" zoomScaleSheetLayoutView="180" workbookViewId="0">
      <selection activeCell="H27" sqref="H27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14.85546875" style="1" customWidth="1"/>
    <col min="6" max="6" width="14.85546875" style="2" customWidth="1"/>
    <col min="7" max="7" width="14.85546875" style="3" customWidth="1"/>
    <col min="8" max="8" width="14.85546875" style="2" customWidth="1"/>
    <col min="9" max="9" width="14.85546875" style="1" customWidth="1"/>
    <col min="10" max="10" width="2.7109375" style="85" customWidth="1"/>
    <col min="11" max="11" width="10.7109375" style="1" bestFit="1" customWidth="1"/>
    <col min="12" max="16384" width="9.140625" style="1"/>
  </cols>
  <sheetData>
    <row r="1" spans="2:10" ht="12" thickBot="1" x14ac:dyDescent="0.3"/>
    <row r="2" spans="2:10" ht="58.9" customHeight="1" x14ac:dyDescent="0.25">
      <c r="B2" s="174" t="s">
        <v>127</v>
      </c>
      <c r="C2" s="180"/>
      <c r="D2" s="180"/>
      <c r="E2" s="180"/>
      <c r="F2" s="180"/>
      <c r="G2" s="180"/>
      <c r="H2" s="180"/>
      <c r="I2" s="180"/>
      <c r="J2" s="181"/>
    </row>
    <row r="3" spans="2:10" x14ac:dyDescent="0.25">
      <c r="B3" s="4"/>
      <c r="C3" s="5"/>
      <c r="D3" s="5"/>
      <c r="E3" s="5"/>
      <c r="F3" s="6"/>
      <c r="G3" s="7"/>
      <c r="H3" s="6"/>
      <c r="I3" s="5"/>
      <c r="J3" s="86"/>
    </row>
    <row r="4" spans="2:10" x14ac:dyDescent="0.25">
      <c r="B4" s="4"/>
      <c r="F4" s="8"/>
      <c r="G4" s="9"/>
      <c r="H4" s="10" t="s">
        <v>11</v>
      </c>
      <c r="J4" s="86"/>
    </row>
    <row r="5" spans="2:10" x14ac:dyDescent="0.25">
      <c r="B5" s="4"/>
      <c r="F5" s="8"/>
      <c r="G5" s="9"/>
      <c r="H5" s="10" t="s">
        <v>13</v>
      </c>
      <c r="J5" s="86"/>
    </row>
    <row r="6" spans="2:10" ht="12" thickBot="1" x14ac:dyDescent="0.3">
      <c r="B6" s="4"/>
      <c r="C6" s="177">
        <v>44805</v>
      </c>
      <c r="D6" s="177"/>
      <c r="E6" s="177"/>
      <c r="F6" s="11"/>
      <c r="G6" s="12"/>
      <c r="H6" s="14" t="s">
        <v>12</v>
      </c>
      <c r="I6" s="109"/>
      <c r="J6" s="86"/>
    </row>
    <row r="7" spans="2:10" ht="12" thickTop="1" x14ac:dyDescent="0.25">
      <c r="B7" s="4"/>
      <c r="C7" s="15" t="s">
        <v>17</v>
      </c>
      <c r="D7" s="15"/>
      <c r="F7" s="8"/>
      <c r="G7" s="9"/>
      <c r="H7" s="8"/>
      <c r="I7" s="1" t="s">
        <v>136</v>
      </c>
      <c r="J7" s="86"/>
    </row>
    <row r="8" spans="2:10" x14ac:dyDescent="0.25">
      <c r="B8" s="4"/>
      <c r="C8" s="1" t="s">
        <v>119</v>
      </c>
      <c r="D8" s="15"/>
      <c r="F8" s="8"/>
      <c r="G8" s="9"/>
      <c r="H8" s="8"/>
      <c r="J8" s="86"/>
    </row>
    <row r="9" spans="2:10" x14ac:dyDescent="0.25">
      <c r="B9" s="4"/>
      <c r="C9" s="15"/>
      <c r="D9" s="15"/>
      <c r="F9" s="8"/>
      <c r="G9" s="9"/>
      <c r="H9" s="8"/>
      <c r="J9" s="86"/>
    </row>
    <row r="10" spans="2:10" x14ac:dyDescent="0.25">
      <c r="B10" s="4"/>
      <c r="F10" s="8"/>
      <c r="G10" s="9"/>
      <c r="H10" s="8"/>
      <c r="J10" s="86"/>
    </row>
    <row r="11" spans="2:10" x14ac:dyDescent="0.25">
      <c r="B11" s="4"/>
      <c r="C11" s="79" t="s">
        <v>18</v>
      </c>
      <c r="D11" s="20"/>
      <c r="E11" s="20"/>
      <c r="F11" s="21"/>
      <c r="G11" s="114" t="s">
        <v>115</v>
      </c>
      <c r="H11" s="8"/>
      <c r="J11" s="88"/>
    </row>
    <row r="12" spans="2:10" x14ac:dyDescent="0.25">
      <c r="B12" s="4"/>
      <c r="C12" s="163" t="s">
        <v>36</v>
      </c>
      <c r="D12" s="163"/>
      <c r="E12" s="163"/>
      <c r="F12" s="8">
        <v>15200</v>
      </c>
      <c r="G12" s="7"/>
      <c r="H12" s="6"/>
      <c r="J12" s="88"/>
    </row>
    <row r="13" spans="2:10" x14ac:dyDescent="0.25">
      <c r="B13" s="4"/>
      <c r="C13" s="173" t="s">
        <v>33</v>
      </c>
      <c r="D13" s="173"/>
      <c r="E13" s="173"/>
      <c r="F13" s="16">
        <v>5000</v>
      </c>
      <c r="G13" s="106">
        <v>0</v>
      </c>
      <c r="H13" s="16" t="s">
        <v>101</v>
      </c>
      <c r="J13" s="88"/>
    </row>
    <row r="14" spans="2:10" x14ac:dyDescent="0.25">
      <c r="B14" s="4"/>
      <c r="C14" s="173" t="s">
        <v>28</v>
      </c>
      <c r="D14" s="173"/>
      <c r="E14" s="173"/>
      <c r="F14" s="16">
        <v>0</v>
      </c>
      <c r="G14" s="106">
        <v>1</v>
      </c>
      <c r="H14" s="16" t="s">
        <v>102</v>
      </c>
      <c r="J14" s="88"/>
    </row>
    <row r="15" spans="2:10" x14ac:dyDescent="0.25">
      <c r="B15" s="4"/>
      <c r="C15" s="173" t="s">
        <v>29</v>
      </c>
      <c r="D15" s="173"/>
      <c r="E15" s="173"/>
      <c r="F15" s="16">
        <v>2000</v>
      </c>
      <c r="G15" s="106">
        <v>0</v>
      </c>
      <c r="H15" s="16" t="s">
        <v>103</v>
      </c>
      <c r="I15" s="18"/>
      <c r="J15" s="88"/>
    </row>
    <row r="16" spans="2:10" x14ac:dyDescent="0.25">
      <c r="B16" s="4"/>
      <c r="C16" s="23"/>
      <c r="D16" s="23"/>
      <c r="E16" s="23"/>
      <c r="F16" s="24"/>
      <c r="G16" s="25"/>
      <c r="H16" s="24"/>
      <c r="I16" s="96"/>
      <c r="J16" s="88"/>
    </row>
    <row r="17" spans="1:10" x14ac:dyDescent="0.25">
      <c r="B17" s="4"/>
      <c r="C17" s="163" t="s">
        <v>113</v>
      </c>
      <c r="D17" s="163"/>
      <c r="E17" s="163"/>
      <c r="F17" s="107" t="str" cm="1">
        <f t="array" ref="F17">VLOOKUP(MIN(IF('Prod Profile'!J8:J31&gt;0,'Prod Profile'!J8:J31)),'Prod Profile'!$J$8:$K$31,2,FALSE)</f>
        <v>12-2023</v>
      </c>
      <c r="G17" s="74"/>
      <c r="H17" s="108"/>
      <c r="I17" s="10"/>
      <c r="J17" s="88"/>
    </row>
    <row r="18" spans="1:10" x14ac:dyDescent="0.25">
      <c r="B18" s="4"/>
      <c r="C18" s="163" t="s">
        <v>133</v>
      </c>
      <c r="D18" s="163"/>
      <c r="E18" s="163"/>
      <c r="F18" s="10">
        <v>12</v>
      </c>
      <c r="G18" s="76" t="s">
        <v>35</v>
      </c>
      <c r="H18" s="110" t="s">
        <v>135</v>
      </c>
      <c r="I18" s="10"/>
      <c r="J18" s="88"/>
    </row>
    <row r="19" spans="1:10" ht="26.25" customHeight="1" x14ac:dyDescent="0.25">
      <c r="B19" s="4"/>
      <c r="C19" s="185" t="s">
        <v>134</v>
      </c>
      <c r="D19" s="163"/>
      <c r="E19" s="163"/>
      <c r="F19" s="10">
        <v>3</v>
      </c>
      <c r="G19" s="76" t="s">
        <v>35</v>
      </c>
      <c r="H19" s="110"/>
      <c r="I19" s="10"/>
      <c r="J19" s="88"/>
    </row>
    <row r="20" spans="1:10" x14ac:dyDescent="0.25">
      <c r="B20" s="4"/>
      <c r="F20" s="10"/>
      <c r="G20" s="76"/>
      <c r="H20" s="110"/>
      <c r="I20" s="80"/>
      <c r="J20" s="88"/>
    </row>
    <row r="21" spans="1:10" s="26" customFormat="1" ht="11.25" customHeight="1" x14ac:dyDescent="0.25">
      <c r="B21" s="27"/>
      <c r="C21" s="170" t="s">
        <v>31</v>
      </c>
      <c r="D21" s="170" t="s">
        <v>32</v>
      </c>
      <c r="E21" s="168" t="s">
        <v>47</v>
      </c>
      <c r="F21" s="168" t="s">
        <v>72</v>
      </c>
      <c r="G21" s="166" t="s">
        <v>114</v>
      </c>
      <c r="H21" s="183" t="s">
        <v>70</v>
      </c>
      <c r="I21" s="92"/>
      <c r="J21" s="89"/>
    </row>
    <row r="22" spans="1:10" s="5" customFormat="1" ht="11.25" customHeight="1" x14ac:dyDescent="0.25">
      <c r="A22" s="29"/>
      <c r="B22" s="30"/>
      <c r="C22" s="170"/>
      <c r="D22" s="170"/>
      <c r="E22" s="169"/>
      <c r="F22" s="169"/>
      <c r="G22" s="167"/>
      <c r="H22" s="184"/>
      <c r="I22" s="92" t="s">
        <v>59</v>
      </c>
      <c r="J22" s="86"/>
    </row>
    <row r="23" spans="1:10" s="5" customFormat="1" ht="11.25" customHeight="1" x14ac:dyDescent="0.25">
      <c r="A23" s="29"/>
      <c r="B23" s="30"/>
      <c r="C23" s="170"/>
      <c r="D23" s="170"/>
      <c r="E23" s="57" t="s">
        <v>42</v>
      </c>
      <c r="F23" s="57" t="s">
        <v>42</v>
      </c>
      <c r="G23" s="57" t="s">
        <v>42</v>
      </c>
      <c r="H23" s="56" t="s">
        <v>42</v>
      </c>
      <c r="I23" s="65" t="s">
        <v>42</v>
      </c>
      <c r="J23" s="86"/>
    </row>
    <row r="24" spans="1:10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111" t="s">
        <v>78</v>
      </c>
      <c r="I24" s="97" t="s">
        <v>82</v>
      </c>
      <c r="J24" s="86"/>
    </row>
    <row r="25" spans="1:10" ht="11.25" customHeight="1" x14ac:dyDescent="0.25">
      <c r="A25" s="29"/>
      <c r="B25" s="32"/>
      <c r="C25" s="66">
        <v>1</v>
      </c>
      <c r="D25" s="33" t="str">
        <f>F17</f>
        <v>12-2023</v>
      </c>
      <c r="E25" s="53">
        <f>IF(C25&lt;&gt;0,IF(C25=1,$F$13+$F$14+$F$15,$F$13*$G$13+$F$14*$G$14+$F$15*$G$15),0)</f>
        <v>7000</v>
      </c>
      <c r="F25" s="58">
        <f t="shared" ref="F25:F48" si="0">IF(C25&lt;&gt;0,IF(C25=1,$F$13+$F$14,$F$13*$G$13+$F$14*$G$14),0)</f>
        <v>5000</v>
      </c>
      <c r="G25" s="53">
        <f>40500/12</f>
        <v>3375</v>
      </c>
      <c r="H25" s="112">
        <f>IF(C25&lt;&gt;0,G25-E25,0)</f>
        <v>-3625</v>
      </c>
      <c r="I25" s="112">
        <f>IF(C25&lt;=$F$19,0,IF(H25&lt;0,0,$F$15))</f>
        <v>0</v>
      </c>
      <c r="J25" s="78">
        <f t="shared" ref="J25:J48" si="1">C25</f>
        <v>1</v>
      </c>
    </row>
    <row r="26" spans="1:10" ht="11.25" customHeight="1" x14ac:dyDescent="0.25">
      <c r="A26" s="29"/>
      <c r="B26" s="32"/>
      <c r="C26" s="66">
        <f>IF(AND(C25&lt;$F$18,C25&lt;&gt;0),C25+1,0)</f>
        <v>2</v>
      </c>
      <c r="D26" s="33" t="str">
        <f>IF(C26&lt;&gt;0,RIGHT("0"&amp;MONTH(EOMONTH(D25,1)),2)&amp;"-"&amp;YEAR(EOMONTH(D25,1)),"-")</f>
        <v>01-2024</v>
      </c>
      <c r="E26" s="53">
        <f t="shared" ref="E26:E48" si="2">IF(C26&lt;&gt;0,IF(C26=1,$F$13+$F$14+$F$15,$F$13*$G$13+$F$14*$G$14+$F$15*$G$15),0)</f>
        <v>0</v>
      </c>
      <c r="F26" s="58">
        <f t="shared" si="0"/>
        <v>0</v>
      </c>
      <c r="G26" s="53">
        <f t="shared" ref="G26:G48" si="3">40500/12</f>
        <v>3375</v>
      </c>
      <c r="H26" s="112">
        <f>IF(C26&lt;&gt;0,G26-E26+H25,0)</f>
        <v>-250</v>
      </c>
      <c r="I26" s="112">
        <f>IF(C26&lt;=$F$19,0,IF(H26&lt;0,0,$F$15-SUM($I$25:I25)))</f>
        <v>0</v>
      </c>
      <c r="J26" s="78">
        <f t="shared" si="1"/>
        <v>2</v>
      </c>
    </row>
    <row r="27" spans="1:10" ht="11.25" customHeight="1" x14ac:dyDescent="0.25">
      <c r="A27" s="29"/>
      <c r="B27" s="32"/>
      <c r="C27" s="66">
        <f t="shared" ref="C27:C48" si="4">IF(AND(C26&lt;$F$18,C26&lt;&gt;0),C26+1,0)</f>
        <v>3</v>
      </c>
      <c r="D27" s="33" t="str">
        <f t="shared" ref="D27:D48" si="5">IF(C27&lt;&gt;0,RIGHT("0"&amp;MONTH(EOMONTH(D26,1)),2)&amp;"-"&amp;YEAR(EOMONTH(D26,1)),"-")</f>
        <v>02-2024</v>
      </c>
      <c r="E27" s="53">
        <f t="shared" si="2"/>
        <v>0</v>
      </c>
      <c r="F27" s="58">
        <f t="shared" si="0"/>
        <v>0</v>
      </c>
      <c r="G27" s="53">
        <f t="shared" si="3"/>
        <v>3375</v>
      </c>
      <c r="H27" s="112">
        <f t="shared" ref="H27:H48" si="6">IF(C27&lt;&gt;0,G27-E27+H26,0)</f>
        <v>3125</v>
      </c>
      <c r="I27" s="112">
        <f>IF(C27&lt;=$F$19,0,IF(H27&lt;0,0,$F$15-SUM($I$25:I26)))</f>
        <v>0</v>
      </c>
      <c r="J27" s="78">
        <f t="shared" si="1"/>
        <v>3</v>
      </c>
    </row>
    <row r="28" spans="1:10" ht="11.25" customHeight="1" x14ac:dyDescent="0.25">
      <c r="A28" s="29"/>
      <c r="B28" s="32"/>
      <c r="C28" s="66">
        <f t="shared" si="4"/>
        <v>4</v>
      </c>
      <c r="D28" s="33" t="str">
        <f t="shared" si="5"/>
        <v>03-2024</v>
      </c>
      <c r="E28" s="53">
        <f t="shared" si="2"/>
        <v>0</v>
      </c>
      <c r="F28" s="58">
        <f t="shared" si="0"/>
        <v>0</v>
      </c>
      <c r="G28" s="53">
        <f t="shared" si="3"/>
        <v>3375</v>
      </c>
      <c r="H28" s="112">
        <f t="shared" si="6"/>
        <v>6500</v>
      </c>
      <c r="I28" s="112">
        <f>IF(C28&lt;=$F$19,0,IF(H28&lt;0,0,$F$15-SUM($I$25:I27)))</f>
        <v>2000</v>
      </c>
      <c r="J28" s="78">
        <f t="shared" si="1"/>
        <v>4</v>
      </c>
    </row>
    <row r="29" spans="1:10" ht="11.25" customHeight="1" x14ac:dyDescent="0.25">
      <c r="A29" s="29"/>
      <c r="B29" s="32"/>
      <c r="C29" s="66">
        <f t="shared" si="4"/>
        <v>5</v>
      </c>
      <c r="D29" s="33" t="str">
        <f t="shared" si="5"/>
        <v>04-2024</v>
      </c>
      <c r="E29" s="53">
        <f t="shared" si="2"/>
        <v>0</v>
      </c>
      <c r="F29" s="58">
        <f t="shared" si="0"/>
        <v>0</v>
      </c>
      <c r="G29" s="53">
        <f t="shared" si="3"/>
        <v>3375</v>
      </c>
      <c r="H29" s="112">
        <f t="shared" si="6"/>
        <v>9875</v>
      </c>
      <c r="I29" s="112">
        <f>IF(C29&lt;=$F$19,0,IF(H29&lt;0,0,$F$15-SUM($I$25:I28)))</f>
        <v>0</v>
      </c>
      <c r="J29" s="78">
        <f t="shared" si="1"/>
        <v>5</v>
      </c>
    </row>
    <row r="30" spans="1:10" ht="11.25" customHeight="1" x14ac:dyDescent="0.25">
      <c r="A30" s="29"/>
      <c r="B30" s="32"/>
      <c r="C30" s="66">
        <f t="shared" si="4"/>
        <v>6</v>
      </c>
      <c r="D30" s="33" t="str">
        <f t="shared" si="5"/>
        <v>05-2024</v>
      </c>
      <c r="E30" s="53">
        <f t="shared" si="2"/>
        <v>0</v>
      </c>
      <c r="F30" s="58">
        <f t="shared" si="0"/>
        <v>0</v>
      </c>
      <c r="G30" s="53">
        <f t="shared" si="3"/>
        <v>3375</v>
      </c>
      <c r="H30" s="112">
        <f t="shared" si="6"/>
        <v>13250</v>
      </c>
      <c r="I30" s="112">
        <f>IF(C30&lt;=$F$19,0,IF(H30&lt;0,0,$F$15-SUM($I$25:I29)))</f>
        <v>0</v>
      </c>
      <c r="J30" s="78">
        <f t="shared" si="1"/>
        <v>6</v>
      </c>
    </row>
    <row r="31" spans="1:10" ht="11.25" customHeight="1" x14ac:dyDescent="0.25">
      <c r="A31" s="29"/>
      <c r="B31" s="32"/>
      <c r="C31" s="66">
        <f t="shared" si="4"/>
        <v>7</v>
      </c>
      <c r="D31" s="33" t="str">
        <f t="shared" si="5"/>
        <v>06-2024</v>
      </c>
      <c r="E31" s="53">
        <f t="shared" si="2"/>
        <v>0</v>
      </c>
      <c r="F31" s="58">
        <f t="shared" si="0"/>
        <v>0</v>
      </c>
      <c r="G31" s="53">
        <f t="shared" si="3"/>
        <v>3375</v>
      </c>
      <c r="H31" s="112">
        <f t="shared" si="6"/>
        <v>16625</v>
      </c>
      <c r="I31" s="112">
        <f>IF(C31&lt;=$F$19,0,IF(H31&lt;0,0,$F$15-SUM($I$25:I30)))</f>
        <v>0</v>
      </c>
      <c r="J31" s="78">
        <f t="shared" si="1"/>
        <v>7</v>
      </c>
    </row>
    <row r="32" spans="1:10" ht="11.25" customHeight="1" x14ac:dyDescent="0.25">
      <c r="A32" s="29"/>
      <c r="B32" s="32"/>
      <c r="C32" s="66">
        <f t="shared" si="4"/>
        <v>8</v>
      </c>
      <c r="D32" s="33" t="str">
        <f t="shared" si="5"/>
        <v>07-2024</v>
      </c>
      <c r="E32" s="53">
        <f t="shared" si="2"/>
        <v>0</v>
      </c>
      <c r="F32" s="58">
        <f t="shared" si="0"/>
        <v>0</v>
      </c>
      <c r="G32" s="53">
        <f t="shared" si="3"/>
        <v>3375</v>
      </c>
      <c r="H32" s="112">
        <f t="shared" si="6"/>
        <v>20000</v>
      </c>
      <c r="I32" s="112">
        <f>IF(C32&lt;=$F$19,0,IF(H32&lt;0,0,$F$15-SUM($I$25:I31)))</f>
        <v>0</v>
      </c>
      <c r="J32" s="78">
        <f t="shared" si="1"/>
        <v>8</v>
      </c>
    </row>
    <row r="33" spans="1:10" ht="11.25" customHeight="1" x14ac:dyDescent="0.25">
      <c r="A33" s="29"/>
      <c r="B33" s="32"/>
      <c r="C33" s="66">
        <f t="shared" si="4"/>
        <v>9</v>
      </c>
      <c r="D33" s="33" t="str">
        <f t="shared" si="5"/>
        <v>08-2024</v>
      </c>
      <c r="E33" s="53">
        <f t="shared" si="2"/>
        <v>0</v>
      </c>
      <c r="F33" s="58">
        <f t="shared" si="0"/>
        <v>0</v>
      </c>
      <c r="G33" s="53">
        <f t="shared" si="3"/>
        <v>3375</v>
      </c>
      <c r="H33" s="112">
        <f t="shared" si="6"/>
        <v>23375</v>
      </c>
      <c r="I33" s="112">
        <f>IF(C33&lt;=$F$19,0,IF(H33&lt;0,0,$F$15-SUM($I$25:I32)))</f>
        <v>0</v>
      </c>
      <c r="J33" s="78">
        <f t="shared" si="1"/>
        <v>9</v>
      </c>
    </row>
    <row r="34" spans="1:10" ht="11.25" customHeight="1" x14ac:dyDescent="0.25">
      <c r="A34" s="29"/>
      <c r="B34" s="32"/>
      <c r="C34" s="66">
        <f t="shared" si="4"/>
        <v>10</v>
      </c>
      <c r="D34" s="33" t="str">
        <f t="shared" si="5"/>
        <v>09-2024</v>
      </c>
      <c r="E34" s="53">
        <f t="shared" si="2"/>
        <v>0</v>
      </c>
      <c r="F34" s="58">
        <f t="shared" si="0"/>
        <v>0</v>
      </c>
      <c r="G34" s="53">
        <f t="shared" si="3"/>
        <v>3375</v>
      </c>
      <c r="H34" s="112">
        <f t="shared" si="6"/>
        <v>26750</v>
      </c>
      <c r="I34" s="112">
        <f>IF(C34&lt;=$F$19,0,IF(H34&lt;0,0,$F$15-SUM($I$25:I33)))</f>
        <v>0</v>
      </c>
      <c r="J34" s="78">
        <f t="shared" si="1"/>
        <v>10</v>
      </c>
    </row>
    <row r="35" spans="1:10" ht="11.25" customHeight="1" x14ac:dyDescent="0.25">
      <c r="A35" s="29"/>
      <c r="B35" s="32"/>
      <c r="C35" s="66">
        <f t="shared" si="4"/>
        <v>11</v>
      </c>
      <c r="D35" s="33" t="str">
        <f t="shared" si="5"/>
        <v>10-2024</v>
      </c>
      <c r="E35" s="53">
        <f t="shared" si="2"/>
        <v>0</v>
      </c>
      <c r="F35" s="58">
        <f t="shared" si="0"/>
        <v>0</v>
      </c>
      <c r="G35" s="53">
        <f t="shared" si="3"/>
        <v>3375</v>
      </c>
      <c r="H35" s="112">
        <f t="shared" si="6"/>
        <v>30125</v>
      </c>
      <c r="I35" s="112">
        <f>IF(C35&lt;=$F$19,0,IF(H35&lt;0,0,$F$15-SUM($I$25:I34)))</f>
        <v>0</v>
      </c>
      <c r="J35" s="78">
        <f t="shared" si="1"/>
        <v>11</v>
      </c>
    </row>
    <row r="36" spans="1:10" ht="11.25" customHeight="1" x14ac:dyDescent="0.25">
      <c r="A36" s="29"/>
      <c r="B36" s="32"/>
      <c r="C36" s="66">
        <f t="shared" si="4"/>
        <v>12</v>
      </c>
      <c r="D36" s="33" t="str">
        <f t="shared" si="5"/>
        <v>11-2024</v>
      </c>
      <c r="E36" s="53">
        <f t="shared" si="2"/>
        <v>0</v>
      </c>
      <c r="F36" s="58">
        <f t="shared" si="0"/>
        <v>0</v>
      </c>
      <c r="G36" s="53">
        <f t="shared" si="3"/>
        <v>3375</v>
      </c>
      <c r="H36" s="112">
        <f t="shared" si="6"/>
        <v>33500</v>
      </c>
      <c r="I36" s="112">
        <f>IF(C36&lt;=$F$19,0,IF(H36&lt;0,0,$F$15-SUM($I$25:I35)))</f>
        <v>0</v>
      </c>
      <c r="J36" s="78">
        <f t="shared" si="1"/>
        <v>12</v>
      </c>
    </row>
    <row r="37" spans="1:10" ht="11.25" customHeight="1" x14ac:dyDescent="0.25">
      <c r="A37" s="29"/>
      <c r="B37" s="32"/>
      <c r="C37" s="66">
        <f t="shared" si="4"/>
        <v>0</v>
      </c>
      <c r="D37" s="33" t="str">
        <f t="shared" si="5"/>
        <v>-</v>
      </c>
      <c r="E37" s="53">
        <f t="shared" si="2"/>
        <v>0</v>
      </c>
      <c r="F37" s="58">
        <f t="shared" si="0"/>
        <v>0</v>
      </c>
      <c r="G37" s="53">
        <f t="shared" si="3"/>
        <v>3375</v>
      </c>
      <c r="H37" s="112">
        <f t="shared" si="6"/>
        <v>0</v>
      </c>
      <c r="I37" s="112">
        <f>IF(C37&lt;=$F$19,0,IF(H37&lt;0,0,$F$15-SUM($I$25:I36)))</f>
        <v>0</v>
      </c>
      <c r="J37" s="78">
        <f t="shared" si="1"/>
        <v>0</v>
      </c>
    </row>
    <row r="38" spans="1:10" ht="11.25" customHeight="1" x14ac:dyDescent="0.25">
      <c r="A38" s="29"/>
      <c r="B38" s="32"/>
      <c r="C38" s="66">
        <f t="shared" si="4"/>
        <v>0</v>
      </c>
      <c r="D38" s="33" t="str">
        <f t="shared" si="5"/>
        <v>-</v>
      </c>
      <c r="E38" s="53">
        <f t="shared" si="2"/>
        <v>0</v>
      </c>
      <c r="F38" s="58">
        <f t="shared" si="0"/>
        <v>0</v>
      </c>
      <c r="G38" s="53">
        <f t="shared" si="3"/>
        <v>3375</v>
      </c>
      <c r="H38" s="112">
        <f t="shared" si="6"/>
        <v>0</v>
      </c>
      <c r="I38" s="112">
        <f>IF(C38&lt;=$F$19,0,IF(H38&lt;0,0,$F$15-SUM($I$25:I37)))</f>
        <v>0</v>
      </c>
      <c r="J38" s="78">
        <f t="shared" si="1"/>
        <v>0</v>
      </c>
    </row>
    <row r="39" spans="1:10" ht="11.25" customHeight="1" x14ac:dyDescent="0.25">
      <c r="A39" s="29"/>
      <c r="B39" s="32"/>
      <c r="C39" s="66">
        <f t="shared" si="4"/>
        <v>0</v>
      </c>
      <c r="D39" s="33" t="str">
        <f t="shared" si="5"/>
        <v>-</v>
      </c>
      <c r="E39" s="53">
        <f t="shared" si="2"/>
        <v>0</v>
      </c>
      <c r="F39" s="58">
        <f t="shared" si="0"/>
        <v>0</v>
      </c>
      <c r="G39" s="53">
        <f t="shared" si="3"/>
        <v>3375</v>
      </c>
      <c r="H39" s="112">
        <f t="shared" si="6"/>
        <v>0</v>
      </c>
      <c r="I39" s="112">
        <f>IF(C39&lt;=$F$19,0,IF(H39&lt;0,0,$F$15-SUM($I$25:I38)))</f>
        <v>0</v>
      </c>
      <c r="J39" s="78">
        <f t="shared" si="1"/>
        <v>0</v>
      </c>
    </row>
    <row r="40" spans="1:10" ht="11.25" customHeight="1" x14ac:dyDescent="0.25">
      <c r="A40" s="29"/>
      <c r="B40" s="32"/>
      <c r="C40" s="66">
        <f t="shared" si="4"/>
        <v>0</v>
      </c>
      <c r="D40" s="33" t="str">
        <f t="shared" si="5"/>
        <v>-</v>
      </c>
      <c r="E40" s="53">
        <f t="shared" si="2"/>
        <v>0</v>
      </c>
      <c r="F40" s="58">
        <f t="shared" si="0"/>
        <v>0</v>
      </c>
      <c r="G40" s="53">
        <f t="shared" si="3"/>
        <v>3375</v>
      </c>
      <c r="H40" s="112">
        <f t="shared" si="6"/>
        <v>0</v>
      </c>
      <c r="I40" s="112">
        <f>IF(C40&lt;=$F$19,0,IF(H40&lt;0,0,$F$15-SUM($I$25:I39)))</f>
        <v>0</v>
      </c>
      <c r="J40" s="78">
        <f t="shared" si="1"/>
        <v>0</v>
      </c>
    </row>
    <row r="41" spans="1:10" ht="11.25" customHeight="1" x14ac:dyDescent="0.25">
      <c r="A41" s="29"/>
      <c r="B41" s="32"/>
      <c r="C41" s="66">
        <f t="shared" si="4"/>
        <v>0</v>
      </c>
      <c r="D41" s="33" t="str">
        <f t="shared" si="5"/>
        <v>-</v>
      </c>
      <c r="E41" s="53">
        <f t="shared" si="2"/>
        <v>0</v>
      </c>
      <c r="F41" s="58">
        <f t="shared" si="0"/>
        <v>0</v>
      </c>
      <c r="G41" s="53">
        <f t="shared" si="3"/>
        <v>3375</v>
      </c>
      <c r="H41" s="112">
        <f t="shared" si="6"/>
        <v>0</v>
      </c>
      <c r="I41" s="112">
        <f>IF(C41&lt;=$F$19,0,IF(H41&lt;0,0,$F$15-SUM($I$25:I40)))</f>
        <v>0</v>
      </c>
      <c r="J41" s="78">
        <f t="shared" si="1"/>
        <v>0</v>
      </c>
    </row>
    <row r="42" spans="1:10" ht="11.25" customHeight="1" x14ac:dyDescent="0.25">
      <c r="A42" s="29"/>
      <c r="B42" s="32"/>
      <c r="C42" s="66">
        <f t="shared" si="4"/>
        <v>0</v>
      </c>
      <c r="D42" s="33" t="str">
        <f t="shared" si="5"/>
        <v>-</v>
      </c>
      <c r="E42" s="53">
        <f t="shared" si="2"/>
        <v>0</v>
      </c>
      <c r="F42" s="58">
        <f t="shared" si="0"/>
        <v>0</v>
      </c>
      <c r="G42" s="53">
        <f t="shared" si="3"/>
        <v>3375</v>
      </c>
      <c r="H42" s="112">
        <f t="shared" si="6"/>
        <v>0</v>
      </c>
      <c r="I42" s="112">
        <f>IF(C42&lt;=$F$19,0,IF(H42&lt;0,0,$F$15-SUM($I$25:I41)))</f>
        <v>0</v>
      </c>
      <c r="J42" s="78">
        <f t="shared" si="1"/>
        <v>0</v>
      </c>
    </row>
    <row r="43" spans="1:10" ht="11.25" customHeight="1" x14ac:dyDescent="0.25">
      <c r="A43" s="29"/>
      <c r="B43" s="32"/>
      <c r="C43" s="66">
        <f t="shared" si="4"/>
        <v>0</v>
      </c>
      <c r="D43" s="33" t="str">
        <f t="shared" si="5"/>
        <v>-</v>
      </c>
      <c r="E43" s="53">
        <f t="shared" si="2"/>
        <v>0</v>
      </c>
      <c r="F43" s="58">
        <f t="shared" si="0"/>
        <v>0</v>
      </c>
      <c r="G43" s="53">
        <f t="shared" si="3"/>
        <v>3375</v>
      </c>
      <c r="H43" s="112">
        <f t="shared" si="6"/>
        <v>0</v>
      </c>
      <c r="I43" s="112">
        <f>IF(C43&lt;=$F$19,0,IF(H43&lt;0,0,$F$15-SUM($I$25:I42)))</f>
        <v>0</v>
      </c>
      <c r="J43" s="78">
        <f t="shared" si="1"/>
        <v>0</v>
      </c>
    </row>
    <row r="44" spans="1:10" ht="11.25" customHeight="1" x14ac:dyDescent="0.25">
      <c r="A44" s="29"/>
      <c r="B44" s="32"/>
      <c r="C44" s="66">
        <f t="shared" si="4"/>
        <v>0</v>
      </c>
      <c r="D44" s="33" t="str">
        <f t="shared" si="5"/>
        <v>-</v>
      </c>
      <c r="E44" s="53">
        <f t="shared" si="2"/>
        <v>0</v>
      </c>
      <c r="F44" s="58">
        <f t="shared" si="0"/>
        <v>0</v>
      </c>
      <c r="G44" s="53">
        <f t="shared" si="3"/>
        <v>3375</v>
      </c>
      <c r="H44" s="112">
        <f t="shared" si="6"/>
        <v>0</v>
      </c>
      <c r="I44" s="112">
        <f>IF(C44&lt;=$F$19,0,IF(H44&lt;0,0,$F$15-SUM($I$25:I43)))</f>
        <v>0</v>
      </c>
      <c r="J44" s="78">
        <f t="shared" si="1"/>
        <v>0</v>
      </c>
    </row>
    <row r="45" spans="1:10" ht="11.25" customHeight="1" x14ac:dyDescent="0.25">
      <c r="A45" s="29"/>
      <c r="B45" s="32"/>
      <c r="C45" s="67">
        <f t="shared" si="4"/>
        <v>0</v>
      </c>
      <c r="D45" s="33" t="str">
        <f t="shared" si="5"/>
        <v>-</v>
      </c>
      <c r="E45" s="53">
        <f t="shared" si="2"/>
        <v>0</v>
      </c>
      <c r="F45" s="58">
        <f t="shared" si="0"/>
        <v>0</v>
      </c>
      <c r="G45" s="53">
        <f t="shared" si="3"/>
        <v>3375</v>
      </c>
      <c r="H45" s="112">
        <f t="shared" si="6"/>
        <v>0</v>
      </c>
      <c r="I45" s="112">
        <f>IF(C45&lt;=$F$19,0,IF(H45&lt;0,0,$F$15-SUM($I$25:I44)))</f>
        <v>0</v>
      </c>
      <c r="J45" s="78">
        <f t="shared" si="1"/>
        <v>0</v>
      </c>
    </row>
    <row r="46" spans="1:10" ht="11.25" customHeight="1" x14ac:dyDescent="0.25">
      <c r="A46" s="29"/>
      <c r="B46" s="32"/>
      <c r="C46" s="66">
        <f t="shared" si="4"/>
        <v>0</v>
      </c>
      <c r="D46" s="33" t="str">
        <f t="shared" si="5"/>
        <v>-</v>
      </c>
      <c r="E46" s="53">
        <f t="shared" si="2"/>
        <v>0</v>
      </c>
      <c r="F46" s="58">
        <f t="shared" si="0"/>
        <v>0</v>
      </c>
      <c r="G46" s="53">
        <f t="shared" si="3"/>
        <v>3375</v>
      </c>
      <c r="H46" s="112">
        <f t="shared" si="6"/>
        <v>0</v>
      </c>
      <c r="I46" s="112">
        <f>IF(C46&lt;=$F$19,0,IF(H46&lt;0,0,$F$15-SUM($I$25:I45)))</f>
        <v>0</v>
      </c>
      <c r="J46" s="78">
        <f t="shared" si="1"/>
        <v>0</v>
      </c>
    </row>
    <row r="47" spans="1:10" ht="11.25" customHeight="1" x14ac:dyDescent="0.25">
      <c r="A47" s="29"/>
      <c r="B47" s="32"/>
      <c r="C47" s="66">
        <f t="shared" si="4"/>
        <v>0</v>
      </c>
      <c r="D47" s="33" t="str">
        <f t="shared" si="5"/>
        <v>-</v>
      </c>
      <c r="E47" s="53">
        <f t="shared" si="2"/>
        <v>0</v>
      </c>
      <c r="F47" s="58">
        <f t="shared" si="0"/>
        <v>0</v>
      </c>
      <c r="G47" s="53">
        <f t="shared" si="3"/>
        <v>3375</v>
      </c>
      <c r="H47" s="112">
        <f t="shared" si="6"/>
        <v>0</v>
      </c>
      <c r="I47" s="112">
        <f>IF(C47&lt;=$F$19,0,IF(H47&lt;0,0,$F$15-SUM($I$25:I46)))</f>
        <v>0</v>
      </c>
      <c r="J47" s="78">
        <f t="shared" si="1"/>
        <v>0</v>
      </c>
    </row>
    <row r="48" spans="1:10" ht="11.25" customHeight="1" x14ac:dyDescent="0.25">
      <c r="A48" s="29"/>
      <c r="B48" s="32"/>
      <c r="C48" s="66">
        <f t="shared" si="4"/>
        <v>0</v>
      </c>
      <c r="D48" s="33" t="str">
        <f t="shared" si="5"/>
        <v>-</v>
      </c>
      <c r="E48" s="53">
        <f t="shared" si="2"/>
        <v>0</v>
      </c>
      <c r="F48" s="58">
        <f t="shared" si="0"/>
        <v>0</v>
      </c>
      <c r="G48" s="53">
        <f t="shared" si="3"/>
        <v>3375</v>
      </c>
      <c r="H48" s="112">
        <f t="shared" si="6"/>
        <v>0</v>
      </c>
      <c r="I48" s="112">
        <f>IF(C48&lt;=$F$19,0,IF(H48&lt;0,0,$F$15-SUM($I$25:I47)))</f>
        <v>0</v>
      </c>
      <c r="J48" s="78">
        <f t="shared" si="1"/>
        <v>0</v>
      </c>
    </row>
    <row r="49" spans="1:10" s="39" customFormat="1" x14ac:dyDescent="0.25">
      <c r="A49" s="59"/>
      <c r="B49" s="60"/>
      <c r="E49" s="61">
        <f>SUM(E25:E48)</f>
        <v>7000</v>
      </c>
      <c r="F49" s="61">
        <f>SUM(F25:F48)</f>
        <v>5000</v>
      </c>
      <c r="G49" s="61">
        <f>SUM(G25:G48)</f>
        <v>81000</v>
      </c>
      <c r="H49" s="113">
        <f>MAX(H25:H48)</f>
        <v>33500</v>
      </c>
      <c r="I49" s="113">
        <f>SUM(I25:I48)</f>
        <v>2000</v>
      </c>
      <c r="J49" s="90"/>
    </row>
    <row r="50" spans="1:10" ht="12" thickBot="1" x14ac:dyDescent="0.3">
      <c r="B50" s="40"/>
      <c r="C50" s="41"/>
      <c r="D50" s="41"/>
      <c r="E50" s="41"/>
      <c r="F50" s="42"/>
      <c r="G50" s="43"/>
      <c r="H50" s="42"/>
      <c r="I50" s="41"/>
      <c r="J50" s="91"/>
    </row>
    <row r="51" spans="1:10" ht="15" customHeight="1" x14ac:dyDescent="0.25">
      <c r="I51" s="45"/>
    </row>
  </sheetData>
  <mergeCells count="15">
    <mergeCell ref="C17:E17"/>
    <mergeCell ref="C18:E18"/>
    <mergeCell ref="C21:C23"/>
    <mergeCell ref="D21:D23"/>
    <mergeCell ref="B2:J2"/>
    <mergeCell ref="C6:E6"/>
    <mergeCell ref="C12:E12"/>
    <mergeCell ref="C13:E13"/>
    <mergeCell ref="C14:E14"/>
    <mergeCell ref="C15:E15"/>
    <mergeCell ref="H21:H22"/>
    <mergeCell ref="E21:E22"/>
    <mergeCell ref="F21:F22"/>
    <mergeCell ref="G21:G22"/>
    <mergeCell ref="C19:E19"/>
  </mergeCells>
  <pageMargins left="0.7" right="0.7" top="0.75" bottom="0.75" header="0.3" footer="0.3"/>
  <pageSetup scale="86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B051-2662-49F1-A151-B743D8D035D2}">
  <sheetPr>
    <tabColor rgb="FF92D050"/>
  </sheetPr>
  <dimension ref="A1:P51"/>
  <sheetViews>
    <sheetView view="pageBreakPreview" topLeftCell="C16" zoomScale="175" zoomScaleNormal="145" zoomScaleSheetLayoutView="175" workbookViewId="0">
      <selection activeCell="I26" sqref="I26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16.85546875" style="1" customWidth="1"/>
    <col min="6" max="6" width="16.85546875" style="2" customWidth="1"/>
    <col min="7" max="7" width="16.85546875" style="3" customWidth="1"/>
    <col min="8" max="8" width="16.85546875" style="2" customWidth="1"/>
    <col min="9" max="9" width="16.85546875" style="1" customWidth="1"/>
    <col min="10" max="10" width="2.7109375" style="85" customWidth="1"/>
    <col min="11" max="11" width="13.140625" style="3" bestFit="1" customWidth="1"/>
    <col min="12" max="12" width="12.5703125" style="1" bestFit="1" customWidth="1"/>
    <col min="13" max="13" width="9.140625" style="1"/>
    <col min="14" max="14" width="12.7109375" style="1" bestFit="1" customWidth="1"/>
    <col min="15" max="16" width="11.140625" style="3" bestFit="1" customWidth="1"/>
    <col min="17" max="17" width="10.7109375" style="1" bestFit="1" customWidth="1"/>
    <col min="18" max="16384" width="9.140625" style="1"/>
  </cols>
  <sheetData>
    <row r="1" spans="2:10" ht="12" thickBot="1" x14ac:dyDescent="0.3"/>
    <row r="2" spans="2:10" ht="73.900000000000006" customHeight="1" x14ac:dyDescent="0.25">
      <c r="B2" s="174" t="s">
        <v>126</v>
      </c>
      <c r="C2" s="180"/>
      <c r="D2" s="180"/>
      <c r="E2" s="180"/>
      <c r="F2" s="180"/>
      <c r="G2" s="180"/>
      <c r="H2" s="180"/>
      <c r="I2" s="180"/>
      <c r="J2" s="181"/>
    </row>
    <row r="3" spans="2:10" x14ac:dyDescent="0.25">
      <c r="B3" s="4"/>
      <c r="C3" s="5"/>
      <c r="D3" s="5"/>
      <c r="E3" s="5"/>
      <c r="F3" s="6"/>
      <c r="G3" s="7"/>
      <c r="H3" s="6"/>
      <c r="I3" s="5"/>
      <c r="J3" s="86"/>
    </row>
    <row r="4" spans="2:10" x14ac:dyDescent="0.25">
      <c r="B4" s="4"/>
      <c r="F4" s="8"/>
      <c r="G4" s="9"/>
      <c r="H4" s="10" t="s">
        <v>11</v>
      </c>
      <c r="J4" s="86"/>
    </row>
    <row r="5" spans="2:10" x14ac:dyDescent="0.25">
      <c r="B5" s="4"/>
      <c r="F5" s="8"/>
      <c r="G5" s="9"/>
      <c r="H5" s="10" t="s">
        <v>13</v>
      </c>
      <c r="J5" s="86"/>
    </row>
    <row r="6" spans="2:10" ht="12" thickBot="1" x14ac:dyDescent="0.3">
      <c r="B6" s="4"/>
      <c r="C6" s="177">
        <v>44805</v>
      </c>
      <c r="D6" s="177"/>
      <c r="E6" s="177"/>
      <c r="F6" s="11"/>
      <c r="G6" s="12"/>
      <c r="H6" s="14" t="s">
        <v>12</v>
      </c>
      <c r="I6" s="109"/>
      <c r="J6" s="86"/>
    </row>
    <row r="7" spans="2:10" ht="12" thickTop="1" x14ac:dyDescent="0.25">
      <c r="B7" s="4"/>
      <c r="C7" s="15" t="s">
        <v>17</v>
      </c>
      <c r="D7" s="15"/>
      <c r="F7" s="8"/>
      <c r="G7" s="9"/>
      <c r="H7" s="8"/>
      <c r="J7" s="86"/>
    </row>
    <row r="8" spans="2:10" x14ac:dyDescent="0.25">
      <c r="B8" s="4"/>
      <c r="C8" s="1" t="s">
        <v>119</v>
      </c>
      <c r="D8" s="15"/>
      <c r="F8" s="8"/>
      <c r="G8" s="9"/>
      <c r="H8" s="8"/>
      <c r="J8" s="86"/>
    </row>
    <row r="9" spans="2:10" x14ac:dyDescent="0.25">
      <c r="B9" s="4"/>
      <c r="C9" s="15"/>
      <c r="D9" s="15"/>
      <c r="F9" s="8"/>
      <c r="G9" s="9"/>
      <c r="H9" s="8"/>
      <c r="J9" s="86"/>
    </row>
    <row r="10" spans="2:10" x14ac:dyDescent="0.25">
      <c r="B10" s="4"/>
      <c r="F10" s="8"/>
      <c r="G10" s="9"/>
      <c r="H10" s="8"/>
      <c r="J10" s="86"/>
    </row>
    <row r="11" spans="2:10" x14ac:dyDescent="0.25">
      <c r="B11" s="4"/>
      <c r="C11" s="79" t="s">
        <v>18</v>
      </c>
      <c r="D11" s="20"/>
      <c r="E11" s="20"/>
      <c r="F11" s="21"/>
      <c r="G11" s="114" t="s">
        <v>115</v>
      </c>
      <c r="H11" s="8"/>
      <c r="J11" s="86"/>
    </row>
    <row r="12" spans="2:10" x14ac:dyDescent="0.25">
      <c r="B12" s="4"/>
      <c r="C12" s="163" t="s">
        <v>36</v>
      </c>
      <c r="D12" s="163"/>
      <c r="E12" s="163"/>
      <c r="F12" s="8">
        <v>15200</v>
      </c>
      <c r="G12" s="7"/>
      <c r="H12" s="6"/>
      <c r="J12" s="86"/>
    </row>
    <row r="13" spans="2:10" x14ac:dyDescent="0.25">
      <c r="B13" s="4"/>
      <c r="C13" s="173" t="s">
        <v>33</v>
      </c>
      <c r="D13" s="173"/>
      <c r="E13" s="173"/>
      <c r="F13" s="16">
        <v>5000</v>
      </c>
      <c r="G13" s="106">
        <v>0</v>
      </c>
      <c r="H13" s="16" t="s">
        <v>101</v>
      </c>
      <c r="J13" s="88"/>
    </row>
    <row r="14" spans="2:10" x14ac:dyDescent="0.25">
      <c r="B14" s="4"/>
      <c r="C14" s="173" t="s">
        <v>28</v>
      </c>
      <c r="D14" s="173"/>
      <c r="E14" s="173"/>
      <c r="F14" s="16">
        <v>0</v>
      </c>
      <c r="G14" s="106">
        <v>1</v>
      </c>
      <c r="H14" s="16" t="s">
        <v>102</v>
      </c>
      <c r="J14" s="88"/>
    </row>
    <row r="15" spans="2:10" x14ac:dyDescent="0.25">
      <c r="B15" s="4"/>
      <c r="C15" s="173" t="s">
        <v>29</v>
      </c>
      <c r="D15" s="173"/>
      <c r="E15" s="173"/>
      <c r="F15" s="16">
        <v>2000</v>
      </c>
      <c r="G15" s="106">
        <v>1</v>
      </c>
      <c r="H15" s="16" t="s">
        <v>103</v>
      </c>
      <c r="I15" s="18"/>
      <c r="J15" s="88"/>
    </row>
    <row r="16" spans="2:10" x14ac:dyDescent="0.25">
      <c r="B16" s="4"/>
      <c r="C16" s="23"/>
      <c r="D16" s="23"/>
      <c r="E16" s="23"/>
      <c r="F16" s="24"/>
      <c r="G16" s="25"/>
      <c r="H16" s="24"/>
      <c r="I16" s="96"/>
      <c r="J16" s="88"/>
    </row>
    <row r="17" spans="1:16" x14ac:dyDescent="0.25">
      <c r="B17" s="4"/>
      <c r="C17" s="163" t="s">
        <v>113</v>
      </c>
      <c r="D17" s="163"/>
      <c r="E17" s="163"/>
      <c r="F17" s="107" t="str" cm="1">
        <f t="array" ref="F17">VLOOKUP(MIN(IF('Prod Profile'!J8:J31&gt;0,'Prod Profile'!J8:J31)),'Prod Profile'!$J$8:$K$31,2,FALSE)</f>
        <v>12-2023</v>
      </c>
      <c r="G17" s="74"/>
      <c r="H17" s="108"/>
      <c r="I17" s="10"/>
      <c r="J17" s="88"/>
      <c r="K17" s="1"/>
      <c r="O17" s="1"/>
      <c r="P17" s="1"/>
    </row>
    <row r="18" spans="1:16" x14ac:dyDescent="0.25">
      <c r="B18" s="4"/>
      <c r="C18" s="163" t="s">
        <v>133</v>
      </c>
      <c r="D18" s="163"/>
      <c r="E18" s="163"/>
      <c r="F18" s="10">
        <v>12</v>
      </c>
      <c r="G18" s="76" t="s">
        <v>35</v>
      </c>
      <c r="H18" s="110" t="s">
        <v>135</v>
      </c>
      <c r="I18" s="10"/>
      <c r="J18" s="88"/>
      <c r="K18" s="1"/>
      <c r="O18" s="1"/>
      <c r="P18" s="1"/>
    </row>
    <row r="19" spans="1:16" ht="26.25" customHeight="1" x14ac:dyDescent="0.25">
      <c r="B19" s="4"/>
      <c r="C19" s="185" t="s">
        <v>134</v>
      </c>
      <c r="D19" s="163"/>
      <c r="E19" s="163"/>
      <c r="F19" s="10">
        <v>3</v>
      </c>
      <c r="G19" s="76" t="s">
        <v>35</v>
      </c>
      <c r="H19" s="110"/>
      <c r="I19" s="10"/>
      <c r="J19" s="88"/>
      <c r="K19" s="1"/>
      <c r="O19" s="1"/>
      <c r="P19" s="1"/>
    </row>
    <row r="20" spans="1:16" x14ac:dyDescent="0.25">
      <c r="B20" s="4"/>
      <c r="F20" s="10"/>
      <c r="G20" s="76"/>
      <c r="H20" s="110"/>
      <c r="I20" s="80"/>
      <c r="J20" s="88"/>
    </row>
    <row r="21" spans="1:16" s="26" customFormat="1" ht="11.25" customHeight="1" x14ac:dyDescent="0.25">
      <c r="B21" s="27"/>
      <c r="C21" s="170" t="s">
        <v>31</v>
      </c>
      <c r="D21" s="170" t="s">
        <v>32</v>
      </c>
      <c r="E21" s="168" t="s">
        <v>47</v>
      </c>
      <c r="F21" s="168" t="s">
        <v>72</v>
      </c>
      <c r="G21" s="166" t="s">
        <v>114</v>
      </c>
      <c r="H21" s="183" t="s">
        <v>70</v>
      </c>
      <c r="I21" s="92"/>
      <c r="J21" s="89"/>
      <c r="K21" s="28"/>
      <c r="L21" s="1"/>
      <c r="M21" s="1"/>
      <c r="N21" s="1"/>
      <c r="O21" s="28"/>
      <c r="P21" s="28"/>
    </row>
    <row r="22" spans="1:16" s="5" customFormat="1" ht="11.25" customHeight="1" x14ac:dyDescent="0.25">
      <c r="A22" s="29"/>
      <c r="B22" s="30"/>
      <c r="C22" s="170"/>
      <c r="D22" s="170"/>
      <c r="E22" s="169"/>
      <c r="F22" s="169"/>
      <c r="G22" s="167"/>
      <c r="H22" s="184"/>
      <c r="I22" s="92" t="s">
        <v>59</v>
      </c>
      <c r="J22" s="86"/>
      <c r="K22" s="31"/>
      <c r="L22" s="1"/>
      <c r="M22" s="1"/>
      <c r="N22" s="1"/>
      <c r="O22" s="31"/>
      <c r="P22" s="31"/>
    </row>
    <row r="23" spans="1:16" s="5" customFormat="1" ht="11.25" customHeight="1" x14ac:dyDescent="0.25">
      <c r="A23" s="29"/>
      <c r="B23" s="30"/>
      <c r="C23" s="170"/>
      <c r="D23" s="170"/>
      <c r="E23" s="57" t="s">
        <v>42</v>
      </c>
      <c r="F23" s="57" t="s">
        <v>42</v>
      </c>
      <c r="G23" s="57" t="s">
        <v>42</v>
      </c>
      <c r="H23" s="56" t="s">
        <v>42</v>
      </c>
      <c r="I23" s="65" t="s">
        <v>42</v>
      </c>
      <c r="J23" s="86"/>
      <c r="K23" s="31"/>
      <c r="L23" s="1"/>
      <c r="M23" s="1"/>
      <c r="N23" s="1"/>
      <c r="O23" s="31"/>
      <c r="P23" s="31"/>
    </row>
    <row r="24" spans="1:16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111" t="s">
        <v>78</v>
      </c>
      <c r="I24" s="97" t="s">
        <v>82</v>
      </c>
      <c r="J24" s="86"/>
      <c r="K24" s="31"/>
      <c r="L24" s="1"/>
      <c r="M24" s="1"/>
      <c r="N24" s="1"/>
      <c r="O24" s="31"/>
      <c r="P24" s="31"/>
    </row>
    <row r="25" spans="1:16" ht="11.25" customHeight="1" x14ac:dyDescent="0.25">
      <c r="A25" s="29"/>
      <c r="B25" s="32"/>
      <c r="C25" s="66">
        <v>1</v>
      </c>
      <c r="D25" s="33" t="str">
        <f>F17</f>
        <v>12-2023</v>
      </c>
      <c r="E25" s="53">
        <f t="shared" ref="E25:E48" si="0">IF(C25&lt;&gt;0,IF(C25=1,$F$13+$F$14+$F$15,$F$13*$G$13+$F$14*$G$14+$F$15*$G$15),0)</f>
        <v>7000</v>
      </c>
      <c r="F25" s="58">
        <f t="shared" ref="F25:F48" si="1">IF(C25&lt;&gt;0,IF(C25=1,$F$13+$F$14,$F$13*$G$13+$F$14*$G$14),0)</f>
        <v>5000</v>
      </c>
      <c r="G25" s="53">
        <v>4437</v>
      </c>
      <c r="H25" s="112">
        <f>IF(C25&lt;&gt;0,G25-E25,0)</f>
        <v>-2563</v>
      </c>
      <c r="I25" s="112">
        <f>IF(C25&lt;=$F$19,0,IF(H25&lt;0,0,$F$15))</f>
        <v>0</v>
      </c>
      <c r="J25" s="78">
        <f t="shared" ref="J25:J48" si="2">C25</f>
        <v>1</v>
      </c>
      <c r="K25" s="31"/>
    </row>
    <row r="26" spans="1:16" ht="11.25" customHeight="1" x14ac:dyDescent="0.25">
      <c r="A26" s="29"/>
      <c r="B26" s="32"/>
      <c r="C26" s="66">
        <f>IF(AND(C25&lt;$F$18,C25&lt;&gt;0),C25+1,0)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2000</v>
      </c>
      <c r="F26" s="58">
        <f t="shared" si="1"/>
        <v>0</v>
      </c>
      <c r="G26" s="53">
        <v>4437</v>
      </c>
      <c r="H26" s="112">
        <f>IF(C26&lt;&gt;0,G26-E26+H25,0)</f>
        <v>-126</v>
      </c>
      <c r="I26" s="112">
        <f>IF(C26&lt;=$F$19,0,IF(H26&lt;0,0,$F$15*C26-SUM($I$25:I25)))</f>
        <v>0</v>
      </c>
      <c r="J26" s="78">
        <f t="shared" si="2"/>
        <v>2</v>
      </c>
      <c r="K26" s="31"/>
    </row>
    <row r="27" spans="1:16" ht="11.25" customHeight="1" x14ac:dyDescent="0.25">
      <c r="A27" s="29"/>
      <c r="B27" s="32"/>
      <c r="C27" s="66">
        <f t="shared" ref="C27:C48" si="3">IF(AND(C26&lt;$F$18,C26&lt;&gt;0),C26+1,0)</f>
        <v>3</v>
      </c>
      <c r="D27" s="33" t="str">
        <f t="shared" ref="D27:D48" si="4">IF(C27&lt;&gt;0,RIGHT("0"&amp;MONTH(EOMONTH(D26,1)),2)&amp;"-"&amp;YEAR(EOMONTH(D26,1)),"-")</f>
        <v>02-2024</v>
      </c>
      <c r="E27" s="53">
        <f t="shared" si="0"/>
        <v>2000</v>
      </c>
      <c r="F27" s="58">
        <f t="shared" si="1"/>
        <v>0</v>
      </c>
      <c r="G27" s="53">
        <v>4437</v>
      </c>
      <c r="H27" s="112">
        <f t="shared" ref="H27:H48" si="5">IF(C27&lt;&gt;0,G27-E27+H26,0)</f>
        <v>2311</v>
      </c>
      <c r="I27" s="112">
        <f>IF(C27&lt;=$F$19,0,IF(H27&lt;0,0,$F$15*C27-SUM($I$25:I26)))</f>
        <v>0</v>
      </c>
      <c r="J27" s="78">
        <f t="shared" si="2"/>
        <v>3</v>
      </c>
      <c r="K27" s="31"/>
    </row>
    <row r="28" spans="1:16" ht="11.25" customHeight="1" x14ac:dyDescent="0.25">
      <c r="A28" s="29"/>
      <c r="B28" s="32"/>
      <c r="C28" s="66">
        <f t="shared" si="3"/>
        <v>4</v>
      </c>
      <c r="D28" s="33" t="str">
        <f t="shared" si="4"/>
        <v>03-2024</v>
      </c>
      <c r="E28" s="53">
        <f t="shared" si="0"/>
        <v>2000</v>
      </c>
      <c r="F28" s="58">
        <f t="shared" si="1"/>
        <v>0</v>
      </c>
      <c r="G28" s="53">
        <v>4437</v>
      </c>
      <c r="H28" s="112">
        <f t="shared" si="5"/>
        <v>4748</v>
      </c>
      <c r="I28" s="112">
        <f>IF(C28&lt;=$F$19,0,IF(H28&lt;0,0,$F$15*C28-SUM($I$25:I27)))</f>
        <v>8000</v>
      </c>
      <c r="J28" s="78">
        <f t="shared" si="2"/>
        <v>4</v>
      </c>
      <c r="K28" s="31"/>
    </row>
    <row r="29" spans="1:16" ht="11.25" customHeight="1" x14ac:dyDescent="0.25">
      <c r="A29" s="29"/>
      <c r="B29" s="32"/>
      <c r="C29" s="66">
        <f t="shared" si="3"/>
        <v>5</v>
      </c>
      <c r="D29" s="33" t="str">
        <f t="shared" si="4"/>
        <v>04-2024</v>
      </c>
      <c r="E29" s="53">
        <f t="shared" si="0"/>
        <v>2000</v>
      </c>
      <c r="F29" s="58">
        <f t="shared" si="1"/>
        <v>0</v>
      </c>
      <c r="G29" s="53">
        <v>4437</v>
      </c>
      <c r="H29" s="112">
        <f t="shared" si="5"/>
        <v>7185</v>
      </c>
      <c r="I29" s="112">
        <f>IF(C29&lt;=$F$19,0,IF(H29&lt;0,0,$F$15*C29-SUM($I$25:I28)))</f>
        <v>2000</v>
      </c>
      <c r="J29" s="78">
        <f t="shared" si="2"/>
        <v>5</v>
      </c>
      <c r="K29" s="31"/>
    </row>
    <row r="30" spans="1:16" ht="11.25" customHeight="1" x14ac:dyDescent="0.25">
      <c r="A30" s="29"/>
      <c r="B30" s="32"/>
      <c r="C30" s="66">
        <f t="shared" si="3"/>
        <v>6</v>
      </c>
      <c r="D30" s="33" t="str">
        <f t="shared" si="4"/>
        <v>05-2024</v>
      </c>
      <c r="E30" s="53">
        <f t="shared" si="0"/>
        <v>2000</v>
      </c>
      <c r="F30" s="58">
        <f t="shared" si="1"/>
        <v>0</v>
      </c>
      <c r="G30" s="53">
        <v>4437</v>
      </c>
      <c r="H30" s="112">
        <f t="shared" si="5"/>
        <v>9622</v>
      </c>
      <c r="I30" s="112">
        <f>IF(C30&lt;=$F$19,0,IF(H30&lt;0,0,$F$15*C30-SUM($I$25:I29)))</f>
        <v>2000</v>
      </c>
      <c r="J30" s="78">
        <f t="shared" si="2"/>
        <v>6</v>
      </c>
      <c r="K30" s="31"/>
      <c r="O30" s="1"/>
      <c r="P30" s="1"/>
    </row>
    <row r="31" spans="1:16" ht="11.25" customHeight="1" x14ac:dyDescent="0.25">
      <c r="A31" s="29"/>
      <c r="B31" s="32"/>
      <c r="C31" s="66">
        <f t="shared" si="3"/>
        <v>7</v>
      </c>
      <c r="D31" s="33" t="str">
        <f t="shared" si="4"/>
        <v>06-2024</v>
      </c>
      <c r="E31" s="53">
        <f t="shared" si="0"/>
        <v>2000</v>
      </c>
      <c r="F31" s="58">
        <f t="shared" si="1"/>
        <v>0</v>
      </c>
      <c r="G31" s="53">
        <v>4437</v>
      </c>
      <c r="H31" s="112">
        <f t="shared" si="5"/>
        <v>12059</v>
      </c>
      <c r="I31" s="112">
        <f>IF(C31&lt;=$F$19,0,IF(H31&lt;0,0,$F$15*C31-SUM($I$25:I30)))</f>
        <v>2000</v>
      </c>
      <c r="J31" s="78">
        <f t="shared" si="2"/>
        <v>7</v>
      </c>
      <c r="K31" s="31"/>
      <c r="O31" s="1"/>
      <c r="P31" s="1"/>
    </row>
    <row r="32" spans="1:16" ht="11.25" customHeight="1" x14ac:dyDescent="0.25">
      <c r="A32" s="29"/>
      <c r="B32" s="32"/>
      <c r="C32" s="66">
        <f t="shared" si="3"/>
        <v>8</v>
      </c>
      <c r="D32" s="33" t="str">
        <f t="shared" si="4"/>
        <v>07-2024</v>
      </c>
      <c r="E32" s="53">
        <f t="shared" si="0"/>
        <v>2000</v>
      </c>
      <c r="F32" s="58">
        <f t="shared" si="1"/>
        <v>0</v>
      </c>
      <c r="G32" s="53">
        <v>4437</v>
      </c>
      <c r="H32" s="112">
        <f t="shared" si="5"/>
        <v>14496</v>
      </c>
      <c r="I32" s="112">
        <f>IF(C32&lt;=$F$19,0,IF(H32&lt;0,0,$F$15*C32-SUM($I$25:I31)))</f>
        <v>2000</v>
      </c>
      <c r="J32" s="78">
        <f t="shared" si="2"/>
        <v>8</v>
      </c>
      <c r="K32" s="31"/>
      <c r="O32" s="1"/>
      <c r="P32" s="1"/>
    </row>
    <row r="33" spans="1:16" ht="11.25" customHeight="1" x14ac:dyDescent="0.25">
      <c r="A33" s="29"/>
      <c r="B33" s="32"/>
      <c r="C33" s="66">
        <f t="shared" si="3"/>
        <v>9</v>
      </c>
      <c r="D33" s="33" t="str">
        <f t="shared" si="4"/>
        <v>08-2024</v>
      </c>
      <c r="E33" s="53">
        <f t="shared" si="0"/>
        <v>2000</v>
      </c>
      <c r="F33" s="58">
        <f t="shared" si="1"/>
        <v>0</v>
      </c>
      <c r="G33" s="53">
        <v>4437</v>
      </c>
      <c r="H33" s="112">
        <f t="shared" si="5"/>
        <v>16933</v>
      </c>
      <c r="I33" s="112">
        <f>IF(C33&lt;=$F$19,0,IF(H33&lt;0,0,$F$15*C33-SUM($I$25:I32)))</f>
        <v>2000</v>
      </c>
      <c r="J33" s="78">
        <f t="shared" si="2"/>
        <v>9</v>
      </c>
      <c r="K33" s="31"/>
      <c r="O33" s="1"/>
      <c r="P33" s="1"/>
    </row>
    <row r="34" spans="1:16" ht="11.25" customHeight="1" x14ac:dyDescent="0.25">
      <c r="A34" s="29"/>
      <c r="B34" s="32"/>
      <c r="C34" s="66">
        <f t="shared" si="3"/>
        <v>10</v>
      </c>
      <c r="D34" s="33" t="str">
        <f t="shared" si="4"/>
        <v>09-2024</v>
      </c>
      <c r="E34" s="53">
        <f t="shared" si="0"/>
        <v>2000</v>
      </c>
      <c r="F34" s="58">
        <f t="shared" si="1"/>
        <v>0</v>
      </c>
      <c r="G34" s="53">
        <v>4437</v>
      </c>
      <c r="H34" s="112">
        <f t="shared" si="5"/>
        <v>19370</v>
      </c>
      <c r="I34" s="112">
        <f>IF(C34&lt;=$F$19,0,IF(H34&lt;0,0,$F$15*C34-SUM($I$25:I33)))</f>
        <v>2000</v>
      </c>
      <c r="J34" s="78">
        <f t="shared" si="2"/>
        <v>10</v>
      </c>
      <c r="K34" s="31"/>
      <c r="O34" s="1"/>
      <c r="P34" s="1"/>
    </row>
    <row r="35" spans="1:16" ht="11.25" customHeight="1" x14ac:dyDescent="0.25">
      <c r="A35" s="29"/>
      <c r="B35" s="32"/>
      <c r="C35" s="66">
        <f t="shared" si="3"/>
        <v>11</v>
      </c>
      <c r="D35" s="33" t="str">
        <f t="shared" si="4"/>
        <v>10-2024</v>
      </c>
      <c r="E35" s="53">
        <f t="shared" si="0"/>
        <v>2000</v>
      </c>
      <c r="F35" s="58">
        <f t="shared" si="1"/>
        <v>0</v>
      </c>
      <c r="G35" s="53">
        <v>4437</v>
      </c>
      <c r="H35" s="112">
        <f t="shared" si="5"/>
        <v>21807</v>
      </c>
      <c r="I35" s="112">
        <f>IF(C35&lt;=$F$19,0,IF(H35&lt;0,0,$F$15*C35-SUM($I$25:I34)))</f>
        <v>2000</v>
      </c>
      <c r="J35" s="78">
        <f t="shared" si="2"/>
        <v>11</v>
      </c>
      <c r="K35" s="31"/>
    </row>
    <row r="36" spans="1:16" ht="11.25" customHeight="1" x14ac:dyDescent="0.25">
      <c r="A36" s="29"/>
      <c r="B36" s="32"/>
      <c r="C36" s="66">
        <f t="shared" si="3"/>
        <v>12</v>
      </c>
      <c r="D36" s="33" t="str">
        <f t="shared" si="4"/>
        <v>11-2024</v>
      </c>
      <c r="E36" s="53">
        <f t="shared" si="0"/>
        <v>2000</v>
      </c>
      <c r="F36" s="58">
        <f t="shared" si="1"/>
        <v>0</v>
      </c>
      <c r="G36" s="53">
        <v>4437</v>
      </c>
      <c r="H36" s="112">
        <f t="shared" si="5"/>
        <v>24244</v>
      </c>
      <c r="I36" s="112">
        <f>IF(C36&lt;=$F$19,0,IF(H36&lt;0,0,$F$15*C36-SUM($I$25:I35)))</f>
        <v>2000</v>
      </c>
      <c r="J36" s="78">
        <f t="shared" si="2"/>
        <v>12</v>
      </c>
      <c r="K36" s="31"/>
    </row>
    <row r="37" spans="1:16" ht="11.25" customHeight="1" x14ac:dyDescent="0.25">
      <c r="A37" s="29"/>
      <c r="B37" s="32"/>
      <c r="C37" s="66">
        <f t="shared" si="3"/>
        <v>0</v>
      </c>
      <c r="D37" s="33" t="str">
        <f t="shared" si="4"/>
        <v>-</v>
      </c>
      <c r="E37" s="53">
        <f t="shared" si="0"/>
        <v>0</v>
      </c>
      <c r="F37" s="58">
        <f t="shared" si="1"/>
        <v>0</v>
      </c>
      <c r="G37" s="53">
        <f t="shared" ref="G37:G48" si="6">40500/12</f>
        <v>3375</v>
      </c>
      <c r="H37" s="112">
        <f t="shared" si="5"/>
        <v>0</v>
      </c>
      <c r="I37" s="112">
        <f>IF(C37&lt;=$F$19,0,IF(H37&lt;0,0,$F$15*C37-SUM($I$25:I36)))</f>
        <v>0</v>
      </c>
      <c r="J37" s="78">
        <f t="shared" si="2"/>
        <v>0</v>
      </c>
      <c r="K37" s="31"/>
    </row>
    <row r="38" spans="1:16" ht="11.25" customHeight="1" x14ac:dyDescent="0.25">
      <c r="A38" s="29"/>
      <c r="B38" s="32"/>
      <c r="C38" s="66">
        <f t="shared" si="3"/>
        <v>0</v>
      </c>
      <c r="D38" s="33" t="str">
        <f t="shared" si="4"/>
        <v>-</v>
      </c>
      <c r="E38" s="53">
        <f t="shared" si="0"/>
        <v>0</v>
      </c>
      <c r="F38" s="58">
        <f t="shared" si="1"/>
        <v>0</v>
      </c>
      <c r="G38" s="53">
        <f t="shared" si="6"/>
        <v>3375</v>
      </c>
      <c r="H38" s="112">
        <f t="shared" si="5"/>
        <v>0</v>
      </c>
      <c r="I38" s="112">
        <f>IF(C38&lt;=$F$19,0,IF(H38&lt;0,0,$F$15*C38-SUM($I$25:I37)))</f>
        <v>0</v>
      </c>
      <c r="J38" s="78">
        <f t="shared" si="2"/>
        <v>0</v>
      </c>
      <c r="K38" s="31"/>
    </row>
    <row r="39" spans="1:16" ht="11.25" customHeight="1" x14ac:dyDescent="0.25">
      <c r="A39" s="29"/>
      <c r="B39" s="32"/>
      <c r="C39" s="66">
        <f t="shared" si="3"/>
        <v>0</v>
      </c>
      <c r="D39" s="33" t="str">
        <f t="shared" si="4"/>
        <v>-</v>
      </c>
      <c r="E39" s="53">
        <f t="shared" si="0"/>
        <v>0</v>
      </c>
      <c r="F39" s="58">
        <f t="shared" si="1"/>
        <v>0</v>
      </c>
      <c r="G39" s="53">
        <f t="shared" si="6"/>
        <v>3375</v>
      </c>
      <c r="H39" s="112">
        <f t="shared" si="5"/>
        <v>0</v>
      </c>
      <c r="I39" s="112">
        <f>IF(C39&lt;=$F$19,0,IF(H39&lt;0,0,$F$15*C39-SUM($I$25:I38)))</f>
        <v>0</v>
      </c>
      <c r="J39" s="78">
        <f t="shared" si="2"/>
        <v>0</v>
      </c>
      <c r="K39" s="31"/>
    </row>
    <row r="40" spans="1:16" ht="11.25" customHeight="1" x14ac:dyDescent="0.25">
      <c r="A40" s="29"/>
      <c r="B40" s="32"/>
      <c r="C40" s="66">
        <f t="shared" si="3"/>
        <v>0</v>
      </c>
      <c r="D40" s="33" t="str">
        <f t="shared" si="4"/>
        <v>-</v>
      </c>
      <c r="E40" s="53">
        <f t="shared" si="0"/>
        <v>0</v>
      </c>
      <c r="F40" s="58">
        <f t="shared" si="1"/>
        <v>0</v>
      </c>
      <c r="G40" s="53">
        <f t="shared" si="6"/>
        <v>3375</v>
      </c>
      <c r="H40" s="112">
        <f t="shared" si="5"/>
        <v>0</v>
      </c>
      <c r="I40" s="112">
        <f>IF(C40&lt;=$F$19,0,IF(H40&lt;0,0,$F$15*C40-SUM($I$25:I39)))</f>
        <v>0</v>
      </c>
      <c r="J40" s="78">
        <f t="shared" si="2"/>
        <v>0</v>
      </c>
      <c r="K40" s="31"/>
    </row>
    <row r="41" spans="1:16" ht="11.25" customHeight="1" x14ac:dyDescent="0.25">
      <c r="A41" s="29"/>
      <c r="B41" s="32"/>
      <c r="C41" s="66">
        <f t="shared" si="3"/>
        <v>0</v>
      </c>
      <c r="D41" s="33" t="str">
        <f t="shared" si="4"/>
        <v>-</v>
      </c>
      <c r="E41" s="53">
        <f t="shared" si="0"/>
        <v>0</v>
      </c>
      <c r="F41" s="58">
        <f t="shared" si="1"/>
        <v>0</v>
      </c>
      <c r="G41" s="53">
        <f t="shared" si="6"/>
        <v>3375</v>
      </c>
      <c r="H41" s="112">
        <f t="shared" si="5"/>
        <v>0</v>
      </c>
      <c r="I41" s="112">
        <f>IF(C41&lt;=$F$19,0,IF(H41&lt;0,0,$F$15*C41-SUM($I$25:I40)))</f>
        <v>0</v>
      </c>
      <c r="J41" s="78">
        <f t="shared" si="2"/>
        <v>0</v>
      </c>
      <c r="K41" s="31"/>
    </row>
    <row r="42" spans="1:16" ht="11.25" customHeight="1" x14ac:dyDescent="0.25">
      <c r="A42" s="29"/>
      <c r="B42" s="32"/>
      <c r="C42" s="66">
        <f t="shared" si="3"/>
        <v>0</v>
      </c>
      <c r="D42" s="33" t="str">
        <f t="shared" si="4"/>
        <v>-</v>
      </c>
      <c r="E42" s="53">
        <f t="shared" si="0"/>
        <v>0</v>
      </c>
      <c r="F42" s="58">
        <f t="shared" si="1"/>
        <v>0</v>
      </c>
      <c r="G42" s="53">
        <f t="shared" si="6"/>
        <v>3375</v>
      </c>
      <c r="H42" s="112">
        <f t="shared" si="5"/>
        <v>0</v>
      </c>
      <c r="I42" s="112">
        <f>IF(C42&lt;=$F$19,0,IF(H42&lt;0,0,$F$15*C42-SUM($I$25:I41)))</f>
        <v>0</v>
      </c>
      <c r="J42" s="78">
        <f t="shared" si="2"/>
        <v>0</v>
      </c>
      <c r="K42" s="31"/>
    </row>
    <row r="43" spans="1:16" ht="11.25" customHeight="1" x14ac:dyDescent="0.25">
      <c r="A43" s="29"/>
      <c r="B43" s="32"/>
      <c r="C43" s="66">
        <f t="shared" si="3"/>
        <v>0</v>
      </c>
      <c r="D43" s="33" t="str">
        <f t="shared" si="4"/>
        <v>-</v>
      </c>
      <c r="E43" s="53">
        <f t="shared" si="0"/>
        <v>0</v>
      </c>
      <c r="F43" s="58">
        <f t="shared" si="1"/>
        <v>0</v>
      </c>
      <c r="G43" s="53">
        <f t="shared" si="6"/>
        <v>3375</v>
      </c>
      <c r="H43" s="112">
        <f t="shared" si="5"/>
        <v>0</v>
      </c>
      <c r="I43" s="112">
        <f>IF(C43&lt;=$F$19,0,IF(H43&lt;0,0,$F$15*C43-SUM($I$25:I42)))</f>
        <v>0</v>
      </c>
      <c r="J43" s="78">
        <f t="shared" si="2"/>
        <v>0</v>
      </c>
      <c r="K43" s="31"/>
    </row>
    <row r="44" spans="1:16" ht="11.25" customHeight="1" x14ac:dyDescent="0.25">
      <c r="A44" s="29"/>
      <c r="B44" s="32"/>
      <c r="C44" s="66">
        <f t="shared" si="3"/>
        <v>0</v>
      </c>
      <c r="D44" s="33" t="str">
        <f t="shared" si="4"/>
        <v>-</v>
      </c>
      <c r="E44" s="53">
        <f t="shared" si="0"/>
        <v>0</v>
      </c>
      <c r="F44" s="58">
        <f t="shared" si="1"/>
        <v>0</v>
      </c>
      <c r="G44" s="53">
        <f t="shared" si="6"/>
        <v>3375</v>
      </c>
      <c r="H44" s="112">
        <f t="shared" si="5"/>
        <v>0</v>
      </c>
      <c r="I44" s="112">
        <f>IF(C44&lt;=$F$19,0,IF(H44&lt;0,0,$F$15*C44-SUM($I$25:I43)))</f>
        <v>0</v>
      </c>
      <c r="J44" s="78">
        <f t="shared" si="2"/>
        <v>0</v>
      </c>
      <c r="K44" s="31"/>
    </row>
    <row r="45" spans="1:16" ht="11.25" customHeight="1" x14ac:dyDescent="0.25">
      <c r="A45" s="29"/>
      <c r="B45" s="32"/>
      <c r="C45" s="66">
        <f t="shared" si="3"/>
        <v>0</v>
      </c>
      <c r="D45" s="33" t="str">
        <f t="shared" si="4"/>
        <v>-</v>
      </c>
      <c r="E45" s="53">
        <f t="shared" si="0"/>
        <v>0</v>
      </c>
      <c r="F45" s="58">
        <f t="shared" si="1"/>
        <v>0</v>
      </c>
      <c r="G45" s="53">
        <f t="shared" si="6"/>
        <v>3375</v>
      </c>
      <c r="H45" s="112">
        <f t="shared" si="5"/>
        <v>0</v>
      </c>
      <c r="I45" s="112">
        <f>IF(C45&lt;=$F$19,0,IF(H45&lt;0,0,$F$15*C45-SUM($I$25:I44)))</f>
        <v>0</v>
      </c>
      <c r="J45" s="78">
        <f t="shared" si="2"/>
        <v>0</v>
      </c>
      <c r="K45" s="31"/>
    </row>
    <row r="46" spans="1:16" ht="11.25" customHeight="1" x14ac:dyDescent="0.25">
      <c r="A46" s="29"/>
      <c r="B46" s="32"/>
      <c r="C46" s="66">
        <f t="shared" si="3"/>
        <v>0</v>
      </c>
      <c r="D46" s="33" t="str">
        <f t="shared" si="4"/>
        <v>-</v>
      </c>
      <c r="E46" s="53">
        <f t="shared" si="0"/>
        <v>0</v>
      </c>
      <c r="F46" s="58">
        <f t="shared" si="1"/>
        <v>0</v>
      </c>
      <c r="G46" s="53">
        <f t="shared" si="6"/>
        <v>3375</v>
      </c>
      <c r="H46" s="112">
        <f t="shared" si="5"/>
        <v>0</v>
      </c>
      <c r="I46" s="112">
        <f>IF(C46&lt;=$F$19,0,IF(H46&lt;0,0,$F$15*C46-SUM($I$25:I45)))</f>
        <v>0</v>
      </c>
      <c r="J46" s="78">
        <f t="shared" si="2"/>
        <v>0</v>
      </c>
      <c r="K46" s="31"/>
    </row>
    <row r="47" spans="1:16" ht="11.25" customHeight="1" x14ac:dyDescent="0.25">
      <c r="A47" s="29"/>
      <c r="B47" s="32"/>
      <c r="C47" s="66">
        <f t="shared" si="3"/>
        <v>0</v>
      </c>
      <c r="D47" s="33" t="str">
        <f t="shared" si="4"/>
        <v>-</v>
      </c>
      <c r="E47" s="53">
        <f t="shared" si="0"/>
        <v>0</v>
      </c>
      <c r="F47" s="58">
        <f t="shared" si="1"/>
        <v>0</v>
      </c>
      <c r="G47" s="53">
        <f t="shared" si="6"/>
        <v>3375</v>
      </c>
      <c r="H47" s="112">
        <f t="shared" si="5"/>
        <v>0</v>
      </c>
      <c r="I47" s="112">
        <f>IF(C47&lt;=$F$19,0,IF(H47&lt;0,0,$F$15*C47-SUM($I$25:I46)))</f>
        <v>0</v>
      </c>
      <c r="J47" s="78">
        <f t="shared" si="2"/>
        <v>0</v>
      </c>
      <c r="K47" s="31"/>
    </row>
    <row r="48" spans="1:16" ht="11.25" customHeight="1" x14ac:dyDescent="0.25">
      <c r="A48" s="29"/>
      <c r="B48" s="32"/>
      <c r="C48" s="66">
        <f t="shared" si="3"/>
        <v>0</v>
      </c>
      <c r="D48" s="33" t="str">
        <f t="shared" si="4"/>
        <v>-</v>
      </c>
      <c r="E48" s="53">
        <f t="shared" si="0"/>
        <v>0</v>
      </c>
      <c r="F48" s="58">
        <f t="shared" si="1"/>
        <v>0</v>
      </c>
      <c r="G48" s="53">
        <f t="shared" si="6"/>
        <v>3375</v>
      </c>
      <c r="H48" s="112">
        <f t="shared" si="5"/>
        <v>0</v>
      </c>
      <c r="I48" s="112">
        <f>IF(C48&lt;=$F$19,0,IF(H48&lt;0,0,$F$15*C48-SUM($I$25:I47)))</f>
        <v>0</v>
      </c>
      <c r="J48" s="78">
        <f t="shared" si="2"/>
        <v>0</v>
      </c>
      <c r="K48" s="31"/>
    </row>
    <row r="49" spans="1:16" s="39" customFormat="1" x14ac:dyDescent="0.25">
      <c r="A49" s="59"/>
      <c r="B49" s="60"/>
      <c r="E49" s="61">
        <f>SUM(E25:E48)</f>
        <v>29000</v>
      </c>
      <c r="F49" s="61">
        <f>SUM(F25:F48)</f>
        <v>5000</v>
      </c>
      <c r="G49" s="61">
        <f>SUM(G25:G48)</f>
        <v>93744</v>
      </c>
      <c r="H49" s="113">
        <f>MAX(H25:H48)</f>
        <v>24244</v>
      </c>
      <c r="I49" s="113">
        <f>SUM(I25:I48)</f>
        <v>24000</v>
      </c>
      <c r="J49" s="90"/>
      <c r="K49" s="64"/>
      <c r="L49" s="1"/>
      <c r="M49" s="1"/>
      <c r="N49" s="1"/>
      <c r="O49" s="64"/>
      <c r="P49" s="64"/>
    </row>
    <row r="50" spans="1:16" ht="12" thickBot="1" x14ac:dyDescent="0.3">
      <c r="B50" s="40"/>
      <c r="C50" s="41"/>
      <c r="D50" s="41"/>
      <c r="E50" s="41"/>
      <c r="F50" s="42"/>
      <c r="G50" s="43"/>
      <c r="H50" s="42"/>
      <c r="I50" s="41"/>
      <c r="J50" s="91"/>
    </row>
    <row r="51" spans="1:16" ht="15" customHeight="1" x14ac:dyDescent="0.25">
      <c r="I51" s="45"/>
    </row>
  </sheetData>
  <mergeCells count="15">
    <mergeCell ref="G21:G22"/>
    <mergeCell ref="H21:H22"/>
    <mergeCell ref="C17:E17"/>
    <mergeCell ref="C19:E19"/>
    <mergeCell ref="C21:C23"/>
    <mergeCell ref="D21:D23"/>
    <mergeCell ref="E21:E22"/>
    <mergeCell ref="F21:F22"/>
    <mergeCell ref="C18:E18"/>
    <mergeCell ref="C15:E15"/>
    <mergeCell ref="B2:J2"/>
    <mergeCell ref="C6:E6"/>
    <mergeCell ref="C12:E12"/>
    <mergeCell ref="C13:E13"/>
    <mergeCell ref="C14:E14"/>
  </mergeCells>
  <pageMargins left="0.7" right="0.7" top="0.75" bottom="0.75" header="0.3" footer="0.3"/>
  <pageSetup scale="86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96"/>
  <sheetViews>
    <sheetView zoomScale="110" zoomScaleNormal="110" workbookViewId="0">
      <selection activeCell="D9" sqref="D9"/>
    </sheetView>
  </sheetViews>
  <sheetFormatPr defaultColWidth="9.140625" defaultRowHeight="11.25" x14ac:dyDescent="0.25"/>
  <cols>
    <col min="1" max="1" width="9.140625" style="5"/>
    <col min="2" max="2" width="10.5703125" style="5" customWidth="1"/>
    <col min="3" max="3" width="9.140625" style="5" customWidth="1"/>
    <col min="4" max="7" width="8.85546875" style="31" customWidth="1"/>
    <col min="8" max="8" width="13.140625" style="28" bestFit="1" customWidth="1"/>
    <col min="9" max="9" width="30.28515625" style="5" customWidth="1"/>
    <col min="10" max="10" width="5" style="31" customWidth="1"/>
    <col min="11" max="11" width="9.140625" style="5"/>
    <col min="12" max="12" width="12" style="31" bestFit="1" customWidth="1"/>
    <col min="13" max="16384" width="9.140625" style="5"/>
  </cols>
  <sheetData>
    <row r="2" spans="1:12" x14ac:dyDescent="0.25">
      <c r="B2" s="117" t="s">
        <v>26</v>
      </c>
      <c r="C2" s="117"/>
    </row>
    <row r="3" spans="1:12" x14ac:dyDescent="0.25">
      <c r="A3" s="26"/>
      <c r="B3" s="185" t="s">
        <v>24</v>
      </c>
      <c r="C3" s="185"/>
      <c r="D3" s="185"/>
      <c r="E3" s="118">
        <v>0.28282860999999998</v>
      </c>
    </row>
    <row r="4" spans="1:12" x14ac:dyDescent="0.25">
      <c r="A4" s="26"/>
      <c r="B4" s="185" t="s">
        <v>25</v>
      </c>
      <c r="C4" s="185"/>
      <c r="D4" s="185"/>
      <c r="E4" s="119">
        <f>E3/365</f>
        <v>7.7487290410958897E-4</v>
      </c>
    </row>
    <row r="5" spans="1:12" x14ac:dyDescent="0.25">
      <c r="A5" s="26"/>
      <c r="B5" s="26"/>
      <c r="C5" s="26"/>
    </row>
    <row r="6" spans="1:12" s="115" customFormat="1" ht="14.45" customHeight="1" x14ac:dyDescent="0.25">
      <c r="D6" s="186" t="s">
        <v>129</v>
      </c>
      <c r="E6" s="186"/>
      <c r="F6" s="186"/>
      <c r="G6" s="186"/>
      <c r="H6" s="130"/>
      <c r="J6" s="135"/>
      <c r="L6" s="136"/>
    </row>
    <row r="7" spans="1:12" s="115" customFormat="1" ht="22.5" x14ac:dyDescent="0.25">
      <c r="B7" s="132" t="s">
        <v>19</v>
      </c>
      <c r="C7" s="132" t="s">
        <v>32</v>
      </c>
      <c r="D7" s="133" t="s">
        <v>116</v>
      </c>
      <c r="E7" s="133" t="s">
        <v>37</v>
      </c>
      <c r="F7" s="133" t="s">
        <v>38</v>
      </c>
      <c r="G7" s="133" t="s">
        <v>39</v>
      </c>
      <c r="H7" s="133" t="s">
        <v>20</v>
      </c>
      <c r="I7" s="134" t="s">
        <v>21</v>
      </c>
      <c r="J7" s="135"/>
      <c r="K7" s="133" t="s">
        <v>32</v>
      </c>
      <c r="L7" s="133" t="s">
        <v>57</v>
      </c>
    </row>
    <row r="8" spans="1:12" x14ac:dyDescent="0.25">
      <c r="B8" s="121">
        <v>44805</v>
      </c>
      <c r="C8" s="122" t="str">
        <f>RIGHT("0"&amp;MONTH(B8),2)&amp;"-"&amp;YEAR(B8)</f>
        <v>09-2022</v>
      </c>
      <c r="D8" s="123">
        <v>25</v>
      </c>
      <c r="E8" s="123"/>
      <c r="F8" s="123"/>
      <c r="G8" s="123"/>
      <c r="H8" s="124">
        <f t="shared" ref="H8:H71" si="0">SUM(D8:G8)</f>
        <v>25</v>
      </c>
      <c r="I8" s="125"/>
      <c r="J8" s="120">
        <f t="shared" ref="J8:J31" si="1">SUMIFS(H8:H494,C8:C494,"="&amp;K8)</f>
        <v>741.63388313372843</v>
      </c>
      <c r="K8" s="122" t="str">
        <f>RIGHT("0"&amp;MONTH(B8),2)&amp;"-"&amp;YEAR(B8)</f>
        <v>09-2022</v>
      </c>
      <c r="L8" s="126">
        <f>J8</f>
        <v>741.63388313372843</v>
      </c>
    </row>
    <row r="9" spans="1:12" x14ac:dyDescent="0.25">
      <c r="B9" s="121">
        <v>44806</v>
      </c>
      <c r="C9" s="122" t="str">
        <f t="shared" ref="C9:C72" si="2">RIGHT("0"&amp;MONTH(B9),2)&amp;"-"&amp;YEAR(B9)</f>
        <v>09-2022</v>
      </c>
      <c r="D9" s="123">
        <f>(1-$E$4)*D8</f>
        <v>24.980628177397261</v>
      </c>
      <c r="E9" s="123"/>
      <c r="F9" s="123"/>
      <c r="G9" s="123"/>
      <c r="H9" s="124">
        <f t="shared" si="0"/>
        <v>24.980628177397261</v>
      </c>
      <c r="I9" s="125"/>
      <c r="J9" s="120">
        <f t="shared" si="1"/>
        <v>748.44989994889352</v>
      </c>
      <c r="K9" s="121" t="str">
        <f>RIGHT("0"&amp;MONTH(EOMONTH(K8,0)+1),2)&amp;"-"&amp;YEAR(EOMONTH(K8,0)+1)</f>
        <v>10-2022</v>
      </c>
      <c r="L9" s="126">
        <f t="shared" ref="L9:L31" si="3">J9</f>
        <v>748.44989994889352</v>
      </c>
    </row>
    <row r="10" spans="1:12" x14ac:dyDescent="0.25">
      <c r="B10" s="121">
        <v>44807</v>
      </c>
      <c r="C10" s="122" t="str">
        <f t="shared" si="2"/>
        <v>09-2022</v>
      </c>
      <c r="D10" s="123">
        <f t="shared" ref="D10:D73" si="4">(1-$E$4)*D9</f>
        <v>24.961271365494959</v>
      </c>
      <c r="E10" s="123"/>
      <c r="F10" s="123"/>
      <c r="G10" s="123"/>
      <c r="H10" s="124">
        <f t="shared" si="0"/>
        <v>24.961271365494959</v>
      </c>
      <c r="I10" s="125"/>
      <c r="J10" s="120">
        <f t="shared" si="1"/>
        <v>707.38150597378853</v>
      </c>
      <c r="K10" s="121" t="str">
        <f t="shared" ref="K10:K31" si="5">RIGHT("0"&amp;MONTH(EOMONTH(K9,0)+1),2)&amp;"-"&amp;YEAR(EOMONTH(K9,0)+1)</f>
        <v>11-2022</v>
      </c>
      <c r="L10" s="126">
        <f t="shared" si="3"/>
        <v>707.38150597378853</v>
      </c>
    </row>
    <row r="11" spans="1:12" x14ac:dyDescent="0.25">
      <c r="B11" s="121">
        <v>44808</v>
      </c>
      <c r="C11" s="122" t="str">
        <f t="shared" si="2"/>
        <v>09-2022</v>
      </c>
      <c r="D11" s="123">
        <f t="shared" si="4"/>
        <v>24.941929552661708</v>
      </c>
      <c r="E11" s="123"/>
      <c r="F11" s="123"/>
      <c r="G11" s="123"/>
      <c r="H11" s="124">
        <f t="shared" si="0"/>
        <v>24.941929552661708</v>
      </c>
      <c r="I11" s="125"/>
      <c r="J11" s="120">
        <f t="shared" si="1"/>
        <v>713.88272490283896</v>
      </c>
      <c r="K11" s="121" t="str">
        <f t="shared" si="5"/>
        <v>12-2022</v>
      </c>
      <c r="L11" s="126">
        <f t="shared" si="3"/>
        <v>713.88272490283896</v>
      </c>
    </row>
    <row r="12" spans="1:12" x14ac:dyDescent="0.25">
      <c r="B12" s="121">
        <v>44809</v>
      </c>
      <c r="C12" s="122" t="str">
        <f t="shared" si="2"/>
        <v>09-2022</v>
      </c>
      <c r="D12" s="123">
        <f t="shared" si="4"/>
        <v>24.922602727275141</v>
      </c>
      <c r="E12" s="123"/>
      <c r="F12" s="123"/>
      <c r="G12" s="123"/>
      <c r="H12" s="124">
        <f t="shared" si="0"/>
        <v>24.922602727275141</v>
      </c>
      <c r="I12" s="125"/>
      <c r="J12" s="120">
        <f t="shared" si="1"/>
        <v>696.93233558325176</v>
      </c>
      <c r="K12" s="121" t="str">
        <f t="shared" si="5"/>
        <v>01-2023</v>
      </c>
      <c r="L12" s="126">
        <f t="shared" si="3"/>
        <v>696.93233558325176</v>
      </c>
    </row>
    <row r="13" spans="1:12" x14ac:dyDescent="0.25">
      <c r="B13" s="121">
        <v>44810</v>
      </c>
      <c r="C13" s="122" t="str">
        <f t="shared" si="2"/>
        <v>09-2022</v>
      </c>
      <c r="D13" s="123">
        <f t="shared" si="4"/>
        <v>24.903290877721886</v>
      </c>
      <c r="E13" s="123"/>
      <c r="F13" s="123"/>
      <c r="G13" s="123"/>
      <c r="H13" s="124">
        <f t="shared" si="0"/>
        <v>24.903290877721886</v>
      </c>
      <c r="I13" s="125"/>
      <c r="J13" s="120">
        <f t="shared" si="1"/>
        <v>615.25301463739004</v>
      </c>
      <c r="K13" s="121" t="str">
        <f t="shared" si="5"/>
        <v>02-2023</v>
      </c>
      <c r="L13" s="126">
        <f t="shared" si="3"/>
        <v>615.25301463739004</v>
      </c>
    </row>
    <row r="14" spans="1:12" x14ac:dyDescent="0.25">
      <c r="B14" s="121">
        <v>44811</v>
      </c>
      <c r="C14" s="122" t="str">
        <f t="shared" si="2"/>
        <v>09-2022</v>
      </c>
      <c r="D14" s="123">
        <f t="shared" si="4"/>
        <v>24.883993992397581</v>
      </c>
      <c r="E14" s="123"/>
      <c r="F14" s="123"/>
      <c r="G14" s="123"/>
      <c r="H14" s="124">
        <f t="shared" si="0"/>
        <v>24.883993992397581</v>
      </c>
      <c r="I14" s="125"/>
      <c r="J14" s="120">
        <f t="shared" si="1"/>
        <v>665.77588401240666</v>
      </c>
      <c r="K14" s="121" t="str">
        <f t="shared" si="5"/>
        <v>03-2023</v>
      </c>
      <c r="L14" s="126">
        <f t="shared" si="3"/>
        <v>665.77588401240666</v>
      </c>
    </row>
    <row r="15" spans="1:12" x14ac:dyDescent="0.25">
      <c r="B15" s="121">
        <v>44812</v>
      </c>
      <c r="C15" s="122" t="str">
        <f t="shared" si="2"/>
        <v>09-2022</v>
      </c>
      <c r="D15" s="123">
        <f t="shared" si="4"/>
        <v>24.864712059706847</v>
      </c>
      <c r="E15" s="123"/>
      <c r="F15" s="123"/>
      <c r="G15" s="123"/>
      <c r="H15" s="124">
        <f t="shared" si="0"/>
        <v>24.864712059706847</v>
      </c>
      <c r="I15" s="125"/>
      <c r="J15" s="120">
        <f t="shared" si="1"/>
        <v>629.24391800424451</v>
      </c>
      <c r="K15" s="121" t="str">
        <f t="shared" si="5"/>
        <v>04-2023</v>
      </c>
      <c r="L15" s="126">
        <f t="shared" si="3"/>
        <v>629.24391800424451</v>
      </c>
    </row>
    <row r="16" spans="1:12" x14ac:dyDescent="0.25">
      <c r="B16" s="121">
        <v>44813</v>
      </c>
      <c r="C16" s="122" t="str">
        <f t="shared" si="2"/>
        <v>09-2022</v>
      </c>
      <c r="D16" s="123">
        <f t="shared" si="4"/>
        <v>24.845445068063292</v>
      </c>
      <c r="E16" s="123"/>
      <c r="F16" s="123"/>
      <c r="G16" s="123"/>
      <c r="H16" s="124">
        <f t="shared" si="0"/>
        <v>24.845445068063292</v>
      </c>
      <c r="I16" s="125"/>
      <c r="J16" s="120">
        <f t="shared" si="1"/>
        <v>635.02701020579627</v>
      </c>
      <c r="K16" s="121" t="str">
        <f t="shared" si="5"/>
        <v>05-2023</v>
      </c>
      <c r="L16" s="126">
        <f t="shared" si="3"/>
        <v>635.02701020579627</v>
      </c>
    </row>
    <row r="17" spans="2:12" x14ac:dyDescent="0.25">
      <c r="B17" s="121">
        <v>44814</v>
      </c>
      <c r="C17" s="122" t="str">
        <f t="shared" si="2"/>
        <v>09-2022</v>
      </c>
      <c r="D17" s="123">
        <f t="shared" si="4"/>
        <v>24.826193005889508</v>
      </c>
      <c r="E17" s="123"/>
      <c r="F17" s="123"/>
      <c r="G17" s="123"/>
      <c r="H17" s="124">
        <f t="shared" si="0"/>
        <v>24.826193005889508</v>
      </c>
      <c r="I17" s="125"/>
      <c r="J17" s="120">
        <f t="shared" si="1"/>
        <v>600.18227384903355</v>
      </c>
      <c r="K17" s="121" t="str">
        <f t="shared" si="5"/>
        <v>06-2023</v>
      </c>
      <c r="L17" s="126">
        <f t="shared" si="3"/>
        <v>600.18227384903355</v>
      </c>
    </row>
    <row r="18" spans="2:12" x14ac:dyDescent="0.25">
      <c r="B18" s="121">
        <v>44815</v>
      </c>
      <c r="C18" s="122" t="str">
        <f t="shared" si="2"/>
        <v>09-2022</v>
      </c>
      <c r="D18" s="123">
        <f t="shared" si="4"/>
        <v>24.806955861617048</v>
      </c>
      <c r="E18" s="123"/>
      <c r="F18" s="123"/>
      <c r="G18" s="123"/>
      <c r="H18" s="124">
        <f t="shared" si="0"/>
        <v>24.806955861617048</v>
      </c>
      <c r="I18" s="125"/>
      <c r="J18" s="120">
        <f t="shared" si="1"/>
        <v>605.6982738104075</v>
      </c>
      <c r="K18" s="121" t="str">
        <f t="shared" si="5"/>
        <v>07-2023</v>
      </c>
      <c r="L18" s="126">
        <f t="shared" si="3"/>
        <v>605.6982738104075</v>
      </c>
    </row>
    <row r="19" spans="2:12" x14ac:dyDescent="0.25">
      <c r="B19" s="121">
        <v>44816</v>
      </c>
      <c r="C19" s="122" t="str">
        <f t="shared" si="2"/>
        <v>09-2022</v>
      </c>
      <c r="D19" s="123">
        <f t="shared" si="4"/>
        <v>24.787733623686439</v>
      </c>
      <c r="E19" s="123"/>
      <c r="F19" s="123"/>
      <c r="G19" s="123"/>
      <c r="H19" s="124">
        <f t="shared" si="0"/>
        <v>24.787733623686439</v>
      </c>
      <c r="I19" s="125"/>
      <c r="J19" s="120">
        <f t="shared" si="1"/>
        <v>591.31660971749181</v>
      </c>
      <c r="K19" s="121" t="str">
        <f t="shared" si="5"/>
        <v>08-2023</v>
      </c>
      <c r="L19" s="126">
        <f t="shared" si="3"/>
        <v>591.31660971749181</v>
      </c>
    </row>
    <row r="20" spans="2:12" x14ac:dyDescent="0.25">
      <c r="B20" s="121">
        <v>44817</v>
      </c>
      <c r="C20" s="122" t="str">
        <f t="shared" si="2"/>
        <v>09-2022</v>
      </c>
      <c r="D20" s="123">
        <f t="shared" si="4"/>
        <v>24.768526280547157</v>
      </c>
      <c r="E20" s="123"/>
      <c r="F20" s="123"/>
      <c r="G20" s="123"/>
      <c r="H20" s="124">
        <f t="shared" si="0"/>
        <v>24.768526280547157</v>
      </c>
      <c r="I20" s="125"/>
      <c r="J20" s="120">
        <f t="shared" si="1"/>
        <v>558.87031839784618</v>
      </c>
      <c r="K20" s="121" t="str">
        <f t="shared" si="5"/>
        <v>09-2023</v>
      </c>
      <c r="L20" s="126">
        <f t="shared" si="3"/>
        <v>558.87031839784618</v>
      </c>
    </row>
    <row r="21" spans="2:12" x14ac:dyDescent="0.25">
      <c r="B21" s="121">
        <v>44818</v>
      </c>
      <c r="C21" s="122" t="str">
        <f t="shared" si="2"/>
        <v>09-2022</v>
      </c>
      <c r="D21" s="123">
        <f t="shared" si="4"/>
        <v>24.749333820657633</v>
      </c>
      <c r="E21" s="123"/>
      <c r="F21" s="123"/>
      <c r="G21" s="123"/>
      <c r="H21" s="124">
        <f t="shared" si="0"/>
        <v>24.749333820657633</v>
      </c>
      <c r="I21" s="125"/>
      <c r="J21" s="120">
        <f t="shared" si="1"/>
        <v>564.006639127423</v>
      </c>
      <c r="K21" s="121" t="str">
        <f t="shared" si="5"/>
        <v>10-2023</v>
      </c>
      <c r="L21" s="126">
        <f t="shared" si="3"/>
        <v>564.006639127423</v>
      </c>
    </row>
    <row r="22" spans="2:12" x14ac:dyDescent="0.25">
      <c r="B22" s="121">
        <v>44819</v>
      </c>
      <c r="C22" s="122" t="str">
        <f t="shared" si="2"/>
        <v>09-2022</v>
      </c>
      <c r="D22" s="123">
        <f t="shared" si="4"/>
        <v>24.730156232485243</v>
      </c>
      <c r="E22" s="123"/>
      <c r="F22" s="123"/>
      <c r="G22" s="123"/>
      <c r="H22" s="124">
        <f t="shared" si="0"/>
        <v>24.730156232485243</v>
      </c>
      <c r="I22" s="125"/>
      <c r="J22" s="120">
        <f t="shared" si="1"/>
        <v>533.05888048407041</v>
      </c>
      <c r="K22" s="121" t="str">
        <f t="shared" si="5"/>
        <v>11-2023</v>
      </c>
      <c r="L22" s="126">
        <f t="shared" si="3"/>
        <v>533.05888048407041</v>
      </c>
    </row>
    <row r="23" spans="2:12" x14ac:dyDescent="0.25">
      <c r="B23" s="121">
        <v>44820</v>
      </c>
      <c r="C23" s="122" t="str">
        <f t="shared" si="2"/>
        <v>09-2022</v>
      </c>
      <c r="D23" s="123">
        <f t="shared" si="4"/>
        <v>24.710993504506291</v>
      </c>
      <c r="E23" s="123"/>
      <c r="F23" s="123"/>
      <c r="G23" s="123"/>
      <c r="H23" s="124">
        <f t="shared" si="0"/>
        <v>24.710993504506291</v>
      </c>
      <c r="I23" s="125"/>
      <c r="J23" s="120">
        <f t="shared" si="1"/>
        <v>520.80551994817972</v>
      </c>
      <c r="K23" s="121" t="str">
        <f t="shared" si="5"/>
        <v>12-2023</v>
      </c>
      <c r="L23" s="126">
        <f t="shared" si="3"/>
        <v>520.80551994817972</v>
      </c>
    </row>
    <row r="24" spans="2:12" x14ac:dyDescent="0.25">
      <c r="B24" s="121">
        <v>44821</v>
      </c>
      <c r="C24" s="122" t="str">
        <f t="shared" si="2"/>
        <v>09-2022</v>
      </c>
      <c r="D24" s="123">
        <f t="shared" si="4"/>
        <v>24.691845625206021</v>
      </c>
      <c r="E24" s="123"/>
      <c r="F24" s="123"/>
      <c r="G24" s="123"/>
      <c r="H24" s="124">
        <f t="shared" si="0"/>
        <v>24.691845625206021</v>
      </c>
      <c r="I24" s="125"/>
      <c r="J24" s="120">
        <f t="shared" si="1"/>
        <v>0</v>
      </c>
      <c r="K24" s="121" t="str">
        <f t="shared" si="5"/>
        <v>01-2024</v>
      </c>
      <c r="L24" s="126">
        <f t="shared" si="3"/>
        <v>0</v>
      </c>
    </row>
    <row r="25" spans="2:12" x14ac:dyDescent="0.25">
      <c r="B25" s="121">
        <v>44822</v>
      </c>
      <c r="C25" s="122" t="str">
        <f t="shared" si="2"/>
        <v>09-2022</v>
      </c>
      <c r="D25" s="123">
        <f t="shared" si="4"/>
        <v>24.672712583078592</v>
      </c>
      <c r="E25" s="123"/>
      <c r="F25" s="123"/>
      <c r="G25" s="123"/>
      <c r="H25" s="124">
        <f t="shared" si="0"/>
        <v>24.672712583078592</v>
      </c>
      <c r="I25" s="125"/>
      <c r="J25" s="120">
        <f t="shared" si="1"/>
        <v>0</v>
      </c>
      <c r="K25" s="121" t="str">
        <f t="shared" si="5"/>
        <v>02-2024</v>
      </c>
      <c r="L25" s="126">
        <f t="shared" si="3"/>
        <v>0</v>
      </c>
    </row>
    <row r="26" spans="2:12" x14ac:dyDescent="0.25">
      <c r="B26" s="121">
        <v>44823</v>
      </c>
      <c r="C26" s="122" t="str">
        <f t="shared" si="2"/>
        <v>09-2022</v>
      </c>
      <c r="D26" s="123">
        <f t="shared" si="4"/>
        <v>24.653594366627079</v>
      </c>
      <c r="E26" s="123"/>
      <c r="F26" s="123"/>
      <c r="G26" s="123"/>
      <c r="H26" s="124">
        <f t="shared" si="0"/>
        <v>24.653594366627079</v>
      </c>
      <c r="I26" s="125"/>
      <c r="J26" s="120">
        <f t="shared" si="1"/>
        <v>0</v>
      </c>
      <c r="K26" s="121" t="str">
        <f t="shared" si="5"/>
        <v>03-2024</v>
      </c>
      <c r="L26" s="126">
        <f t="shared" si="3"/>
        <v>0</v>
      </c>
    </row>
    <row r="27" spans="2:12" x14ac:dyDescent="0.25">
      <c r="B27" s="121">
        <v>44824</v>
      </c>
      <c r="C27" s="122" t="str">
        <f t="shared" si="2"/>
        <v>09-2022</v>
      </c>
      <c r="D27" s="123">
        <f t="shared" si="4"/>
        <v>24.634490964363472</v>
      </c>
      <c r="E27" s="123"/>
      <c r="F27" s="123"/>
      <c r="G27" s="123"/>
      <c r="H27" s="124">
        <f t="shared" si="0"/>
        <v>24.634490964363472</v>
      </c>
      <c r="I27" s="125"/>
      <c r="J27" s="120">
        <f t="shared" si="1"/>
        <v>0</v>
      </c>
      <c r="K27" s="121" t="str">
        <f t="shared" si="5"/>
        <v>04-2024</v>
      </c>
      <c r="L27" s="126">
        <f t="shared" si="3"/>
        <v>0</v>
      </c>
    </row>
    <row r="28" spans="2:12" x14ac:dyDescent="0.25">
      <c r="B28" s="121">
        <v>44825</v>
      </c>
      <c r="C28" s="122" t="str">
        <f t="shared" si="2"/>
        <v>09-2022</v>
      </c>
      <c r="D28" s="123">
        <f t="shared" si="4"/>
        <v>24.615402364808656</v>
      </c>
      <c r="E28" s="123"/>
      <c r="F28" s="123"/>
      <c r="G28" s="123"/>
      <c r="H28" s="124">
        <f t="shared" si="0"/>
        <v>24.615402364808656</v>
      </c>
      <c r="I28" s="125"/>
      <c r="J28" s="120">
        <f t="shared" si="1"/>
        <v>0</v>
      </c>
      <c r="K28" s="121" t="str">
        <f t="shared" si="5"/>
        <v>05-2024</v>
      </c>
      <c r="L28" s="126">
        <f t="shared" si="3"/>
        <v>0</v>
      </c>
    </row>
    <row r="29" spans="2:12" x14ac:dyDescent="0.25">
      <c r="B29" s="121">
        <v>44826</v>
      </c>
      <c r="C29" s="122" t="str">
        <f t="shared" si="2"/>
        <v>09-2022</v>
      </c>
      <c r="D29" s="123">
        <f t="shared" si="4"/>
        <v>24.596328556492409</v>
      </c>
      <c r="E29" s="123"/>
      <c r="F29" s="123"/>
      <c r="G29" s="123"/>
      <c r="H29" s="124">
        <f t="shared" si="0"/>
        <v>24.596328556492409</v>
      </c>
      <c r="I29" s="125"/>
      <c r="J29" s="120">
        <f t="shared" si="1"/>
        <v>0</v>
      </c>
      <c r="K29" s="121" t="str">
        <f t="shared" si="5"/>
        <v>06-2024</v>
      </c>
      <c r="L29" s="126">
        <f t="shared" si="3"/>
        <v>0</v>
      </c>
    </row>
    <row r="30" spans="2:12" x14ac:dyDescent="0.25">
      <c r="B30" s="121">
        <v>44827</v>
      </c>
      <c r="C30" s="122" t="str">
        <f t="shared" si="2"/>
        <v>09-2022</v>
      </c>
      <c r="D30" s="123">
        <f t="shared" si="4"/>
        <v>24.577269527953405</v>
      </c>
      <c r="E30" s="123"/>
      <c r="F30" s="123"/>
      <c r="G30" s="123"/>
      <c r="H30" s="124">
        <f t="shared" si="0"/>
        <v>24.577269527953405</v>
      </c>
      <c r="I30" s="125"/>
      <c r="J30" s="120">
        <f t="shared" si="1"/>
        <v>0</v>
      </c>
      <c r="K30" s="121" t="str">
        <f t="shared" si="5"/>
        <v>07-2024</v>
      </c>
      <c r="L30" s="126">
        <f t="shared" si="3"/>
        <v>0</v>
      </c>
    </row>
    <row r="31" spans="2:12" x14ac:dyDescent="0.25">
      <c r="B31" s="121">
        <v>44828</v>
      </c>
      <c r="C31" s="122" t="str">
        <f t="shared" si="2"/>
        <v>09-2022</v>
      </c>
      <c r="D31" s="123">
        <f t="shared" si="4"/>
        <v>24.558225267739196</v>
      </c>
      <c r="E31" s="123"/>
      <c r="F31" s="123"/>
      <c r="G31" s="123"/>
      <c r="H31" s="124">
        <f t="shared" si="0"/>
        <v>24.558225267739196</v>
      </c>
      <c r="I31" s="125"/>
      <c r="J31" s="120">
        <f t="shared" si="1"/>
        <v>0</v>
      </c>
      <c r="K31" s="121" t="str">
        <f t="shared" si="5"/>
        <v>08-2024</v>
      </c>
      <c r="L31" s="126">
        <f t="shared" si="3"/>
        <v>0</v>
      </c>
    </row>
    <row r="32" spans="2:12" x14ac:dyDescent="0.25">
      <c r="B32" s="121">
        <v>44829</v>
      </c>
      <c r="C32" s="122" t="str">
        <f t="shared" si="2"/>
        <v>09-2022</v>
      </c>
      <c r="D32" s="123">
        <f t="shared" si="4"/>
        <v>24.539195764406205</v>
      </c>
      <c r="E32" s="123"/>
      <c r="F32" s="123"/>
      <c r="G32" s="123"/>
      <c r="H32" s="124">
        <f t="shared" si="0"/>
        <v>24.539195764406205</v>
      </c>
      <c r="I32" s="125"/>
      <c r="J32" s="120"/>
      <c r="K32" s="127"/>
      <c r="L32" s="137">
        <f>SUM(L8:L31)</f>
        <v>10127.518691736792</v>
      </c>
    </row>
    <row r="33" spans="2:11" x14ac:dyDescent="0.25">
      <c r="B33" s="121">
        <v>44830</v>
      </c>
      <c r="C33" s="122" t="str">
        <f t="shared" si="2"/>
        <v>09-2022</v>
      </c>
      <c r="D33" s="123">
        <f t="shared" si="4"/>
        <v>24.520181006519724</v>
      </c>
      <c r="E33" s="123"/>
      <c r="F33" s="123"/>
      <c r="G33" s="123"/>
      <c r="H33" s="124">
        <f t="shared" si="0"/>
        <v>24.520181006519724</v>
      </c>
      <c r="I33" s="125"/>
      <c r="K33" s="127"/>
    </row>
    <row r="34" spans="2:11" x14ac:dyDescent="0.25">
      <c r="B34" s="121">
        <v>44831</v>
      </c>
      <c r="C34" s="122" t="str">
        <f t="shared" si="2"/>
        <v>09-2022</v>
      </c>
      <c r="D34" s="123">
        <f t="shared" si="4"/>
        <v>24.50118098265391</v>
      </c>
      <c r="E34" s="123"/>
      <c r="F34" s="123"/>
      <c r="G34" s="123"/>
      <c r="H34" s="124">
        <f t="shared" si="0"/>
        <v>24.50118098265391</v>
      </c>
      <c r="I34" s="125"/>
      <c r="K34" s="127"/>
    </row>
    <row r="35" spans="2:11" x14ac:dyDescent="0.25">
      <c r="B35" s="121">
        <v>44832</v>
      </c>
      <c r="C35" s="122" t="str">
        <f t="shared" si="2"/>
        <v>09-2022</v>
      </c>
      <c r="D35" s="123">
        <f t="shared" si="4"/>
        <v>24.482195681391765</v>
      </c>
      <c r="E35" s="123"/>
      <c r="F35" s="123"/>
      <c r="G35" s="123"/>
      <c r="H35" s="124">
        <f t="shared" si="0"/>
        <v>24.482195681391765</v>
      </c>
      <c r="I35" s="125"/>
      <c r="K35" s="127"/>
    </row>
    <row r="36" spans="2:11" x14ac:dyDescent="0.25">
      <c r="B36" s="121">
        <v>44833</v>
      </c>
      <c r="C36" s="122" t="str">
        <f t="shared" si="2"/>
        <v>09-2022</v>
      </c>
      <c r="D36" s="123">
        <f t="shared" si="4"/>
        <v>24.463225091325146</v>
      </c>
      <c r="E36" s="123"/>
      <c r="F36" s="123"/>
      <c r="G36" s="123"/>
      <c r="H36" s="124">
        <f t="shared" si="0"/>
        <v>24.463225091325146</v>
      </c>
      <c r="I36" s="125"/>
      <c r="K36" s="127"/>
    </row>
    <row r="37" spans="2:11" x14ac:dyDescent="0.25">
      <c r="B37" s="121">
        <v>44834</v>
      </c>
      <c r="C37" s="122" t="str">
        <f t="shared" si="2"/>
        <v>09-2022</v>
      </c>
      <c r="D37" s="123">
        <f t="shared" si="4"/>
        <v>24.444269201054745</v>
      </c>
      <c r="E37" s="123"/>
      <c r="F37" s="123"/>
      <c r="G37" s="123"/>
      <c r="H37" s="124">
        <f t="shared" si="0"/>
        <v>24.444269201054745</v>
      </c>
      <c r="I37" s="125"/>
      <c r="K37" s="127"/>
    </row>
    <row r="38" spans="2:11" x14ac:dyDescent="0.25">
      <c r="B38" s="121">
        <v>44835</v>
      </c>
      <c r="C38" s="122" t="str">
        <f t="shared" si="2"/>
        <v>10-2022</v>
      </c>
      <c r="D38" s="123">
        <f t="shared" si="4"/>
        <v>24.425327999190085</v>
      </c>
      <c r="E38" s="123"/>
      <c r="F38" s="123"/>
      <c r="G38" s="123"/>
      <c r="H38" s="124">
        <f t="shared" si="0"/>
        <v>24.425327999190085</v>
      </c>
      <c r="I38" s="125"/>
      <c r="K38" s="127"/>
    </row>
    <row r="39" spans="2:11" x14ac:dyDescent="0.25">
      <c r="B39" s="121">
        <v>44836</v>
      </c>
      <c r="C39" s="122" t="str">
        <f t="shared" si="2"/>
        <v>10-2022</v>
      </c>
      <c r="D39" s="123">
        <f t="shared" si="4"/>
        <v>24.406401474349522</v>
      </c>
      <c r="E39" s="123"/>
      <c r="F39" s="123"/>
      <c r="G39" s="123"/>
      <c r="H39" s="124">
        <f t="shared" si="0"/>
        <v>24.406401474349522</v>
      </c>
      <c r="I39" s="125"/>
      <c r="K39" s="127"/>
    </row>
    <row r="40" spans="2:11" x14ac:dyDescent="0.25">
      <c r="B40" s="121">
        <v>44837</v>
      </c>
      <c r="C40" s="122" t="str">
        <f t="shared" si="2"/>
        <v>10-2022</v>
      </c>
      <c r="D40" s="123">
        <f t="shared" si="4"/>
        <v>24.387489615160227</v>
      </c>
      <c r="E40" s="123"/>
      <c r="F40" s="123"/>
      <c r="G40" s="123"/>
      <c r="H40" s="124">
        <f t="shared" si="0"/>
        <v>24.387489615160227</v>
      </c>
      <c r="I40" s="125"/>
      <c r="K40" s="127"/>
    </row>
    <row r="41" spans="2:11" x14ac:dyDescent="0.25">
      <c r="B41" s="121">
        <v>44838</v>
      </c>
      <c r="C41" s="122" t="str">
        <f t="shared" si="2"/>
        <v>10-2022</v>
      </c>
      <c r="D41" s="123">
        <f t="shared" si="4"/>
        <v>24.368592410258184</v>
      </c>
      <c r="E41" s="123"/>
      <c r="F41" s="123"/>
      <c r="G41" s="123"/>
      <c r="H41" s="124">
        <f t="shared" si="0"/>
        <v>24.368592410258184</v>
      </c>
      <c r="I41" s="125"/>
      <c r="K41" s="127"/>
    </row>
    <row r="42" spans="2:11" x14ac:dyDescent="0.25">
      <c r="B42" s="121">
        <v>44839</v>
      </c>
      <c r="C42" s="122" t="str">
        <f t="shared" si="2"/>
        <v>10-2022</v>
      </c>
      <c r="D42" s="123">
        <f t="shared" si="4"/>
        <v>24.349709848288185</v>
      </c>
      <c r="E42" s="123"/>
      <c r="F42" s="123"/>
      <c r="G42" s="123"/>
      <c r="H42" s="124">
        <f t="shared" si="0"/>
        <v>24.349709848288185</v>
      </c>
      <c r="I42" s="125"/>
      <c r="K42" s="127"/>
    </row>
    <row r="43" spans="2:11" x14ac:dyDescent="0.25">
      <c r="B43" s="121">
        <v>44840</v>
      </c>
      <c r="C43" s="122" t="str">
        <f t="shared" si="2"/>
        <v>10-2022</v>
      </c>
      <c r="D43" s="123">
        <f t="shared" si="4"/>
        <v>24.330841917903815</v>
      </c>
      <c r="E43" s="123"/>
      <c r="F43" s="123"/>
      <c r="G43" s="123"/>
      <c r="H43" s="124">
        <f t="shared" si="0"/>
        <v>24.330841917903815</v>
      </c>
      <c r="I43" s="125"/>
      <c r="K43" s="127"/>
    </row>
    <row r="44" spans="2:11" x14ac:dyDescent="0.25">
      <c r="B44" s="121">
        <v>44841</v>
      </c>
      <c r="C44" s="122" t="str">
        <f t="shared" si="2"/>
        <v>10-2022</v>
      </c>
      <c r="D44" s="123">
        <f t="shared" si="4"/>
        <v>24.311988607767457</v>
      </c>
      <c r="E44" s="123"/>
      <c r="F44" s="123"/>
      <c r="G44" s="123"/>
      <c r="H44" s="124">
        <f t="shared" si="0"/>
        <v>24.311988607767457</v>
      </c>
      <c r="I44" s="125"/>
      <c r="K44" s="127"/>
    </row>
    <row r="45" spans="2:11" x14ac:dyDescent="0.25">
      <c r="B45" s="121">
        <v>44842</v>
      </c>
      <c r="C45" s="122" t="str">
        <f t="shared" si="2"/>
        <v>10-2022</v>
      </c>
      <c r="D45" s="123">
        <f t="shared" si="4"/>
        <v>24.293149906550276</v>
      </c>
      <c r="E45" s="123"/>
      <c r="F45" s="123"/>
      <c r="G45" s="123"/>
      <c r="H45" s="124">
        <f t="shared" si="0"/>
        <v>24.293149906550276</v>
      </c>
      <c r="I45" s="125"/>
      <c r="K45" s="127"/>
    </row>
    <row r="46" spans="2:11" x14ac:dyDescent="0.25">
      <c r="B46" s="121">
        <v>44843</v>
      </c>
      <c r="C46" s="122" t="str">
        <f t="shared" si="2"/>
        <v>10-2022</v>
      </c>
      <c r="D46" s="123">
        <f t="shared" si="4"/>
        <v>24.274325802932218</v>
      </c>
      <c r="E46" s="123"/>
      <c r="F46" s="123"/>
      <c r="G46" s="123"/>
      <c r="H46" s="124">
        <f t="shared" si="0"/>
        <v>24.274325802932218</v>
      </c>
      <c r="I46" s="125"/>
      <c r="K46" s="127"/>
    </row>
    <row r="47" spans="2:11" x14ac:dyDescent="0.25">
      <c r="B47" s="121">
        <v>44844</v>
      </c>
      <c r="C47" s="122" t="str">
        <f t="shared" si="2"/>
        <v>10-2022</v>
      </c>
      <c r="D47" s="123">
        <f t="shared" si="4"/>
        <v>24.255516285601995</v>
      </c>
      <c r="E47" s="123"/>
      <c r="F47" s="123"/>
      <c r="G47" s="123"/>
      <c r="H47" s="124">
        <f t="shared" si="0"/>
        <v>24.255516285601995</v>
      </c>
      <c r="I47" s="125"/>
      <c r="K47" s="127"/>
    </row>
    <row r="48" spans="2:11" x14ac:dyDescent="0.25">
      <c r="B48" s="121">
        <v>44845</v>
      </c>
      <c r="C48" s="122" t="str">
        <f t="shared" si="2"/>
        <v>10-2022</v>
      </c>
      <c r="D48" s="123">
        <f t="shared" si="4"/>
        <v>24.236721343257095</v>
      </c>
      <c r="E48" s="123"/>
      <c r="F48" s="123"/>
      <c r="G48" s="123"/>
      <c r="H48" s="124">
        <f t="shared" si="0"/>
        <v>24.236721343257095</v>
      </c>
      <c r="I48" s="125"/>
      <c r="K48" s="127"/>
    </row>
    <row r="49" spans="2:11" x14ac:dyDescent="0.25">
      <c r="B49" s="121">
        <v>44846</v>
      </c>
      <c r="C49" s="122" t="str">
        <f t="shared" si="2"/>
        <v>10-2022</v>
      </c>
      <c r="D49" s="123">
        <f t="shared" si="4"/>
        <v>24.217940964603748</v>
      </c>
      <c r="E49" s="123"/>
      <c r="F49" s="123"/>
      <c r="G49" s="123"/>
      <c r="H49" s="124">
        <f t="shared" si="0"/>
        <v>24.217940964603748</v>
      </c>
      <c r="I49" s="125"/>
      <c r="K49" s="127"/>
    </row>
    <row r="50" spans="2:11" x14ac:dyDescent="0.25">
      <c r="B50" s="121">
        <v>44847</v>
      </c>
      <c r="C50" s="122" t="str">
        <f t="shared" si="2"/>
        <v>10-2022</v>
      </c>
      <c r="D50" s="123">
        <f t="shared" si="4"/>
        <v>24.199175138356949</v>
      </c>
      <c r="E50" s="123"/>
      <c r="F50" s="123"/>
      <c r="G50" s="123"/>
      <c r="H50" s="124">
        <f t="shared" si="0"/>
        <v>24.199175138356949</v>
      </c>
      <c r="I50" s="125"/>
      <c r="K50" s="127"/>
    </row>
    <row r="51" spans="2:11" x14ac:dyDescent="0.25">
      <c r="B51" s="121">
        <v>44848</v>
      </c>
      <c r="C51" s="122" t="str">
        <f t="shared" si="2"/>
        <v>10-2022</v>
      </c>
      <c r="D51" s="123">
        <f t="shared" si="4"/>
        <v>24.180423853240434</v>
      </c>
      <c r="E51" s="123"/>
      <c r="F51" s="123"/>
      <c r="G51" s="123"/>
      <c r="H51" s="124">
        <f t="shared" si="0"/>
        <v>24.180423853240434</v>
      </c>
      <c r="I51" s="125"/>
      <c r="K51" s="127"/>
    </row>
    <row r="52" spans="2:11" x14ac:dyDescent="0.25">
      <c r="B52" s="121">
        <v>44849</v>
      </c>
      <c r="C52" s="122" t="str">
        <f t="shared" si="2"/>
        <v>10-2022</v>
      </c>
      <c r="D52" s="123">
        <f t="shared" si="4"/>
        <v>24.161687097986672</v>
      </c>
      <c r="E52" s="123"/>
      <c r="F52" s="123"/>
      <c r="G52" s="123"/>
      <c r="H52" s="124">
        <f t="shared" si="0"/>
        <v>24.161687097986672</v>
      </c>
      <c r="I52" s="125"/>
      <c r="K52" s="127"/>
    </row>
    <row r="53" spans="2:11" x14ac:dyDescent="0.25">
      <c r="B53" s="121">
        <v>44850</v>
      </c>
      <c r="C53" s="122" t="str">
        <f t="shared" si="2"/>
        <v>10-2022</v>
      </c>
      <c r="D53" s="123">
        <f t="shared" si="4"/>
        <v>24.142964861336868</v>
      </c>
      <c r="E53" s="123"/>
      <c r="F53" s="123"/>
      <c r="G53" s="123"/>
      <c r="H53" s="124">
        <f t="shared" si="0"/>
        <v>24.142964861336868</v>
      </c>
      <c r="I53" s="125"/>
      <c r="K53" s="127"/>
    </row>
    <row r="54" spans="2:11" x14ac:dyDescent="0.25">
      <c r="B54" s="121">
        <v>44851</v>
      </c>
      <c r="C54" s="122" t="str">
        <f t="shared" si="2"/>
        <v>10-2022</v>
      </c>
      <c r="D54" s="123">
        <f t="shared" si="4"/>
        <v>24.124257132040949</v>
      </c>
      <c r="E54" s="123"/>
      <c r="F54" s="123"/>
      <c r="G54" s="123"/>
      <c r="H54" s="124">
        <f t="shared" si="0"/>
        <v>24.124257132040949</v>
      </c>
      <c r="I54" s="125"/>
      <c r="K54" s="127"/>
    </row>
    <row r="55" spans="2:11" x14ac:dyDescent="0.25">
      <c r="B55" s="121">
        <v>44852</v>
      </c>
      <c r="C55" s="122" t="str">
        <f t="shared" si="2"/>
        <v>10-2022</v>
      </c>
      <c r="D55" s="123">
        <f t="shared" si="4"/>
        <v>24.105563898857557</v>
      </c>
      <c r="E55" s="123"/>
      <c r="F55" s="123"/>
      <c r="G55" s="123"/>
      <c r="H55" s="124">
        <f t="shared" si="0"/>
        <v>24.105563898857557</v>
      </c>
      <c r="I55" s="125"/>
      <c r="K55" s="127"/>
    </row>
    <row r="56" spans="2:11" x14ac:dyDescent="0.25">
      <c r="B56" s="121">
        <v>44853</v>
      </c>
      <c r="C56" s="122" t="str">
        <f t="shared" si="2"/>
        <v>10-2022</v>
      </c>
      <c r="D56" s="123">
        <f t="shared" si="4"/>
        <v>24.08688515055405</v>
      </c>
      <c r="E56" s="123"/>
      <c r="F56" s="123"/>
      <c r="G56" s="123"/>
      <c r="H56" s="124">
        <f t="shared" si="0"/>
        <v>24.08688515055405</v>
      </c>
      <c r="I56" s="125"/>
      <c r="K56" s="127"/>
    </row>
    <row r="57" spans="2:11" x14ac:dyDescent="0.25">
      <c r="B57" s="121">
        <v>44854</v>
      </c>
      <c r="C57" s="122" t="str">
        <f t="shared" si="2"/>
        <v>10-2022</v>
      </c>
      <c r="D57" s="123">
        <f t="shared" si="4"/>
        <v>24.068220875906487</v>
      </c>
      <c r="E57" s="123"/>
      <c r="F57" s="123"/>
      <c r="G57" s="123"/>
      <c r="H57" s="124">
        <f t="shared" si="0"/>
        <v>24.068220875906487</v>
      </c>
      <c r="I57" s="125"/>
      <c r="K57" s="127"/>
    </row>
    <row r="58" spans="2:11" x14ac:dyDescent="0.25">
      <c r="B58" s="121">
        <v>44855</v>
      </c>
      <c r="C58" s="122" t="str">
        <f t="shared" si="2"/>
        <v>10-2022</v>
      </c>
      <c r="D58" s="123">
        <f t="shared" si="4"/>
        <v>24.049571063699624</v>
      </c>
      <c r="E58" s="123"/>
      <c r="F58" s="123"/>
      <c r="G58" s="123"/>
      <c r="H58" s="124">
        <f t="shared" si="0"/>
        <v>24.049571063699624</v>
      </c>
      <c r="I58" s="125"/>
      <c r="K58" s="127"/>
    </row>
    <row r="59" spans="2:11" x14ac:dyDescent="0.25">
      <c r="B59" s="121">
        <v>44856</v>
      </c>
      <c r="C59" s="122" t="str">
        <f t="shared" si="2"/>
        <v>10-2022</v>
      </c>
      <c r="D59" s="123">
        <f t="shared" si="4"/>
        <v>24.030935702726904</v>
      </c>
      <c r="E59" s="123"/>
      <c r="F59" s="123"/>
      <c r="G59" s="123"/>
      <c r="H59" s="124">
        <f t="shared" si="0"/>
        <v>24.030935702726904</v>
      </c>
      <c r="I59" s="125"/>
      <c r="K59" s="127"/>
    </row>
    <row r="60" spans="2:11" x14ac:dyDescent="0.25">
      <c r="B60" s="121">
        <v>44857</v>
      </c>
      <c r="C60" s="122" t="str">
        <f t="shared" si="2"/>
        <v>10-2022</v>
      </c>
      <c r="D60" s="123">
        <f t="shared" si="4"/>
        <v>24.012314781790462</v>
      </c>
      <c r="E60" s="123"/>
      <c r="F60" s="123"/>
      <c r="G60" s="123"/>
      <c r="H60" s="124">
        <f t="shared" si="0"/>
        <v>24.012314781790462</v>
      </c>
      <c r="I60" s="125"/>
      <c r="K60" s="127"/>
    </row>
    <row r="61" spans="2:11" x14ac:dyDescent="0.25">
      <c r="B61" s="121">
        <v>44858</v>
      </c>
      <c r="C61" s="122" t="str">
        <f t="shared" si="2"/>
        <v>10-2022</v>
      </c>
      <c r="D61" s="123">
        <f t="shared" si="4"/>
        <v>23.9937082897011</v>
      </c>
      <c r="E61" s="123"/>
      <c r="F61" s="123"/>
      <c r="G61" s="123"/>
      <c r="H61" s="124">
        <f t="shared" si="0"/>
        <v>23.9937082897011</v>
      </c>
      <c r="I61" s="125"/>
      <c r="K61" s="127"/>
    </row>
    <row r="62" spans="2:11" x14ac:dyDescent="0.25">
      <c r="B62" s="121">
        <v>44859</v>
      </c>
      <c r="C62" s="122" t="str">
        <f t="shared" si="2"/>
        <v>10-2022</v>
      </c>
      <c r="D62" s="123">
        <f t="shared" si="4"/>
        <v>23.975116215278302</v>
      </c>
      <c r="E62" s="123"/>
      <c r="F62" s="123"/>
      <c r="G62" s="123"/>
      <c r="H62" s="124">
        <f t="shared" si="0"/>
        <v>23.975116215278302</v>
      </c>
      <c r="I62" s="125"/>
      <c r="K62" s="127"/>
    </row>
    <row r="63" spans="2:11" x14ac:dyDescent="0.25">
      <c r="B63" s="121">
        <v>44860</v>
      </c>
      <c r="C63" s="122" t="str">
        <f t="shared" si="2"/>
        <v>10-2022</v>
      </c>
      <c r="D63" s="123">
        <f t="shared" si="4"/>
        <v>23.956538547350203</v>
      </c>
      <c r="E63" s="123"/>
      <c r="F63" s="123"/>
      <c r="G63" s="123"/>
      <c r="H63" s="124">
        <f t="shared" si="0"/>
        <v>23.956538547350203</v>
      </c>
      <c r="I63" s="125"/>
      <c r="K63" s="127"/>
    </row>
    <row r="64" spans="2:11" x14ac:dyDescent="0.25">
      <c r="B64" s="121">
        <v>44861</v>
      </c>
      <c r="C64" s="122" t="str">
        <f t="shared" si="2"/>
        <v>10-2022</v>
      </c>
      <c r="D64" s="123">
        <f t="shared" si="4"/>
        <v>23.937975274753605</v>
      </c>
      <c r="E64" s="123"/>
      <c r="F64" s="123"/>
      <c r="G64" s="123"/>
      <c r="H64" s="124">
        <f t="shared" si="0"/>
        <v>23.937975274753605</v>
      </c>
      <c r="I64" s="125"/>
      <c r="K64" s="127"/>
    </row>
    <row r="65" spans="2:11" x14ac:dyDescent="0.25">
      <c r="B65" s="121">
        <v>44862</v>
      </c>
      <c r="C65" s="122" t="str">
        <f t="shared" si="2"/>
        <v>10-2022</v>
      </c>
      <c r="D65" s="123">
        <f t="shared" si="4"/>
        <v>23.919426386333953</v>
      </c>
      <c r="E65" s="123"/>
      <c r="F65" s="123"/>
      <c r="G65" s="123"/>
      <c r="H65" s="124">
        <f t="shared" si="0"/>
        <v>23.919426386333953</v>
      </c>
      <c r="I65" s="125"/>
      <c r="K65" s="127"/>
    </row>
    <row r="66" spans="2:11" x14ac:dyDescent="0.25">
      <c r="B66" s="121">
        <v>44863</v>
      </c>
      <c r="C66" s="122" t="str">
        <f t="shared" si="2"/>
        <v>10-2022</v>
      </c>
      <c r="D66" s="123">
        <f t="shared" si="4"/>
        <v>23.900891870945337</v>
      </c>
      <c r="E66" s="123"/>
      <c r="F66" s="123"/>
      <c r="G66" s="123"/>
      <c r="H66" s="124">
        <f t="shared" si="0"/>
        <v>23.900891870945337</v>
      </c>
      <c r="I66" s="125"/>
      <c r="K66" s="127"/>
    </row>
    <row r="67" spans="2:11" x14ac:dyDescent="0.25">
      <c r="B67" s="121">
        <v>44864</v>
      </c>
      <c r="C67" s="122" t="str">
        <f t="shared" si="2"/>
        <v>10-2022</v>
      </c>
      <c r="D67" s="123">
        <f t="shared" si="4"/>
        <v>23.882371717450489</v>
      </c>
      <c r="E67" s="123"/>
      <c r="F67" s="123"/>
      <c r="G67" s="123"/>
      <c r="H67" s="124">
        <f t="shared" si="0"/>
        <v>23.882371717450489</v>
      </c>
      <c r="I67" s="125"/>
      <c r="K67" s="127"/>
    </row>
    <row r="68" spans="2:11" x14ac:dyDescent="0.25">
      <c r="B68" s="121">
        <v>44865</v>
      </c>
      <c r="C68" s="122" t="str">
        <f t="shared" si="2"/>
        <v>10-2022</v>
      </c>
      <c r="D68" s="123">
        <f t="shared" si="4"/>
        <v>23.863865914720762</v>
      </c>
      <c r="E68" s="123"/>
      <c r="F68" s="123"/>
      <c r="G68" s="123"/>
      <c r="H68" s="124">
        <f t="shared" si="0"/>
        <v>23.863865914720762</v>
      </c>
      <c r="I68" s="125"/>
      <c r="K68" s="127"/>
    </row>
    <row r="69" spans="2:11" x14ac:dyDescent="0.25">
      <c r="B69" s="121">
        <v>44866</v>
      </c>
      <c r="C69" s="122" t="str">
        <f t="shared" si="2"/>
        <v>11-2022</v>
      </c>
      <c r="D69" s="123">
        <f t="shared" si="4"/>
        <v>23.84537445163614</v>
      </c>
      <c r="E69" s="123"/>
      <c r="F69" s="123"/>
      <c r="G69" s="123"/>
      <c r="H69" s="124">
        <f t="shared" si="0"/>
        <v>23.84537445163614</v>
      </c>
      <c r="I69" s="125"/>
      <c r="K69" s="127"/>
    </row>
    <row r="70" spans="2:11" x14ac:dyDescent="0.25">
      <c r="B70" s="121">
        <v>44867</v>
      </c>
      <c r="C70" s="122" t="str">
        <f t="shared" si="2"/>
        <v>11-2022</v>
      </c>
      <c r="D70" s="123">
        <f t="shared" si="4"/>
        <v>23.826897317085219</v>
      </c>
      <c r="E70" s="123"/>
      <c r="F70" s="123"/>
      <c r="G70" s="123"/>
      <c r="H70" s="124">
        <f t="shared" si="0"/>
        <v>23.826897317085219</v>
      </c>
      <c r="I70" s="125"/>
      <c r="K70" s="127"/>
    </row>
    <row r="71" spans="2:11" x14ac:dyDescent="0.25">
      <c r="B71" s="121">
        <v>44868</v>
      </c>
      <c r="C71" s="122" t="str">
        <f t="shared" si="2"/>
        <v>11-2022</v>
      </c>
      <c r="D71" s="123">
        <f t="shared" si="4"/>
        <v>23.808434499965209</v>
      </c>
      <c r="E71" s="123"/>
      <c r="F71" s="123"/>
      <c r="G71" s="123"/>
      <c r="H71" s="124">
        <f t="shared" si="0"/>
        <v>23.808434499965209</v>
      </c>
      <c r="I71" s="125"/>
      <c r="K71" s="127"/>
    </row>
    <row r="72" spans="2:11" x14ac:dyDescent="0.25">
      <c r="B72" s="121">
        <v>44869</v>
      </c>
      <c r="C72" s="122" t="str">
        <f t="shared" si="2"/>
        <v>11-2022</v>
      </c>
      <c r="D72" s="123">
        <f t="shared" si="4"/>
        <v>23.789985989181918</v>
      </c>
      <c r="E72" s="123"/>
      <c r="F72" s="123"/>
      <c r="G72" s="123"/>
      <c r="H72" s="124">
        <f t="shared" ref="H72:H135" si="6">SUM(D72:G72)</f>
        <v>23.789985989181918</v>
      </c>
      <c r="I72" s="125"/>
      <c r="K72" s="127"/>
    </row>
    <row r="73" spans="2:11" x14ac:dyDescent="0.25">
      <c r="B73" s="121">
        <v>44870</v>
      </c>
      <c r="C73" s="122" t="str">
        <f t="shared" ref="C73:C136" si="7">RIGHT("0"&amp;MONTH(B73),2)&amp;"-"&amp;YEAR(B73)</f>
        <v>11-2022</v>
      </c>
      <c r="D73" s="123">
        <f t="shared" si="4"/>
        <v>23.771551773649755</v>
      </c>
      <c r="E73" s="123"/>
      <c r="F73" s="123"/>
      <c r="G73" s="123"/>
      <c r="H73" s="124">
        <f t="shared" si="6"/>
        <v>23.771551773649755</v>
      </c>
      <c r="I73" s="125"/>
      <c r="K73" s="127"/>
    </row>
    <row r="74" spans="2:11" x14ac:dyDescent="0.25">
      <c r="B74" s="121">
        <v>44871</v>
      </c>
      <c r="C74" s="122" t="str">
        <f t="shared" si="7"/>
        <v>11-2022</v>
      </c>
      <c r="D74" s="123">
        <f t="shared" ref="D74:D137" si="8">(1-$E$4)*D73</f>
        <v>23.753131842291715</v>
      </c>
      <c r="E74" s="123"/>
      <c r="F74" s="123"/>
      <c r="G74" s="123"/>
      <c r="H74" s="124">
        <f t="shared" si="6"/>
        <v>23.753131842291715</v>
      </c>
      <c r="I74" s="125"/>
      <c r="K74" s="127"/>
    </row>
    <row r="75" spans="2:11" x14ac:dyDescent="0.25">
      <c r="B75" s="121">
        <v>44872</v>
      </c>
      <c r="C75" s="122" t="str">
        <f t="shared" si="7"/>
        <v>11-2022</v>
      </c>
      <c r="D75" s="123">
        <f t="shared" si="8"/>
        <v>23.734726184039381</v>
      </c>
      <c r="E75" s="123"/>
      <c r="F75" s="123"/>
      <c r="G75" s="123"/>
      <c r="H75" s="124">
        <f t="shared" si="6"/>
        <v>23.734726184039381</v>
      </c>
      <c r="I75" s="125"/>
      <c r="K75" s="127"/>
    </row>
    <row r="76" spans="2:11" x14ac:dyDescent="0.25">
      <c r="B76" s="121">
        <v>44873</v>
      </c>
      <c r="C76" s="122" t="str">
        <f t="shared" si="7"/>
        <v>11-2022</v>
      </c>
      <c r="D76" s="123">
        <f t="shared" si="8"/>
        <v>23.71633478783291</v>
      </c>
      <c r="E76" s="123"/>
      <c r="F76" s="123"/>
      <c r="G76" s="123"/>
      <c r="H76" s="124">
        <f t="shared" si="6"/>
        <v>23.71633478783291</v>
      </c>
      <c r="I76" s="125"/>
      <c r="K76" s="127"/>
    </row>
    <row r="77" spans="2:11" x14ac:dyDescent="0.25">
      <c r="B77" s="121">
        <v>44874</v>
      </c>
      <c r="C77" s="122" t="str">
        <f t="shared" si="7"/>
        <v>11-2022</v>
      </c>
      <c r="D77" s="123">
        <f t="shared" si="8"/>
        <v>23.697957642621027</v>
      </c>
      <c r="E77" s="123"/>
      <c r="F77" s="123"/>
      <c r="G77" s="123"/>
      <c r="H77" s="124">
        <f t="shared" si="6"/>
        <v>23.697957642621027</v>
      </c>
      <c r="I77" s="125"/>
      <c r="K77" s="127"/>
    </row>
    <row r="78" spans="2:11" x14ac:dyDescent="0.25">
      <c r="B78" s="121">
        <v>44875</v>
      </c>
      <c r="C78" s="122" t="str">
        <f t="shared" si="7"/>
        <v>11-2022</v>
      </c>
      <c r="D78" s="123">
        <f t="shared" si="8"/>
        <v>23.679594737361022</v>
      </c>
      <c r="E78" s="123"/>
      <c r="F78" s="123"/>
      <c r="G78" s="123"/>
      <c r="H78" s="124">
        <f t="shared" si="6"/>
        <v>23.679594737361022</v>
      </c>
      <c r="I78" s="125"/>
      <c r="K78" s="127"/>
    </row>
    <row r="79" spans="2:11" x14ac:dyDescent="0.25">
      <c r="B79" s="121">
        <v>44876</v>
      </c>
      <c r="C79" s="122" t="str">
        <f t="shared" si="7"/>
        <v>11-2022</v>
      </c>
      <c r="D79" s="123">
        <f t="shared" si="8"/>
        <v>23.661246061018744</v>
      </c>
      <c r="E79" s="123"/>
      <c r="F79" s="123"/>
      <c r="G79" s="123"/>
      <c r="H79" s="124">
        <f t="shared" si="6"/>
        <v>23.661246061018744</v>
      </c>
      <c r="I79" s="125"/>
      <c r="K79" s="127"/>
    </row>
    <row r="80" spans="2:11" x14ac:dyDescent="0.25">
      <c r="B80" s="121">
        <v>44877</v>
      </c>
      <c r="C80" s="122" t="str">
        <f t="shared" si="7"/>
        <v>11-2022</v>
      </c>
      <c r="D80" s="123">
        <f t="shared" si="8"/>
        <v>23.642911602568592</v>
      </c>
      <c r="E80" s="123"/>
      <c r="F80" s="123"/>
      <c r="G80" s="123"/>
      <c r="H80" s="124">
        <f t="shared" si="6"/>
        <v>23.642911602568592</v>
      </c>
      <c r="I80" s="125"/>
      <c r="K80" s="127"/>
    </row>
    <row r="81" spans="2:11" x14ac:dyDescent="0.25">
      <c r="B81" s="121">
        <v>44878</v>
      </c>
      <c r="C81" s="122" t="str">
        <f t="shared" si="7"/>
        <v>11-2022</v>
      </c>
      <c r="D81" s="123">
        <f t="shared" si="8"/>
        <v>23.624591350993501</v>
      </c>
      <c r="E81" s="123"/>
      <c r="F81" s="123"/>
      <c r="G81" s="123"/>
      <c r="H81" s="124">
        <f t="shared" si="6"/>
        <v>23.624591350993501</v>
      </c>
      <c r="I81" s="125"/>
      <c r="K81" s="127"/>
    </row>
    <row r="82" spans="2:11" x14ac:dyDescent="0.25">
      <c r="B82" s="121">
        <v>44879</v>
      </c>
      <c r="C82" s="122" t="str">
        <f t="shared" si="7"/>
        <v>11-2022</v>
      </c>
      <c r="D82" s="123">
        <f t="shared" si="8"/>
        <v>23.606285295284955</v>
      </c>
      <c r="E82" s="123"/>
      <c r="F82" s="123"/>
      <c r="G82" s="123"/>
      <c r="H82" s="124">
        <f t="shared" si="6"/>
        <v>23.606285295284955</v>
      </c>
      <c r="I82" s="125"/>
      <c r="K82" s="127"/>
    </row>
    <row r="83" spans="2:11" x14ac:dyDescent="0.25">
      <c r="B83" s="121">
        <v>44880</v>
      </c>
      <c r="C83" s="122" t="str">
        <f t="shared" si="7"/>
        <v>11-2022</v>
      </c>
      <c r="D83" s="123">
        <f t="shared" si="8"/>
        <v>23.587993424442956</v>
      </c>
      <c r="E83" s="123"/>
      <c r="F83" s="123"/>
      <c r="G83" s="123"/>
      <c r="H83" s="124">
        <f t="shared" si="6"/>
        <v>23.587993424442956</v>
      </c>
      <c r="I83" s="125"/>
      <c r="K83" s="127"/>
    </row>
    <row r="84" spans="2:11" x14ac:dyDescent="0.25">
      <c r="B84" s="121">
        <v>44881</v>
      </c>
      <c r="C84" s="122" t="str">
        <f t="shared" si="7"/>
        <v>11-2022</v>
      </c>
      <c r="D84" s="123">
        <f t="shared" si="8"/>
        <v>23.569715727476041</v>
      </c>
      <c r="E84" s="123"/>
      <c r="F84" s="123"/>
      <c r="G84" s="123"/>
      <c r="H84" s="124">
        <f t="shared" si="6"/>
        <v>23.569715727476041</v>
      </c>
      <c r="I84" s="125"/>
      <c r="K84" s="127"/>
    </row>
    <row r="85" spans="2:11" x14ac:dyDescent="0.25">
      <c r="B85" s="121">
        <v>44882</v>
      </c>
      <c r="C85" s="122" t="str">
        <f t="shared" si="7"/>
        <v>11-2022</v>
      </c>
      <c r="D85" s="123">
        <f t="shared" si="8"/>
        <v>23.551452193401254</v>
      </c>
      <c r="E85" s="123"/>
      <c r="F85" s="123"/>
      <c r="G85" s="123"/>
      <c r="H85" s="124">
        <f t="shared" si="6"/>
        <v>23.551452193401254</v>
      </c>
      <c r="I85" s="125"/>
      <c r="K85" s="127"/>
    </row>
    <row r="86" spans="2:11" x14ac:dyDescent="0.25">
      <c r="B86" s="121">
        <v>44883</v>
      </c>
      <c r="C86" s="122" t="str">
        <f t="shared" si="7"/>
        <v>11-2022</v>
      </c>
      <c r="D86" s="123">
        <f t="shared" si="8"/>
        <v>23.533202811244156</v>
      </c>
      <c r="E86" s="123"/>
      <c r="F86" s="123"/>
      <c r="G86" s="123"/>
      <c r="H86" s="124">
        <f t="shared" si="6"/>
        <v>23.533202811244156</v>
      </c>
      <c r="I86" s="125"/>
      <c r="K86" s="127"/>
    </row>
    <row r="87" spans="2:11" x14ac:dyDescent="0.25">
      <c r="B87" s="121">
        <v>44884</v>
      </c>
      <c r="C87" s="122" t="str">
        <f t="shared" si="7"/>
        <v>11-2022</v>
      </c>
      <c r="D87" s="123">
        <f t="shared" si="8"/>
        <v>23.514967570038806</v>
      </c>
      <c r="E87" s="123"/>
      <c r="F87" s="123"/>
      <c r="G87" s="123"/>
      <c r="H87" s="124">
        <f t="shared" si="6"/>
        <v>23.514967570038806</v>
      </c>
      <c r="I87" s="125"/>
      <c r="K87" s="127"/>
    </row>
    <row r="88" spans="2:11" x14ac:dyDescent="0.25">
      <c r="B88" s="121">
        <v>44885</v>
      </c>
      <c r="C88" s="122" t="str">
        <f t="shared" si="7"/>
        <v>11-2022</v>
      </c>
      <c r="D88" s="123">
        <f t="shared" si="8"/>
        <v>23.496746458827765</v>
      </c>
      <c r="E88" s="123"/>
      <c r="F88" s="123"/>
      <c r="G88" s="123"/>
      <c r="H88" s="124">
        <f t="shared" si="6"/>
        <v>23.496746458827765</v>
      </c>
      <c r="I88" s="125"/>
      <c r="K88" s="127"/>
    </row>
    <row r="89" spans="2:11" x14ac:dyDescent="0.25">
      <c r="B89" s="121">
        <v>44886</v>
      </c>
      <c r="C89" s="122" t="str">
        <f t="shared" si="7"/>
        <v>11-2022</v>
      </c>
      <c r="D89" s="123">
        <f t="shared" si="8"/>
        <v>23.478539466662085</v>
      </c>
      <c r="E89" s="123"/>
      <c r="F89" s="123"/>
      <c r="G89" s="123"/>
      <c r="H89" s="124">
        <f t="shared" si="6"/>
        <v>23.478539466662085</v>
      </c>
      <c r="I89" s="125"/>
      <c r="K89" s="127"/>
    </row>
    <row r="90" spans="2:11" x14ac:dyDescent="0.25">
      <c r="B90" s="121">
        <v>44887</v>
      </c>
      <c r="C90" s="122" t="str">
        <f t="shared" si="7"/>
        <v>11-2022</v>
      </c>
      <c r="D90" s="123">
        <f t="shared" si="8"/>
        <v>23.4603465826013</v>
      </c>
      <c r="E90" s="123"/>
      <c r="F90" s="123"/>
      <c r="G90" s="123"/>
      <c r="H90" s="124">
        <f t="shared" si="6"/>
        <v>23.4603465826013</v>
      </c>
      <c r="I90" s="125"/>
      <c r="K90" s="127"/>
    </row>
    <row r="91" spans="2:11" x14ac:dyDescent="0.25">
      <c r="B91" s="121">
        <v>44888</v>
      </c>
      <c r="C91" s="122" t="str">
        <f t="shared" si="7"/>
        <v>11-2022</v>
      </c>
      <c r="D91" s="123">
        <f t="shared" si="8"/>
        <v>23.442167795713424</v>
      </c>
      <c r="E91" s="123"/>
      <c r="F91" s="123"/>
      <c r="G91" s="123"/>
      <c r="H91" s="124">
        <f t="shared" si="6"/>
        <v>23.442167795713424</v>
      </c>
      <c r="I91" s="125"/>
      <c r="K91" s="127"/>
    </row>
    <row r="92" spans="2:11" x14ac:dyDescent="0.25">
      <c r="B92" s="121">
        <v>44889</v>
      </c>
      <c r="C92" s="122" t="str">
        <f t="shared" si="7"/>
        <v>11-2022</v>
      </c>
      <c r="D92" s="123">
        <f t="shared" si="8"/>
        <v>23.424003095074934</v>
      </c>
      <c r="E92" s="123"/>
      <c r="F92" s="123"/>
      <c r="G92" s="123"/>
      <c r="H92" s="124">
        <f t="shared" si="6"/>
        <v>23.424003095074934</v>
      </c>
      <c r="I92" s="125"/>
      <c r="K92" s="127"/>
    </row>
    <row r="93" spans="2:11" x14ac:dyDescent="0.25">
      <c r="B93" s="121">
        <v>44890</v>
      </c>
      <c r="C93" s="122" t="str">
        <f t="shared" si="7"/>
        <v>11-2022</v>
      </c>
      <c r="D93" s="123">
        <f t="shared" si="8"/>
        <v>23.405852469770782</v>
      </c>
      <c r="E93" s="123"/>
      <c r="F93" s="123"/>
      <c r="G93" s="123"/>
      <c r="H93" s="124">
        <f t="shared" si="6"/>
        <v>23.405852469770782</v>
      </c>
      <c r="I93" s="125"/>
      <c r="K93" s="127"/>
    </row>
    <row r="94" spans="2:11" x14ac:dyDescent="0.25">
      <c r="B94" s="121">
        <v>44891</v>
      </c>
      <c r="C94" s="122" t="str">
        <f t="shared" si="7"/>
        <v>11-2022</v>
      </c>
      <c r="D94" s="123">
        <f t="shared" si="8"/>
        <v>23.387715908894368</v>
      </c>
      <c r="E94" s="123"/>
      <c r="F94" s="123"/>
      <c r="G94" s="123"/>
      <c r="H94" s="124">
        <f t="shared" si="6"/>
        <v>23.387715908894368</v>
      </c>
      <c r="I94" s="125"/>
      <c r="K94" s="127"/>
    </row>
    <row r="95" spans="2:11" x14ac:dyDescent="0.25">
      <c r="B95" s="121">
        <v>44892</v>
      </c>
      <c r="C95" s="122" t="str">
        <f t="shared" si="7"/>
        <v>11-2022</v>
      </c>
      <c r="D95" s="123">
        <f t="shared" si="8"/>
        <v>23.369593401547551</v>
      </c>
      <c r="E95" s="123"/>
      <c r="F95" s="123"/>
      <c r="G95" s="123"/>
      <c r="H95" s="124">
        <f t="shared" si="6"/>
        <v>23.369593401547551</v>
      </c>
      <c r="I95" s="125"/>
      <c r="K95" s="127"/>
    </row>
    <row r="96" spans="2:11" x14ac:dyDescent="0.25">
      <c r="B96" s="121">
        <v>44893</v>
      </c>
      <c r="C96" s="122" t="str">
        <f t="shared" si="7"/>
        <v>11-2022</v>
      </c>
      <c r="D96" s="123">
        <f t="shared" si="8"/>
        <v>23.351484936840635</v>
      </c>
      <c r="E96" s="123"/>
      <c r="F96" s="123"/>
      <c r="G96" s="123"/>
      <c r="H96" s="124">
        <f t="shared" si="6"/>
        <v>23.351484936840635</v>
      </c>
      <c r="I96" s="125"/>
      <c r="K96" s="127"/>
    </row>
    <row r="97" spans="2:11" x14ac:dyDescent="0.25">
      <c r="B97" s="121">
        <v>44894</v>
      </c>
      <c r="C97" s="122" t="str">
        <f t="shared" si="7"/>
        <v>11-2022</v>
      </c>
      <c r="D97" s="123">
        <f t="shared" si="8"/>
        <v>23.333390503892353</v>
      </c>
      <c r="E97" s="123"/>
      <c r="F97" s="123"/>
      <c r="G97" s="123"/>
      <c r="H97" s="124">
        <f t="shared" si="6"/>
        <v>23.333390503892353</v>
      </c>
      <c r="I97" s="125"/>
      <c r="K97" s="127"/>
    </row>
    <row r="98" spans="2:11" x14ac:dyDescent="0.25">
      <c r="B98" s="121">
        <v>44895</v>
      </c>
      <c r="C98" s="122" t="str">
        <f t="shared" si="7"/>
        <v>11-2022</v>
      </c>
      <c r="D98" s="123">
        <f t="shared" si="8"/>
        <v>23.315310091829879</v>
      </c>
      <c r="E98" s="123"/>
      <c r="F98" s="123"/>
      <c r="G98" s="123"/>
      <c r="H98" s="124">
        <f t="shared" si="6"/>
        <v>23.315310091829879</v>
      </c>
      <c r="I98" s="125"/>
      <c r="K98" s="127"/>
    </row>
    <row r="99" spans="2:11" x14ac:dyDescent="0.25">
      <c r="B99" s="121">
        <v>44896</v>
      </c>
      <c r="C99" s="122" t="str">
        <f t="shared" si="7"/>
        <v>12-2022</v>
      </c>
      <c r="D99" s="123">
        <f t="shared" si="8"/>
        <v>23.297243689788807</v>
      </c>
      <c r="E99" s="123"/>
      <c r="F99" s="123"/>
      <c r="G99" s="123"/>
      <c r="H99" s="124">
        <f t="shared" si="6"/>
        <v>23.297243689788807</v>
      </c>
      <c r="I99" s="125"/>
      <c r="K99" s="127"/>
    </row>
    <row r="100" spans="2:11" x14ac:dyDescent="0.25">
      <c r="B100" s="121">
        <v>44897</v>
      </c>
      <c r="C100" s="122" t="str">
        <f t="shared" si="7"/>
        <v>12-2022</v>
      </c>
      <c r="D100" s="123">
        <f t="shared" si="8"/>
        <v>23.27919128691315</v>
      </c>
      <c r="E100" s="123"/>
      <c r="F100" s="123"/>
      <c r="G100" s="123"/>
      <c r="H100" s="124">
        <f t="shared" si="6"/>
        <v>23.27919128691315</v>
      </c>
      <c r="I100" s="125"/>
      <c r="K100" s="127"/>
    </row>
    <row r="101" spans="2:11" x14ac:dyDescent="0.25">
      <c r="B101" s="121">
        <v>44898</v>
      </c>
      <c r="C101" s="122" t="str">
        <f t="shared" si="7"/>
        <v>12-2022</v>
      </c>
      <c r="D101" s="123">
        <f t="shared" si="8"/>
        <v>23.261152872355336</v>
      </c>
      <c r="E101" s="123"/>
      <c r="F101" s="123"/>
      <c r="G101" s="123"/>
      <c r="H101" s="124">
        <f t="shared" si="6"/>
        <v>23.261152872355336</v>
      </c>
      <c r="I101" s="125"/>
      <c r="K101" s="127"/>
    </row>
    <row r="102" spans="2:11" x14ac:dyDescent="0.25">
      <c r="B102" s="121">
        <v>44899</v>
      </c>
      <c r="C102" s="122" t="str">
        <f t="shared" si="7"/>
        <v>12-2022</v>
      </c>
      <c r="D102" s="123">
        <f t="shared" si="8"/>
        <v>23.243128435276198</v>
      </c>
      <c r="E102" s="123"/>
      <c r="F102" s="123"/>
      <c r="G102" s="123"/>
      <c r="H102" s="124">
        <f t="shared" si="6"/>
        <v>23.243128435276198</v>
      </c>
      <c r="I102" s="125"/>
      <c r="K102" s="127"/>
    </row>
    <row r="103" spans="2:11" x14ac:dyDescent="0.25">
      <c r="B103" s="121">
        <v>44900</v>
      </c>
      <c r="C103" s="122" t="str">
        <f t="shared" si="7"/>
        <v>12-2022</v>
      </c>
      <c r="D103" s="123">
        <f t="shared" si="8"/>
        <v>23.225117964844962</v>
      </c>
      <c r="E103" s="123"/>
      <c r="F103" s="123"/>
      <c r="G103" s="123"/>
      <c r="H103" s="124">
        <f t="shared" si="6"/>
        <v>23.225117964844962</v>
      </c>
      <c r="I103" s="125"/>
      <c r="K103" s="127"/>
    </row>
    <row r="104" spans="2:11" x14ac:dyDescent="0.25">
      <c r="B104" s="121">
        <v>44901</v>
      </c>
      <c r="C104" s="122" t="str">
        <f t="shared" si="7"/>
        <v>12-2022</v>
      </c>
      <c r="D104" s="123">
        <f t="shared" si="8"/>
        <v>23.207121450239253</v>
      </c>
      <c r="E104" s="123"/>
      <c r="F104" s="123"/>
      <c r="G104" s="123"/>
      <c r="H104" s="124">
        <f t="shared" si="6"/>
        <v>23.207121450239253</v>
      </c>
      <c r="I104" s="125"/>
      <c r="K104" s="127"/>
    </row>
    <row r="105" spans="2:11" x14ac:dyDescent="0.25">
      <c r="B105" s="121">
        <v>44902</v>
      </c>
      <c r="C105" s="122" t="str">
        <f t="shared" si="7"/>
        <v>12-2022</v>
      </c>
      <c r="D105" s="123">
        <f t="shared" si="8"/>
        <v>23.189138880645082</v>
      </c>
      <c r="E105" s="123"/>
      <c r="F105" s="123"/>
      <c r="G105" s="123"/>
      <c r="H105" s="124">
        <f t="shared" si="6"/>
        <v>23.189138880645082</v>
      </c>
      <c r="I105" s="125"/>
      <c r="K105" s="127"/>
    </row>
    <row r="106" spans="2:11" x14ac:dyDescent="0.25">
      <c r="B106" s="121">
        <v>44903</v>
      </c>
      <c r="C106" s="122" t="str">
        <f t="shared" si="7"/>
        <v>12-2022</v>
      </c>
      <c r="D106" s="123">
        <f t="shared" si="8"/>
        <v>23.171170245256835</v>
      </c>
      <c r="E106" s="123"/>
      <c r="F106" s="123"/>
      <c r="G106" s="123"/>
      <c r="H106" s="124">
        <f t="shared" si="6"/>
        <v>23.171170245256835</v>
      </c>
      <c r="I106" s="125"/>
      <c r="K106" s="127"/>
    </row>
    <row r="107" spans="2:11" x14ac:dyDescent="0.25">
      <c r="B107" s="121">
        <v>44904</v>
      </c>
      <c r="C107" s="122" t="str">
        <f t="shared" si="7"/>
        <v>12-2022</v>
      </c>
      <c r="D107" s="123">
        <f t="shared" si="8"/>
        <v>23.153215533277276</v>
      </c>
      <c r="E107" s="123"/>
      <c r="F107" s="123"/>
      <c r="G107" s="123"/>
      <c r="H107" s="124">
        <f t="shared" si="6"/>
        <v>23.153215533277276</v>
      </c>
      <c r="I107" s="125"/>
      <c r="K107" s="127"/>
    </row>
    <row r="108" spans="2:11" x14ac:dyDescent="0.25">
      <c r="B108" s="121">
        <v>44905</v>
      </c>
      <c r="C108" s="122" t="str">
        <f t="shared" si="7"/>
        <v>12-2022</v>
      </c>
      <c r="D108" s="123">
        <f t="shared" si="8"/>
        <v>23.13527473391753</v>
      </c>
      <c r="E108" s="123"/>
      <c r="F108" s="123"/>
      <c r="G108" s="123"/>
      <c r="H108" s="124">
        <f t="shared" si="6"/>
        <v>23.13527473391753</v>
      </c>
      <c r="I108" s="125"/>
      <c r="K108" s="127"/>
    </row>
    <row r="109" spans="2:11" x14ac:dyDescent="0.25">
      <c r="B109" s="121">
        <v>44906</v>
      </c>
      <c r="C109" s="122" t="str">
        <f t="shared" si="7"/>
        <v>12-2022</v>
      </c>
      <c r="D109" s="123">
        <f t="shared" si="8"/>
        <v>23.117347836397087</v>
      </c>
      <c r="E109" s="123"/>
      <c r="F109" s="123"/>
      <c r="G109" s="123"/>
      <c r="H109" s="124">
        <f t="shared" si="6"/>
        <v>23.117347836397087</v>
      </c>
      <c r="I109" s="125"/>
      <c r="K109" s="127"/>
    </row>
    <row r="110" spans="2:11" x14ac:dyDescent="0.25">
      <c r="B110" s="121">
        <v>44907</v>
      </c>
      <c r="C110" s="122" t="str">
        <f t="shared" si="7"/>
        <v>12-2022</v>
      </c>
      <c r="D110" s="123">
        <f t="shared" si="8"/>
        <v>23.099434829943785</v>
      </c>
      <c r="E110" s="123"/>
      <c r="F110" s="123"/>
      <c r="G110" s="123"/>
      <c r="H110" s="124">
        <f t="shared" si="6"/>
        <v>23.099434829943785</v>
      </c>
      <c r="I110" s="125"/>
      <c r="K110" s="127"/>
    </row>
    <row r="111" spans="2:11" x14ac:dyDescent="0.25">
      <c r="B111" s="121">
        <v>44908</v>
      </c>
      <c r="C111" s="122" t="str">
        <f t="shared" si="7"/>
        <v>12-2022</v>
      </c>
      <c r="D111" s="123">
        <f t="shared" si="8"/>
        <v>23.081535703793815</v>
      </c>
      <c r="E111" s="123"/>
      <c r="F111" s="123"/>
      <c r="G111" s="123"/>
      <c r="H111" s="124">
        <f t="shared" si="6"/>
        <v>23.081535703793815</v>
      </c>
      <c r="I111" s="125"/>
      <c r="K111" s="127"/>
    </row>
    <row r="112" spans="2:11" x14ac:dyDescent="0.25">
      <c r="B112" s="121">
        <v>44909</v>
      </c>
      <c r="C112" s="122" t="str">
        <f t="shared" si="7"/>
        <v>12-2022</v>
      </c>
      <c r="D112" s="123">
        <f t="shared" si="8"/>
        <v>23.063650447191705</v>
      </c>
      <c r="E112" s="123"/>
      <c r="F112" s="123"/>
      <c r="G112" s="123"/>
      <c r="H112" s="124">
        <f t="shared" si="6"/>
        <v>23.063650447191705</v>
      </c>
      <c r="I112" s="125"/>
      <c r="K112" s="127"/>
    </row>
    <row r="113" spans="2:11" x14ac:dyDescent="0.25">
      <c r="B113" s="121">
        <v>44910</v>
      </c>
      <c r="C113" s="122" t="str">
        <f t="shared" si="7"/>
        <v>12-2022</v>
      </c>
      <c r="D113" s="123">
        <f t="shared" si="8"/>
        <v>23.045779049390323</v>
      </c>
      <c r="E113" s="123"/>
      <c r="F113" s="123"/>
      <c r="G113" s="123"/>
      <c r="H113" s="124">
        <f t="shared" si="6"/>
        <v>23.045779049390323</v>
      </c>
      <c r="I113" s="125"/>
      <c r="K113" s="127"/>
    </row>
    <row r="114" spans="2:11" x14ac:dyDescent="0.25">
      <c r="B114" s="121">
        <v>44911</v>
      </c>
      <c r="C114" s="122" t="str">
        <f t="shared" si="7"/>
        <v>12-2022</v>
      </c>
      <c r="D114" s="123">
        <f t="shared" si="8"/>
        <v>23.027921499650851</v>
      </c>
      <c r="E114" s="123"/>
      <c r="F114" s="123"/>
      <c r="G114" s="123"/>
      <c r="H114" s="124">
        <f t="shared" si="6"/>
        <v>23.027921499650851</v>
      </c>
      <c r="I114" s="125"/>
      <c r="K114" s="127"/>
    </row>
    <row r="115" spans="2:11" x14ac:dyDescent="0.25">
      <c r="B115" s="121">
        <v>44912</v>
      </c>
      <c r="C115" s="122" t="str">
        <f t="shared" si="7"/>
        <v>12-2022</v>
      </c>
      <c r="D115" s="123">
        <f t="shared" si="8"/>
        <v>23.01007778724281</v>
      </c>
      <c r="E115" s="123"/>
      <c r="F115" s="123"/>
      <c r="G115" s="123"/>
      <c r="H115" s="124">
        <f t="shared" si="6"/>
        <v>23.01007778724281</v>
      </c>
      <c r="I115" s="125"/>
      <c r="K115" s="127"/>
    </row>
    <row r="116" spans="2:11" x14ac:dyDescent="0.25">
      <c r="B116" s="121">
        <v>44913</v>
      </c>
      <c r="C116" s="122" t="str">
        <f t="shared" si="7"/>
        <v>12-2022</v>
      </c>
      <c r="D116" s="123">
        <f t="shared" si="8"/>
        <v>22.992247901444021</v>
      </c>
      <c r="E116" s="123"/>
      <c r="F116" s="123"/>
      <c r="G116" s="123"/>
      <c r="H116" s="124">
        <f t="shared" si="6"/>
        <v>22.992247901444021</v>
      </c>
      <c r="I116" s="125"/>
      <c r="K116" s="127"/>
    </row>
    <row r="117" spans="2:11" x14ac:dyDescent="0.25">
      <c r="B117" s="121">
        <v>44914</v>
      </c>
      <c r="C117" s="122" t="str">
        <f t="shared" si="7"/>
        <v>12-2022</v>
      </c>
      <c r="D117" s="123">
        <f t="shared" si="8"/>
        <v>22.97443183154062</v>
      </c>
      <c r="E117" s="123"/>
      <c r="F117" s="123"/>
      <c r="G117" s="123"/>
      <c r="H117" s="124">
        <f t="shared" si="6"/>
        <v>22.97443183154062</v>
      </c>
      <c r="I117" s="125"/>
      <c r="K117" s="127"/>
    </row>
    <row r="118" spans="2:11" x14ac:dyDescent="0.25">
      <c r="B118" s="121">
        <v>44915</v>
      </c>
      <c r="C118" s="122" t="str">
        <f t="shared" si="7"/>
        <v>12-2022</v>
      </c>
      <c r="D118" s="123">
        <f t="shared" si="8"/>
        <v>22.956629566827047</v>
      </c>
      <c r="E118" s="123"/>
      <c r="F118" s="123"/>
      <c r="G118" s="123"/>
      <c r="H118" s="124">
        <f t="shared" si="6"/>
        <v>22.956629566827047</v>
      </c>
      <c r="I118" s="125"/>
      <c r="K118" s="127"/>
    </row>
    <row r="119" spans="2:11" x14ac:dyDescent="0.25">
      <c r="B119" s="121">
        <v>44916</v>
      </c>
      <c r="C119" s="122" t="str">
        <f t="shared" si="7"/>
        <v>12-2022</v>
      </c>
      <c r="D119" s="123">
        <f t="shared" si="8"/>
        <v>22.93884109660603</v>
      </c>
      <c r="E119" s="123"/>
      <c r="F119" s="123"/>
      <c r="G119" s="123"/>
      <c r="H119" s="124">
        <f t="shared" si="6"/>
        <v>22.93884109660603</v>
      </c>
      <c r="I119" s="125"/>
      <c r="K119" s="127"/>
    </row>
    <row r="120" spans="2:11" x14ac:dyDescent="0.25">
      <c r="B120" s="121">
        <v>44917</v>
      </c>
      <c r="C120" s="122" t="str">
        <f t="shared" si="7"/>
        <v>12-2022</v>
      </c>
      <c r="D120" s="123">
        <f t="shared" si="8"/>
        <v>22.921066410188594</v>
      </c>
      <c r="E120" s="123"/>
      <c r="F120" s="123"/>
      <c r="G120" s="123"/>
      <c r="H120" s="124">
        <f t="shared" si="6"/>
        <v>22.921066410188594</v>
      </c>
      <c r="I120" s="125"/>
      <c r="K120" s="127"/>
    </row>
    <row r="121" spans="2:11" x14ac:dyDescent="0.25">
      <c r="B121" s="121">
        <v>44918</v>
      </c>
      <c r="C121" s="122" t="str">
        <f t="shared" si="7"/>
        <v>12-2022</v>
      </c>
      <c r="D121" s="123">
        <f t="shared" si="8"/>
        <v>22.903305496894042</v>
      </c>
      <c r="E121" s="123"/>
      <c r="F121" s="123"/>
      <c r="G121" s="123"/>
      <c r="H121" s="124">
        <f t="shared" si="6"/>
        <v>22.903305496894042</v>
      </c>
      <c r="I121" s="125"/>
      <c r="K121" s="127"/>
    </row>
    <row r="122" spans="2:11" x14ac:dyDescent="0.25">
      <c r="B122" s="121">
        <v>44919</v>
      </c>
      <c r="C122" s="122" t="str">
        <f t="shared" si="7"/>
        <v>12-2022</v>
      </c>
      <c r="D122" s="123">
        <f t="shared" si="8"/>
        <v>22.885558346049955</v>
      </c>
      <c r="E122" s="123"/>
      <c r="F122" s="123"/>
      <c r="G122" s="123"/>
      <c r="H122" s="124">
        <f t="shared" si="6"/>
        <v>22.885558346049955</v>
      </c>
      <c r="I122" s="125"/>
      <c r="K122" s="127"/>
    </row>
    <row r="123" spans="2:11" x14ac:dyDescent="0.25">
      <c r="B123" s="121">
        <v>44920</v>
      </c>
      <c r="C123" s="122" t="str">
        <f t="shared" si="7"/>
        <v>12-2022</v>
      </c>
      <c r="D123" s="123">
        <f t="shared" si="8"/>
        <v>22.867824946992179</v>
      </c>
      <c r="E123" s="123"/>
      <c r="F123" s="123"/>
      <c r="G123" s="123"/>
      <c r="H123" s="124">
        <f t="shared" si="6"/>
        <v>22.867824946992179</v>
      </c>
      <c r="I123" s="125"/>
      <c r="K123" s="127"/>
    </row>
    <row r="124" spans="2:11" x14ac:dyDescent="0.25">
      <c r="B124" s="121">
        <v>44921</v>
      </c>
      <c r="C124" s="122" t="str">
        <f t="shared" si="7"/>
        <v>12-2022</v>
      </c>
      <c r="D124" s="123">
        <f t="shared" si="8"/>
        <v>22.850105289064835</v>
      </c>
      <c r="E124" s="123"/>
      <c r="F124" s="123"/>
      <c r="G124" s="123"/>
      <c r="H124" s="124">
        <f t="shared" si="6"/>
        <v>22.850105289064835</v>
      </c>
      <c r="I124" s="125"/>
      <c r="K124" s="127"/>
    </row>
    <row r="125" spans="2:11" x14ac:dyDescent="0.25">
      <c r="B125" s="121">
        <v>44922</v>
      </c>
      <c r="C125" s="122" t="str">
        <f t="shared" si="7"/>
        <v>12-2022</v>
      </c>
      <c r="D125" s="123">
        <f t="shared" si="8"/>
        <v>22.832399361620286</v>
      </c>
      <c r="E125" s="123"/>
      <c r="F125" s="123"/>
      <c r="G125" s="123"/>
      <c r="H125" s="124">
        <f t="shared" si="6"/>
        <v>22.832399361620286</v>
      </c>
      <c r="I125" s="125"/>
      <c r="K125" s="127"/>
    </row>
    <row r="126" spans="2:11" x14ac:dyDescent="0.25">
      <c r="B126" s="121">
        <v>44923</v>
      </c>
      <c r="C126" s="122" t="str">
        <f t="shared" si="7"/>
        <v>12-2022</v>
      </c>
      <c r="D126" s="123">
        <f t="shared" si="8"/>
        <v>22.814707154019157</v>
      </c>
      <c r="E126" s="123"/>
      <c r="F126" s="123"/>
      <c r="G126" s="123"/>
      <c r="H126" s="124">
        <f t="shared" si="6"/>
        <v>22.814707154019157</v>
      </c>
      <c r="I126" s="125"/>
      <c r="K126" s="127"/>
    </row>
    <row r="127" spans="2:11" x14ac:dyDescent="0.25">
      <c r="B127" s="121">
        <v>44924</v>
      </c>
      <c r="C127" s="122" t="str">
        <f t="shared" si="7"/>
        <v>12-2022</v>
      </c>
      <c r="D127" s="123">
        <f t="shared" si="8"/>
        <v>22.79702865563031</v>
      </c>
      <c r="E127" s="123"/>
      <c r="F127" s="123"/>
      <c r="G127" s="123"/>
      <c r="H127" s="124">
        <f t="shared" si="6"/>
        <v>22.79702865563031</v>
      </c>
      <c r="I127" s="125"/>
      <c r="K127" s="127"/>
    </row>
    <row r="128" spans="2:11" x14ac:dyDescent="0.25">
      <c r="B128" s="121">
        <v>44925</v>
      </c>
      <c r="C128" s="122" t="str">
        <f t="shared" si="7"/>
        <v>12-2022</v>
      </c>
      <c r="D128" s="123">
        <f t="shared" si="8"/>
        <v>22.779363855830852</v>
      </c>
      <c r="E128" s="123"/>
      <c r="F128" s="123"/>
      <c r="G128" s="123"/>
      <c r="H128" s="124">
        <f t="shared" si="6"/>
        <v>22.779363855830852</v>
      </c>
      <c r="I128" s="125"/>
      <c r="K128" s="127"/>
    </row>
    <row r="129" spans="2:12" x14ac:dyDescent="0.25">
      <c r="B129" s="121">
        <v>44926</v>
      </c>
      <c r="C129" s="122" t="str">
        <f t="shared" si="7"/>
        <v>12-2022</v>
      </c>
      <c r="D129" s="123">
        <f t="shared" si="8"/>
        <v>22.761712744006115</v>
      </c>
      <c r="E129" s="128"/>
      <c r="F129" s="128"/>
      <c r="G129" s="128"/>
      <c r="H129" s="124">
        <f t="shared" si="6"/>
        <v>22.761712744006115</v>
      </c>
      <c r="I129" s="125"/>
      <c r="J129" s="129"/>
      <c r="K129" s="127"/>
      <c r="L129" s="129"/>
    </row>
    <row r="130" spans="2:12" x14ac:dyDescent="0.25">
      <c r="B130" s="121">
        <v>44927</v>
      </c>
      <c r="C130" s="122" t="str">
        <f t="shared" si="7"/>
        <v>01-2023</v>
      </c>
      <c r="D130" s="123">
        <f t="shared" si="8"/>
        <v>22.744075309549658</v>
      </c>
      <c r="E130" s="123"/>
      <c r="F130" s="123"/>
      <c r="G130" s="123"/>
      <c r="H130" s="124">
        <f t="shared" si="6"/>
        <v>22.744075309549658</v>
      </c>
      <c r="I130" s="125"/>
      <c r="K130" s="127"/>
    </row>
    <row r="131" spans="2:12" x14ac:dyDescent="0.25">
      <c r="B131" s="121">
        <v>44928</v>
      </c>
      <c r="C131" s="122" t="str">
        <f t="shared" si="7"/>
        <v>01-2023</v>
      </c>
      <c r="D131" s="123">
        <f t="shared" si="8"/>
        <v>22.726451541863259</v>
      </c>
      <c r="E131" s="123"/>
      <c r="F131" s="123"/>
      <c r="G131" s="123"/>
      <c r="H131" s="124">
        <f t="shared" si="6"/>
        <v>22.726451541863259</v>
      </c>
      <c r="I131" s="125"/>
      <c r="K131" s="127"/>
    </row>
    <row r="132" spans="2:12" x14ac:dyDescent="0.25">
      <c r="B132" s="121">
        <v>44929</v>
      </c>
      <c r="C132" s="122" t="str">
        <f t="shared" si="7"/>
        <v>01-2023</v>
      </c>
      <c r="D132" s="123">
        <f t="shared" si="8"/>
        <v>22.708841430356909</v>
      </c>
      <c r="E132" s="123"/>
      <c r="F132" s="123"/>
      <c r="G132" s="123"/>
      <c r="H132" s="124">
        <f t="shared" si="6"/>
        <v>22.708841430356909</v>
      </c>
      <c r="I132" s="125"/>
      <c r="K132" s="127"/>
    </row>
    <row r="133" spans="2:12" x14ac:dyDescent="0.25">
      <c r="B133" s="121">
        <v>44930</v>
      </c>
      <c r="C133" s="122" t="str">
        <f t="shared" si="7"/>
        <v>01-2023</v>
      </c>
      <c r="D133" s="123">
        <f t="shared" si="8"/>
        <v>22.691244964448803</v>
      </c>
      <c r="E133" s="123"/>
      <c r="F133" s="123"/>
      <c r="G133" s="123"/>
      <c r="H133" s="124">
        <f t="shared" si="6"/>
        <v>22.691244964448803</v>
      </c>
      <c r="I133" s="125"/>
      <c r="K133" s="127"/>
    </row>
    <row r="134" spans="2:12" x14ac:dyDescent="0.25">
      <c r="B134" s="121">
        <v>44931</v>
      </c>
      <c r="C134" s="122" t="str">
        <f t="shared" si="7"/>
        <v>01-2023</v>
      </c>
      <c r="D134" s="123">
        <f t="shared" si="8"/>
        <v>22.673662133565337</v>
      </c>
      <c r="E134" s="123"/>
      <c r="F134" s="123"/>
      <c r="G134" s="123"/>
      <c r="H134" s="124">
        <f t="shared" si="6"/>
        <v>22.673662133565337</v>
      </c>
      <c r="I134" s="125"/>
      <c r="K134" s="127"/>
    </row>
    <row r="135" spans="2:12" x14ac:dyDescent="0.25">
      <c r="B135" s="121">
        <v>44932</v>
      </c>
      <c r="C135" s="122" t="str">
        <f t="shared" si="7"/>
        <v>01-2023</v>
      </c>
      <c r="D135" s="123">
        <f t="shared" si="8"/>
        <v>22.656092927141103</v>
      </c>
      <c r="E135" s="123"/>
      <c r="F135" s="123"/>
      <c r="G135" s="123"/>
      <c r="H135" s="124">
        <f t="shared" si="6"/>
        <v>22.656092927141103</v>
      </c>
      <c r="I135" s="125"/>
      <c r="K135" s="127"/>
    </row>
    <row r="136" spans="2:12" x14ac:dyDescent="0.25">
      <c r="B136" s="121">
        <v>44933</v>
      </c>
      <c r="C136" s="122" t="str">
        <f t="shared" si="7"/>
        <v>01-2023</v>
      </c>
      <c r="D136" s="123">
        <f t="shared" si="8"/>
        <v>22.638537334618871</v>
      </c>
      <c r="E136" s="123"/>
      <c r="F136" s="123"/>
      <c r="G136" s="123"/>
      <c r="H136" s="124">
        <f t="shared" ref="H136:H199" si="9">SUM(D136:G136)</f>
        <v>22.638537334618871</v>
      </c>
      <c r="I136" s="125"/>
      <c r="K136" s="127"/>
    </row>
    <row r="137" spans="2:12" x14ac:dyDescent="0.25">
      <c r="B137" s="121">
        <v>44934</v>
      </c>
      <c r="C137" s="122" t="str">
        <f t="shared" ref="C137:C200" si="10">RIGHT("0"&amp;MONTH(B137),2)&amp;"-"&amp;YEAR(B137)</f>
        <v>01-2023</v>
      </c>
      <c r="D137" s="123">
        <f t="shared" si="8"/>
        <v>22.6209953454496</v>
      </c>
      <c r="E137" s="123"/>
      <c r="F137" s="123"/>
      <c r="G137" s="123"/>
      <c r="H137" s="124">
        <f t="shared" si="9"/>
        <v>22.6209953454496</v>
      </c>
      <c r="I137" s="125"/>
      <c r="K137" s="127"/>
    </row>
    <row r="138" spans="2:12" x14ac:dyDescent="0.25">
      <c r="B138" s="121">
        <v>44935</v>
      </c>
      <c r="C138" s="122" t="str">
        <f t="shared" si="10"/>
        <v>01-2023</v>
      </c>
      <c r="D138" s="123">
        <f t="shared" ref="D138:D201" si="11">(1-$E$4)*D137</f>
        <v>22.603466949092422</v>
      </c>
      <c r="E138" s="123"/>
      <c r="F138" s="123"/>
      <c r="G138" s="123"/>
      <c r="H138" s="124">
        <f t="shared" si="9"/>
        <v>22.603466949092422</v>
      </c>
      <c r="I138" s="125"/>
      <c r="K138" s="127"/>
    </row>
    <row r="139" spans="2:12" x14ac:dyDescent="0.25">
      <c r="B139" s="121">
        <v>44936</v>
      </c>
      <c r="C139" s="122" t="str">
        <f t="shared" si="10"/>
        <v>01-2023</v>
      </c>
      <c r="D139" s="123">
        <f t="shared" si="11"/>
        <v>22.585952135014633</v>
      </c>
      <c r="E139" s="123"/>
      <c r="F139" s="123"/>
      <c r="G139" s="123"/>
      <c r="H139" s="124">
        <f t="shared" si="9"/>
        <v>22.585952135014633</v>
      </c>
      <c r="I139" s="125"/>
      <c r="K139" s="127"/>
    </row>
    <row r="140" spans="2:12" x14ac:dyDescent="0.25">
      <c r="B140" s="121">
        <v>44937</v>
      </c>
      <c r="C140" s="122" t="str">
        <f t="shared" si="10"/>
        <v>01-2023</v>
      </c>
      <c r="D140" s="123">
        <f t="shared" si="11"/>
        <v>22.568450892691693</v>
      </c>
      <c r="E140" s="123"/>
      <c r="F140" s="123"/>
      <c r="G140" s="123"/>
      <c r="H140" s="124">
        <f t="shared" si="9"/>
        <v>22.568450892691693</v>
      </c>
      <c r="I140" s="125"/>
      <c r="K140" s="127"/>
    </row>
    <row r="141" spans="2:12" x14ac:dyDescent="0.25">
      <c r="B141" s="121">
        <v>44938</v>
      </c>
      <c r="C141" s="122" t="str">
        <f t="shared" si="10"/>
        <v>01-2023</v>
      </c>
      <c r="D141" s="123">
        <f t="shared" si="11"/>
        <v>22.550963211607218</v>
      </c>
      <c r="E141" s="123"/>
      <c r="F141" s="123"/>
      <c r="G141" s="123"/>
      <c r="H141" s="124">
        <f t="shared" si="9"/>
        <v>22.550963211607218</v>
      </c>
      <c r="I141" s="125"/>
      <c r="K141" s="127"/>
    </row>
    <row r="142" spans="2:12" x14ac:dyDescent="0.25">
      <c r="B142" s="121">
        <v>44939</v>
      </c>
      <c r="C142" s="122" t="str">
        <f t="shared" si="10"/>
        <v>01-2023</v>
      </c>
      <c r="D142" s="123">
        <f t="shared" si="11"/>
        <v>22.53348908125297</v>
      </c>
      <c r="E142" s="123"/>
      <c r="F142" s="123"/>
      <c r="G142" s="123"/>
      <c r="H142" s="124">
        <f t="shared" si="9"/>
        <v>22.53348908125297</v>
      </c>
      <c r="I142" s="125"/>
      <c r="K142" s="127"/>
    </row>
    <row r="143" spans="2:12" x14ac:dyDescent="0.25">
      <c r="B143" s="121">
        <v>44940</v>
      </c>
      <c r="C143" s="122" t="str">
        <f t="shared" si="10"/>
        <v>01-2023</v>
      </c>
      <c r="D143" s="123">
        <f t="shared" si="11"/>
        <v>22.516028491128857</v>
      </c>
      <c r="E143" s="123"/>
      <c r="F143" s="123"/>
      <c r="G143" s="123"/>
      <c r="H143" s="124">
        <f t="shared" si="9"/>
        <v>22.516028491128857</v>
      </c>
      <c r="I143" s="125"/>
      <c r="K143" s="127"/>
    </row>
    <row r="144" spans="2:12" x14ac:dyDescent="0.25">
      <c r="B144" s="121">
        <v>44941</v>
      </c>
      <c r="C144" s="122" t="str">
        <f t="shared" si="10"/>
        <v>01-2023</v>
      </c>
      <c r="D144" s="123">
        <f t="shared" si="11"/>
        <v>22.49858143074292</v>
      </c>
      <c r="E144" s="123"/>
      <c r="F144" s="123"/>
      <c r="G144" s="123"/>
      <c r="H144" s="124">
        <f t="shared" si="9"/>
        <v>22.49858143074292</v>
      </c>
      <c r="I144" s="125"/>
      <c r="K144" s="127"/>
    </row>
    <row r="145" spans="2:11" x14ac:dyDescent="0.25">
      <c r="B145" s="121">
        <v>44942</v>
      </c>
      <c r="C145" s="122" t="str">
        <f t="shared" si="10"/>
        <v>01-2023</v>
      </c>
      <c r="D145" s="123">
        <f t="shared" si="11"/>
        <v>22.481147889611336</v>
      </c>
      <c r="E145" s="123"/>
      <c r="F145" s="123"/>
      <c r="G145" s="123"/>
      <c r="H145" s="124">
        <f t="shared" si="9"/>
        <v>22.481147889611336</v>
      </c>
      <c r="I145" s="125"/>
      <c r="K145" s="127"/>
    </row>
    <row r="146" spans="2:11" x14ac:dyDescent="0.25">
      <c r="B146" s="121">
        <v>44943</v>
      </c>
      <c r="C146" s="122" t="str">
        <f t="shared" si="10"/>
        <v>01-2023</v>
      </c>
      <c r="D146" s="123">
        <f t="shared" si="11"/>
        <v>22.463727857258394</v>
      </c>
      <c r="E146" s="123"/>
      <c r="F146" s="123"/>
      <c r="G146" s="123"/>
      <c r="H146" s="124">
        <f t="shared" si="9"/>
        <v>22.463727857258394</v>
      </c>
      <c r="I146" s="125"/>
      <c r="K146" s="127"/>
    </row>
    <row r="147" spans="2:11" x14ac:dyDescent="0.25">
      <c r="B147" s="121">
        <v>44944</v>
      </c>
      <c r="C147" s="122" t="str">
        <f t="shared" si="10"/>
        <v>01-2023</v>
      </c>
      <c r="D147" s="123">
        <f t="shared" si="11"/>
        <v>22.446321323216512</v>
      </c>
      <c r="E147" s="123"/>
      <c r="F147" s="123"/>
      <c r="G147" s="123"/>
      <c r="H147" s="124">
        <f t="shared" si="9"/>
        <v>22.446321323216512</v>
      </c>
      <c r="I147" s="125"/>
      <c r="K147" s="127"/>
    </row>
    <row r="148" spans="2:11" x14ac:dyDescent="0.25">
      <c r="B148" s="121">
        <v>44945</v>
      </c>
      <c r="C148" s="122" t="str">
        <f t="shared" si="10"/>
        <v>01-2023</v>
      </c>
      <c r="D148" s="123">
        <f t="shared" si="11"/>
        <v>22.428928277026213</v>
      </c>
      <c r="E148" s="123"/>
      <c r="F148" s="123"/>
      <c r="G148" s="123"/>
      <c r="H148" s="124">
        <f t="shared" si="9"/>
        <v>22.428928277026213</v>
      </c>
      <c r="I148" s="125"/>
      <c r="K148" s="127"/>
    </row>
    <row r="149" spans="2:11" x14ac:dyDescent="0.25">
      <c r="B149" s="121">
        <v>44946</v>
      </c>
      <c r="C149" s="122" t="str">
        <f t="shared" si="10"/>
        <v>01-2023</v>
      </c>
      <c r="D149" s="123">
        <f t="shared" si="11"/>
        <v>22.411548708236129</v>
      </c>
      <c r="E149" s="123"/>
      <c r="F149" s="123"/>
      <c r="G149" s="123"/>
      <c r="H149" s="124">
        <f t="shared" si="9"/>
        <v>22.411548708236129</v>
      </c>
      <c r="I149" s="125"/>
      <c r="K149" s="127"/>
    </row>
    <row r="150" spans="2:11" x14ac:dyDescent="0.25">
      <c r="B150" s="121">
        <v>44947</v>
      </c>
      <c r="C150" s="122" t="str">
        <f t="shared" si="10"/>
        <v>01-2023</v>
      </c>
      <c r="D150" s="123">
        <f t="shared" si="11"/>
        <v>22.394182606402985</v>
      </c>
      <c r="E150" s="123"/>
      <c r="F150" s="123"/>
      <c r="G150" s="123"/>
      <c r="H150" s="124">
        <f t="shared" si="9"/>
        <v>22.394182606402985</v>
      </c>
      <c r="I150" s="125"/>
      <c r="K150" s="127"/>
    </row>
    <row r="151" spans="2:11" x14ac:dyDescent="0.25">
      <c r="B151" s="121">
        <v>44948</v>
      </c>
      <c r="C151" s="122" t="str">
        <f t="shared" si="10"/>
        <v>01-2023</v>
      </c>
      <c r="D151" s="123">
        <f t="shared" si="11"/>
        <v>22.376829961091602</v>
      </c>
      <c r="E151" s="123"/>
      <c r="F151" s="123"/>
      <c r="G151" s="123"/>
      <c r="H151" s="124">
        <f t="shared" si="9"/>
        <v>22.376829961091602</v>
      </c>
      <c r="I151" s="125"/>
      <c r="K151" s="127"/>
    </row>
    <row r="152" spans="2:11" x14ac:dyDescent="0.25">
      <c r="B152" s="121">
        <v>44949</v>
      </c>
      <c r="C152" s="122" t="str">
        <f t="shared" si="10"/>
        <v>01-2023</v>
      </c>
      <c r="D152" s="123">
        <f t="shared" si="11"/>
        <v>22.359490761874884</v>
      </c>
      <c r="E152" s="123"/>
      <c r="F152" s="123"/>
      <c r="G152" s="123"/>
      <c r="H152" s="124">
        <f t="shared" si="9"/>
        <v>22.359490761874884</v>
      </c>
      <c r="I152" s="125"/>
      <c r="K152" s="127"/>
    </row>
    <row r="153" spans="2:11" x14ac:dyDescent="0.25">
      <c r="B153" s="121">
        <v>44950</v>
      </c>
      <c r="C153" s="122" t="str">
        <f t="shared" si="10"/>
        <v>01-2023</v>
      </c>
      <c r="D153" s="123">
        <f t="shared" si="11"/>
        <v>22.342164998333818</v>
      </c>
      <c r="E153" s="123"/>
      <c r="F153" s="123"/>
      <c r="G153" s="123"/>
      <c r="H153" s="124">
        <f t="shared" si="9"/>
        <v>22.342164998333818</v>
      </c>
      <c r="I153" s="125"/>
      <c r="K153" s="127"/>
    </row>
    <row r="154" spans="2:11" x14ac:dyDescent="0.25">
      <c r="B154" s="121">
        <v>44951</v>
      </c>
      <c r="C154" s="122" t="str">
        <f t="shared" si="10"/>
        <v>01-2023</v>
      </c>
      <c r="D154" s="123">
        <f t="shared" si="11"/>
        <v>22.324852660057463</v>
      </c>
      <c r="E154" s="123"/>
      <c r="F154" s="123"/>
      <c r="G154" s="123"/>
      <c r="H154" s="124">
        <f t="shared" si="9"/>
        <v>22.324852660057463</v>
      </c>
      <c r="I154" s="125"/>
      <c r="K154" s="127"/>
    </row>
    <row r="155" spans="2:11" x14ac:dyDescent="0.25">
      <c r="B155" s="121">
        <v>44952</v>
      </c>
      <c r="C155" s="122" t="str">
        <f t="shared" si="10"/>
        <v>01-2023</v>
      </c>
      <c r="D155" s="123">
        <f t="shared" si="11"/>
        <v>22.307553736642944</v>
      </c>
      <c r="E155" s="123"/>
      <c r="F155" s="123"/>
      <c r="G155" s="123"/>
      <c r="H155" s="124">
        <f t="shared" si="9"/>
        <v>22.307553736642944</v>
      </c>
      <c r="I155" s="125"/>
      <c r="K155" s="127"/>
    </row>
    <row r="156" spans="2:11" x14ac:dyDescent="0.25">
      <c r="B156" s="121">
        <v>44953</v>
      </c>
      <c r="C156" s="122" t="str">
        <f t="shared" si="10"/>
        <v>01-2023</v>
      </c>
      <c r="D156" s="123">
        <f t="shared" si="11"/>
        <v>22.290268217695452</v>
      </c>
      <c r="E156" s="123"/>
      <c r="F156" s="123"/>
      <c r="G156" s="123"/>
      <c r="H156" s="124">
        <f t="shared" si="9"/>
        <v>22.290268217695452</v>
      </c>
      <c r="I156" s="125"/>
      <c r="K156" s="127"/>
    </row>
    <row r="157" spans="2:11" x14ac:dyDescent="0.25">
      <c r="B157" s="121">
        <v>44954</v>
      </c>
      <c r="C157" s="122" t="str">
        <f t="shared" si="10"/>
        <v>01-2023</v>
      </c>
      <c r="D157" s="123">
        <f t="shared" si="11"/>
        <v>22.272996092828226</v>
      </c>
      <c r="E157" s="123"/>
      <c r="F157" s="123"/>
      <c r="G157" s="123"/>
      <c r="H157" s="124">
        <f t="shared" si="9"/>
        <v>22.272996092828226</v>
      </c>
      <c r="I157" s="125"/>
      <c r="K157" s="127"/>
    </row>
    <row r="158" spans="2:11" x14ac:dyDescent="0.25">
      <c r="B158" s="121">
        <v>44955</v>
      </c>
      <c r="C158" s="122" t="str">
        <f t="shared" si="10"/>
        <v>01-2023</v>
      </c>
      <c r="D158" s="123">
        <f t="shared" si="11"/>
        <v>22.255737351662553</v>
      </c>
      <c r="E158" s="123"/>
      <c r="F158" s="123"/>
      <c r="G158" s="123"/>
      <c r="H158" s="124">
        <f t="shared" si="9"/>
        <v>22.255737351662553</v>
      </c>
      <c r="I158" s="125"/>
      <c r="K158" s="127"/>
    </row>
    <row r="159" spans="2:11" x14ac:dyDescent="0.25">
      <c r="B159" s="121">
        <v>44956</v>
      </c>
      <c r="C159" s="122" t="str">
        <f t="shared" si="10"/>
        <v>01-2023</v>
      </c>
      <c r="D159" s="123">
        <f t="shared" si="11"/>
        <v>22.238491983827771</v>
      </c>
      <c r="E159" s="123"/>
      <c r="F159" s="123"/>
      <c r="G159" s="123"/>
      <c r="H159" s="124">
        <f t="shared" si="9"/>
        <v>22.238491983827771</v>
      </c>
      <c r="I159" s="125"/>
      <c r="K159" s="127"/>
    </row>
    <row r="160" spans="2:11" x14ac:dyDescent="0.25">
      <c r="B160" s="121">
        <v>44957</v>
      </c>
      <c r="C160" s="122" t="str">
        <f t="shared" si="10"/>
        <v>01-2023</v>
      </c>
      <c r="D160" s="123">
        <f t="shared" si="11"/>
        <v>22.221259978961243</v>
      </c>
      <c r="E160" s="123"/>
      <c r="F160" s="123"/>
      <c r="G160" s="123"/>
      <c r="H160" s="124">
        <f t="shared" si="9"/>
        <v>22.221259978961243</v>
      </c>
      <c r="I160" s="125"/>
      <c r="K160" s="127"/>
    </row>
    <row r="161" spans="2:11" x14ac:dyDescent="0.25">
      <c r="B161" s="121">
        <v>44958</v>
      </c>
      <c r="C161" s="122" t="str">
        <f t="shared" si="10"/>
        <v>02-2023</v>
      </c>
      <c r="D161" s="123">
        <f t="shared" si="11"/>
        <v>22.204041326708371</v>
      </c>
      <c r="E161" s="123"/>
      <c r="F161" s="123"/>
      <c r="G161" s="123"/>
      <c r="H161" s="124">
        <f t="shared" si="9"/>
        <v>22.204041326708371</v>
      </c>
      <c r="I161" s="125"/>
      <c r="K161" s="127"/>
    </row>
    <row r="162" spans="2:11" x14ac:dyDescent="0.25">
      <c r="B162" s="121">
        <v>44959</v>
      </c>
      <c r="C162" s="122" t="str">
        <f t="shared" si="10"/>
        <v>02-2023</v>
      </c>
      <c r="D162" s="123">
        <f t="shared" si="11"/>
        <v>22.186836016722573</v>
      </c>
      <c r="E162" s="123"/>
      <c r="F162" s="123"/>
      <c r="G162" s="123"/>
      <c r="H162" s="124">
        <f t="shared" si="9"/>
        <v>22.186836016722573</v>
      </c>
      <c r="I162" s="125"/>
      <c r="K162" s="127"/>
    </row>
    <row r="163" spans="2:11" x14ac:dyDescent="0.25">
      <c r="B163" s="121">
        <v>44960</v>
      </c>
      <c r="C163" s="122" t="str">
        <f t="shared" si="10"/>
        <v>02-2023</v>
      </c>
      <c r="D163" s="123">
        <f t="shared" si="11"/>
        <v>22.169644038665293</v>
      </c>
      <c r="E163" s="123"/>
      <c r="F163" s="123"/>
      <c r="G163" s="123"/>
      <c r="H163" s="124">
        <f t="shared" si="9"/>
        <v>22.169644038665293</v>
      </c>
      <c r="I163" s="125"/>
      <c r="K163" s="127"/>
    </row>
    <row r="164" spans="2:11" x14ac:dyDescent="0.25">
      <c r="B164" s="121">
        <v>44961</v>
      </c>
      <c r="C164" s="122" t="str">
        <f t="shared" si="10"/>
        <v>02-2023</v>
      </c>
      <c r="D164" s="123">
        <f t="shared" si="11"/>
        <v>22.152465382205975</v>
      </c>
      <c r="E164" s="123"/>
      <c r="F164" s="123"/>
      <c r="G164" s="123"/>
      <c r="H164" s="124">
        <f t="shared" si="9"/>
        <v>22.152465382205975</v>
      </c>
      <c r="I164" s="125"/>
      <c r="K164" s="127"/>
    </row>
    <row r="165" spans="2:11" x14ac:dyDescent="0.25">
      <c r="B165" s="121">
        <v>44962</v>
      </c>
      <c r="C165" s="122" t="str">
        <f t="shared" si="10"/>
        <v>02-2023</v>
      </c>
      <c r="D165" s="123">
        <f t="shared" si="11"/>
        <v>22.135300037022077</v>
      </c>
      <c r="E165" s="123"/>
      <c r="F165" s="123"/>
      <c r="G165" s="123"/>
      <c r="H165" s="124">
        <f t="shared" si="9"/>
        <v>22.135300037022077</v>
      </c>
      <c r="I165" s="125"/>
      <c r="K165" s="127"/>
    </row>
    <row r="166" spans="2:11" x14ac:dyDescent="0.25">
      <c r="B166" s="121">
        <v>44963</v>
      </c>
      <c r="C166" s="122" t="str">
        <f t="shared" si="10"/>
        <v>02-2023</v>
      </c>
      <c r="D166" s="123">
        <f t="shared" si="11"/>
        <v>22.118147992799052</v>
      </c>
      <c r="E166" s="123"/>
      <c r="F166" s="123"/>
      <c r="G166" s="123"/>
      <c r="H166" s="124">
        <f t="shared" si="9"/>
        <v>22.118147992799052</v>
      </c>
      <c r="I166" s="125"/>
      <c r="K166" s="127"/>
    </row>
    <row r="167" spans="2:11" x14ac:dyDescent="0.25">
      <c r="B167" s="121">
        <v>44964</v>
      </c>
      <c r="C167" s="122" t="str">
        <f t="shared" si="10"/>
        <v>02-2023</v>
      </c>
      <c r="D167" s="123">
        <f t="shared" si="11"/>
        <v>22.101009239230347</v>
      </c>
      <c r="E167" s="123"/>
      <c r="F167" s="123"/>
      <c r="G167" s="123"/>
      <c r="H167" s="124">
        <f t="shared" si="9"/>
        <v>22.101009239230347</v>
      </c>
      <c r="I167" s="125"/>
      <c r="K167" s="127"/>
    </row>
    <row r="168" spans="2:11" x14ac:dyDescent="0.25">
      <c r="B168" s="121">
        <v>44965</v>
      </c>
      <c r="C168" s="122" t="str">
        <f t="shared" si="10"/>
        <v>02-2023</v>
      </c>
      <c r="D168" s="123">
        <f t="shared" si="11"/>
        <v>22.08388376601739</v>
      </c>
      <c r="E168" s="123"/>
      <c r="F168" s="123"/>
      <c r="G168" s="123"/>
      <c r="H168" s="124">
        <f t="shared" si="9"/>
        <v>22.08388376601739</v>
      </c>
      <c r="I168" s="125"/>
      <c r="K168" s="127"/>
    </row>
    <row r="169" spans="2:11" x14ac:dyDescent="0.25">
      <c r="B169" s="121">
        <v>44966</v>
      </c>
      <c r="C169" s="122" t="str">
        <f t="shared" si="10"/>
        <v>02-2023</v>
      </c>
      <c r="D169" s="123">
        <f t="shared" si="11"/>
        <v>22.066771562869597</v>
      </c>
      <c r="E169" s="123"/>
      <c r="F169" s="123"/>
      <c r="G169" s="123"/>
      <c r="H169" s="124">
        <f t="shared" si="9"/>
        <v>22.066771562869597</v>
      </c>
      <c r="I169" s="125"/>
      <c r="K169" s="127"/>
    </row>
    <row r="170" spans="2:11" x14ac:dyDescent="0.25">
      <c r="B170" s="121">
        <v>44967</v>
      </c>
      <c r="C170" s="122" t="str">
        <f t="shared" si="10"/>
        <v>02-2023</v>
      </c>
      <c r="D170" s="123">
        <f t="shared" si="11"/>
        <v>22.049672619504353</v>
      </c>
      <c r="E170" s="123"/>
      <c r="F170" s="123"/>
      <c r="G170" s="123"/>
      <c r="H170" s="124">
        <f t="shared" si="9"/>
        <v>22.049672619504353</v>
      </c>
      <c r="I170" s="125"/>
      <c r="K170" s="127"/>
    </row>
    <row r="171" spans="2:11" x14ac:dyDescent="0.25">
      <c r="B171" s="121">
        <v>44968</v>
      </c>
      <c r="C171" s="122" t="str">
        <f t="shared" si="10"/>
        <v>02-2023</v>
      </c>
      <c r="D171" s="123">
        <f t="shared" si="11"/>
        <v>22.03258692564701</v>
      </c>
      <c r="E171" s="123"/>
      <c r="F171" s="123"/>
      <c r="G171" s="123"/>
      <c r="H171" s="124">
        <f t="shared" si="9"/>
        <v>22.03258692564701</v>
      </c>
      <c r="I171" s="125"/>
      <c r="K171" s="127"/>
    </row>
    <row r="172" spans="2:11" x14ac:dyDescent="0.25">
      <c r="B172" s="121">
        <v>44969</v>
      </c>
      <c r="C172" s="122" t="str">
        <f t="shared" si="10"/>
        <v>02-2023</v>
      </c>
      <c r="D172" s="123">
        <f t="shared" si="11"/>
        <v>22.015514471030887</v>
      </c>
      <c r="E172" s="123"/>
      <c r="F172" s="123"/>
      <c r="G172" s="123"/>
      <c r="H172" s="124">
        <f t="shared" si="9"/>
        <v>22.015514471030887</v>
      </c>
      <c r="I172" s="125"/>
      <c r="K172" s="127"/>
    </row>
    <row r="173" spans="2:11" x14ac:dyDescent="0.25">
      <c r="B173" s="121">
        <v>44970</v>
      </c>
      <c r="C173" s="122" t="str">
        <f t="shared" si="10"/>
        <v>02-2023</v>
      </c>
      <c r="D173" s="123">
        <f t="shared" si="11"/>
        <v>21.998455245397253</v>
      </c>
      <c r="E173" s="123"/>
      <c r="F173" s="123"/>
      <c r="G173" s="123"/>
      <c r="H173" s="124">
        <f t="shared" si="9"/>
        <v>21.998455245397253</v>
      </c>
      <c r="I173" s="125"/>
      <c r="K173" s="127"/>
    </row>
    <row r="174" spans="2:11" x14ac:dyDescent="0.25">
      <c r="B174" s="121">
        <v>44971</v>
      </c>
      <c r="C174" s="122" t="str">
        <f t="shared" si="10"/>
        <v>02-2023</v>
      </c>
      <c r="D174" s="123">
        <f t="shared" si="11"/>
        <v>21.981409238495328</v>
      </c>
      <c r="E174" s="123"/>
      <c r="F174" s="123"/>
      <c r="G174" s="123"/>
      <c r="H174" s="124">
        <f t="shared" si="9"/>
        <v>21.981409238495328</v>
      </c>
      <c r="I174" s="125"/>
      <c r="K174" s="127"/>
    </row>
    <row r="175" spans="2:11" x14ac:dyDescent="0.25">
      <c r="B175" s="121">
        <v>44972</v>
      </c>
      <c r="C175" s="122" t="str">
        <f t="shared" si="10"/>
        <v>02-2023</v>
      </c>
      <c r="D175" s="123">
        <f t="shared" si="11"/>
        <v>21.964376440082273</v>
      </c>
      <c r="E175" s="123"/>
      <c r="F175" s="123"/>
      <c r="G175" s="123"/>
      <c r="H175" s="124">
        <f t="shared" si="9"/>
        <v>21.964376440082273</v>
      </c>
      <c r="I175" s="125"/>
      <c r="K175" s="127"/>
    </row>
    <row r="176" spans="2:11" x14ac:dyDescent="0.25">
      <c r="B176" s="121">
        <v>44973</v>
      </c>
      <c r="C176" s="122" t="str">
        <f t="shared" si="10"/>
        <v>02-2023</v>
      </c>
      <c r="D176" s="123">
        <f t="shared" si="11"/>
        <v>21.947356839923188</v>
      </c>
      <c r="E176" s="123"/>
      <c r="F176" s="123"/>
      <c r="G176" s="123"/>
      <c r="H176" s="124">
        <f t="shared" si="9"/>
        <v>21.947356839923188</v>
      </c>
      <c r="I176" s="125"/>
      <c r="K176" s="127"/>
    </row>
    <row r="177" spans="2:11" x14ac:dyDescent="0.25">
      <c r="B177" s="121">
        <v>44974</v>
      </c>
      <c r="C177" s="122" t="str">
        <f t="shared" si="10"/>
        <v>02-2023</v>
      </c>
      <c r="D177" s="123">
        <f t="shared" si="11"/>
        <v>21.930350427791108</v>
      </c>
      <c r="E177" s="123"/>
      <c r="F177" s="123"/>
      <c r="G177" s="123"/>
      <c r="H177" s="124">
        <f t="shared" si="9"/>
        <v>21.930350427791108</v>
      </c>
      <c r="I177" s="125"/>
      <c r="K177" s="127"/>
    </row>
    <row r="178" spans="2:11" x14ac:dyDescent="0.25">
      <c r="B178" s="121">
        <v>44975</v>
      </c>
      <c r="C178" s="122" t="str">
        <f t="shared" si="10"/>
        <v>02-2023</v>
      </c>
      <c r="D178" s="123">
        <f t="shared" si="11"/>
        <v>21.913357193466986</v>
      </c>
      <c r="E178" s="123"/>
      <c r="F178" s="123"/>
      <c r="G178" s="123"/>
      <c r="H178" s="124">
        <f t="shared" si="9"/>
        <v>21.913357193466986</v>
      </c>
      <c r="I178" s="125"/>
      <c r="K178" s="127"/>
    </row>
    <row r="179" spans="2:11" x14ac:dyDescent="0.25">
      <c r="B179" s="121">
        <v>44976</v>
      </c>
      <c r="C179" s="122" t="str">
        <f t="shared" si="10"/>
        <v>02-2023</v>
      </c>
      <c r="D179" s="123">
        <f t="shared" si="11"/>
        <v>21.896377126739694</v>
      </c>
      <c r="E179" s="123"/>
      <c r="F179" s="123"/>
      <c r="G179" s="123"/>
      <c r="H179" s="124">
        <f t="shared" si="9"/>
        <v>21.896377126739694</v>
      </c>
      <c r="I179" s="125"/>
      <c r="K179" s="127"/>
    </row>
    <row r="180" spans="2:11" x14ac:dyDescent="0.25">
      <c r="B180" s="121">
        <v>44977</v>
      </c>
      <c r="C180" s="122" t="str">
        <f t="shared" si="10"/>
        <v>02-2023</v>
      </c>
      <c r="D180" s="123">
        <f t="shared" si="11"/>
        <v>21.879410217406019</v>
      </c>
      <c r="E180" s="123"/>
      <c r="F180" s="123"/>
      <c r="G180" s="123"/>
      <c r="H180" s="124">
        <f t="shared" si="9"/>
        <v>21.879410217406019</v>
      </c>
      <c r="I180" s="125"/>
      <c r="K180" s="127"/>
    </row>
    <row r="181" spans="2:11" x14ac:dyDescent="0.25">
      <c r="B181" s="121">
        <v>44978</v>
      </c>
      <c r="C181" s="122" t="str">
        <f t="shared" si="10"/>
        <v>02-2023</v>
      </c>
      <c r="D181" s="123">
        <f t="shared" si="11"/>
        <v>21.862456455270653</v>
      </c>
      <c r="E181" s="123"/>
      <c r="F181" s="123"/>
      <c r="G181" s="123"/>
      <c r="H181" s="124">
        <f t="shared" si="9"/>
        <v>21.862456455270653</v>
      </c>
      <c r="I181" s="125"/>
      <c r="K181" s="127"/>
    </row>
    <row r="182" spans="2:11" x14ac:dyDescent="0.25">
      <c r="B182" s="121">
        <v>44979</v>
      </c>
      <c r="C182" s="122" t="str">
        <f t="shared" si="10"/>
        <v>02-2023</v>
      </c>
      <c r="D182" s="123">
        <f t="shared" si="11"/>
        <v>21.845515830146187</v>
      </c>
      <c r="E182" s="123"/>
      <c r="F182" s="123"/>
      <c r="G182" s="123"/>
      <c r="H182" s="124">
        <f t="shared" si="9"/>
        <v>21.845515830146187</v>
      </c>
      <c r="I182" s="125"/>
      <c r="K182" s="127"/>
    </row>
    <row r="183" spans="2:11" x14ac:dyDescent="0.25">
      <c r="B183" s="121">
        <v>44980</v>
      </c>
      <c r="C183" s="122" t="str">
        <f t="shared" si="10"/>
        <v>02-2023</v>
      </c>
      <c r="D183" s="123">
        <f t="shared" si="11"/>
        <v>21.828588331853108</v>
      </c>
      <c r="E183" s="123"/>
      <c r="F183" s="123"/>
      <c r="G183" s="123"/>
      <c r="H183" s="124">
        <f t="shared" si="9"/>
        <v>21.828588331853108</v>
      </c>
      <c r="I183" s="125"/>
      <c r="K183" s="127"/>
    </row>
    <row r="184" spans="2:11" x14ac:dyDescent="0.25">
      <c r="B184" s="121">
        <v>44981</v>
      </c>
      <c r="C184" s="122" t="str">
        <f t="shared" si="10"/>
        <v>02-2023</v>
      </c>
      <c r="D184" s="123">
        <f t="shared" si="11"/>
        <v>21.811673950219792</v>
      </c>
      <c r="E184" s="123"/>
      <c r="F184" s="123"/>
      <c r="G184" s="123"/>
      <c r="H184" s="124">
        <f t="shared" si="9"/>
        <v>21.811673950219792</v>
      </c>
      <c r="I184" s="125"/>
      <c r="K184" s="127"/>
    </row>
    <row r="185" spans="2:11" x14ac:dyDescent="0.25">
      <c r="B185" s="121">
        <v>44982</v>
      </c>
      <c r="C185" s="122" t="str">
        <f t="shared" si="10"/>
        <v>02-2023</v>
      </c>
      <c r="D185" s="123">
        <f t="shared" si="11"/>
        <v>21.794772675082491</v>
      </c>
      <c r="E185" s="123"/>
      <c r="F185" s="123"/>
      <c r="G185" s="123"/>
      <c r="H185" s="124">
        <f t="shared" si="9"/>
        <v>21.794772675082491</v>
      </c>
      <c r="I185" s="125"/>
      <c r="K185" s="127"/>
    </row>
    <row r="186" spans="2:11" x14ac:dyDescent="0.25">
      <c r="B186" s="121">
        <v>44983</v>
      </c>
      <c r="C186" s="122" t="str">
        <f t="shared" si="10"/>
        <v>02-2023</v>
      </c>
      <c r="D186" s="123">
        <f t="shared" si="11"/>
        <v>21.777884496285342</v>
      </c>
      <c r="E186" s="123"/>
      <c r="F186" s="123"/>
      <c r="G186" s="123"/>
      <c r="H186" s="124">
        <f t="shared" si="9"/>
        <v>21.777884496285342</v>
      </c>
      <c r="I186" s="125"/>
      <c r="K186" s="127"/>
    </row>
    <row r="187" spans="2:11" x14ac:dyDescent="0.25">
      <c r="B187" s="121">
        <v>44984</v>
      </c>
      <c r="C187" s="122" t="str">
        <f t="shared" si="10"/>
        <v>02-2023</v>
      </c>
      <c r="D187" s="123">
        <f t="shared" si="11"/>
        <v>21.76100940368034</v>
      </c>
      <c r="E187" s="123"/>
      <c r="F187" s="123"/>
      <c r="G187" s="123"/>
      <c r="H187" s="124">
        <f t="shared" si="9"/>
        <v>21.76100940368034</v>
      </c>
      <c r="I187" s="125"/>
      <c r="K187" s="127"/>
    </row>
    <row r="188" spans="2:11" x14ac:dyDescent="0.25">
      <c r="B188" s="121">
        <v>44985</v>
      </c>
      <c r="C188" s="122" t="str">
        <f t="shared" si="10"/>
        <v>02-2023</v>
      </c>
      <c r="D188" s="123">
        <f t="shared" si="11"/>
        <v>21.744147387127356</v>
      </c>
      <c r="E188" s="123"/>
      <c r="F188" s="123"/>
      <c r="G188" s="123"/>
      <c r="H188" s="124">
        <f t="shared" si="9"/>
        <v>21.744147387127356</v>
      </c>
      <c r="I188" s="125"/>
      <c r="K188" s="127"/>
    </row>
    <row r="189" spans="2:11" x14ac:dyDescent="0.25">
      <c r="B189" s="121">
        <v>44986</v>
      </c>
      <c r="C189" s="122" t="str">
        <f t="shared" si="10"/>
        <v>03-2023</v>
      </c>
      <c r="D189" s="123">
        <f t="shared" si="11"/>
        <v>21.727298436494106</v>
      </c>
      <c r="E189" s="123"/>
      <c r="F189" s="123"/>
      <c r="G189" s="123"/>
      <c r="H189" s="124">
        <f t="shared" si="9"/>
        <v>21.727298436494106</v>
      </c>
      <c r="I189" s="125"/>
      <c r="K189" s="127"/>
    </row>
    <row r="190" spans="2:11" x14ac:dyDescent="0.25">
      <c r="B190" s="121">
        <v>44987</v>
      </c>
      <c r="C190" s="122" t="str">
        <f t="shared" si="10"/>
        <v>03-2023</v>
      </c>
      <c r="D190" s="123">
        <f t="shared" si="11"/>
        <v>21.710462541656163</v>
      </c>
      <c r="E190" s="123"/>
      <c r="F190" s="123"/>
      <c r="G190" s="123"/>
      <c r="H190" s="124">
        <f t="shared" si="9"/>
        <v>21.710462541656163</v>
      </c>
      <c r="I190" s="125"/>
      <c r="K190" s="127"/>
    </row>
    <row r="191" spans="2:11" x14ac:dyDescent="0.25">
      <c r="B191" s="121">
        <v>44988</v>
      </c>
      <c r="C191" s="122" t="str">
        <f t="shared" si="10"/>
        <v>03-2023</v>
      </c>
      <c r="D191" s="123">
        <f t="shared" si="11"/>
        <v>21.693639692496948</v>
      </c>
      <c r="E191" s="123"/>
      <c r="F191" s="123"/>
      <c r="G191" s="123"/>
      <c r="H191" s="124">
        <f t="shared" si="9"/>
        <v>21.693639692496948</v>
      </c>
      <c r="I191" s="125"/>
      <c r="K191" s="127"/>
    </row>
    <row r="192" spans="2:11" x14ac:dyDescent="0.25">
      <c r="B192" s="121">
        <v>44989</v>
      </c>
      <c r="C192" s="122" t="str">
        <f t="shared" si="10"/>
        <v>03-2023</v>
      </c>
      <c r="D192" s="123">
        <f t="shared" si="11"/>
        <v>21.676829878907714</v>
      </c>
      <c r="E192" s="123"/>
      <c r="F192" s="123"/>
      <c r="G192" s="123"/>
      <c r="H192" s="124">
        <f t="shared" si="9"/>
        <v>21.676829878907714</v>
      </c>
      <c r="I192" s="125"/>
      <c r="K192" s="127"/>
    </row>
    <row r="193" spans="2:11" x14ac:dyDescent="0.25">
      <c r="B193" s="121">
        <v>44990</v>
      </c>
      <c r="C193" s="122" t="str">
        <f t="shared" si="10"/>
        <v>03-2023</v>
      </c>
      <c r="D193" s="123">
        <f t="shared" si="11"/>
        <v>21.660033090787554</v>
      </c>
      <c r="E193" s="123"/>
      <c r="F193" s="123"/>
      <c r="G193" s="123"/>
      <c r="H193" s="124">
        <f t="shared" si="9"/>
        <v>21.660033090787554</v>
      </c>
      <c r="I193" s="125"/>
      <c r="K193" s="127"/>
    </row>
    <row r="194" spans="2:11" x14ac:dyDescent="0.25">
      <c r="B194" s="121">
        <v>44991</v>
      </c>
      <c r="C194" s="122" t="str">
        <f t="shared" si="10"/>
        <v>03-2023</v>
      </c>
      <c r="D194" s="123">
        <f t="shared" si="11"/>
        <v>21.643249318043384</v>
      </c>
      <c r="E194" s="123"/>
      <c r="F194" s="123"/>
      <c r="G194" s="123"/>
      <c r="H194" s="124">
        <f t="shared" si="9"/>
        <v>21.643249318043384</v>
      </c>
      <c r="I194" s="125"/>
      <c r="K194" s="127"/>
    </row>
    <row r="195" spans="2:11" x14ac:dyDescent="0.25">
      <c r="B195" s="121">
        <v>44992</v>
      </c>
      <c r="C195" s="122" t="str">
        <f t="shared" si="10"/>
        <v>03-2023</v>
      </c>
      <c r="D195" s="123">
        <f t="shared" si="11"/>
        <v>21.626478550589944</v>
      </c>
      <c r="E195" s="123"/>
      <c r="F195" s="123"/>
      <c r="G195" s="123"/>
      <c r="H195" s="124">
        <f t="shared" si="9"/>
        <v>21.626478550589944</v>
      </c>
      <c r="I195" s="125"/>
      <c r="K195" s="127"/>
    </row>
    <row r="196" spans="2:11" x14ac:dyDescent="0.25">
      <c r="B196" s="121">
        <v>44993</v>
      </c>
      <c r="C196" s="122" t="str">
        <f t="shared" si="10"/>
        <v>03-2023</v>
      </c>
      <c r="D196" s="123">
        <f t="shared" si="11"/>
        <v>21.609720778349786</v>
      </c>
      <c r="E196" s="123"/>
      <c r="F196" s="123"/>
      <c r="G196" s="123"/>
      <c r="H196" s="124">
        <f t="shared" si="9"/>
        <v>21.609720778349786</v>
      </c>
      <c r="I196" s="125"/>
      <c r="K196" s="127"/>
    </row>
    <row r="197" spans="2:11" x14ac:dyDescent="0.25">
      <c r="B197" s="121">
        <v>44994</v>
      </c>
      <c r="C197" s="122" t="str">
        <f t="shared" si="10"/>
        <v>03-2023</v>
      </c>
      <c r="D197" s="123">
        <f t="shared" si="11"/>
        <v>21.592975991253269</v>
      </c>
      <c r="E197" s="123"/>
      <c r="F197" s="123"/>
      <c r="G197" s="123"/>
      <c r="H197" s="124">
        <f t="shared" si="9"/>
        <v>21.592975991253269</v>
      </c>
      <c r="I197" s="125"/>
      <c r="K197" s="127"/>
    </row>
    <row r="198" spans="2:11" x14ac:dyDescent="0.25">
      <c r="B198" s="121">
        <v>44995</v>
      </c>
      <c r="C198" s="122" t="str">
        <f t="shared" si="10"/>
        <v>03-2023</v>
      </c>
      <c r="D198" s="123">
        <f t="shared" si="11"/>
        <v>21.576244179238557</v>
      </c>
      <c r="E198" s="123"/>
      <c r="F198" s="123"/>
      <c r="G198" s="123"/>
      <c r="H198" s="124">
        <f t="shared" si="9"/>
        <v>21.576244179238557</v>
      </c>
      <c r="I198" s="125"/>
      <c r="K198" s="127"/>
    </row>
    <row r="199" spans="2:11" x14ac:dyDescent="0.25">
      <c r="B199" s="121">
        <v>44996</v>
      </c>
      <c r="C199" s="122" t="str">
        <f t="shared" si="10"/>
        <v>03-2023</v>
      </c>
      <c r="D199" s="123">
        <f t="shared" si="11"/>
        <v>21.559525332251614</v>
      </c>
      <c r="E199" s="123"/>
      <c r="F199" s="123"/>
      <c r="G199" s="123"/>
      <c r="H199" s="124">
        <f t="shared" si="9"/>
        <v>21.559525332251614</v>
      </c>
      <c r="I199" s="125"/>
      <c r="K199" s="127"/>
    </row>
    <row r="200" spans="2:11" x14ac:dyDescent="0.25">
      <c r="B200" s="121">
        <v>44997</v>
      </c>
      <c r="C200" s="122" t="str">
        <f t="shared" si="10"/>
        <v>03-2023</v>
      </c>
      <c r="D200" s="123">
        <f t="shared" si="11"/>
        <v>21.542819440246188</v>
      </c>
      <c r="E200" s="123"/>
      <c r="F200" s="123"/>
      <c r="G200" s="123"/>
      <c r="H200" s="124">
        <f t="shared" ref="H200:H263" si="12">SUM(D200:G200)</f>
        <v>21.542819440246188</v>
      </c>
      <c r="I200" s="125"/>
      <c r="K200" s="127"/>
    </row>
    <row r="201" spans="2:11" x14ac:dyDescent="0.25">
      <c r="B201" s="121">
        <v>44998</v>
      </c>
      <c r="C201" s="122" t="str">
        <f t="shared" ref="C201:C264" si="13">RIGHT("0"&amp;MONTH(B201),2)&amp;"-"&amp;YEAR(B201)</f>
        <v>03-2023</v>
      </c>
      <c r="D201" s="123">
        <f t="shared" si="11"/>
        <v>21.526126493183817</v>
      </c>
      <c r="E201" s="123"/>
      <c r="F201" s="123"/>
      <c r="G201" s="123"/>
      <c r="H201" s="124">
        <f t="shared" si="12"/>
        <v>21.526126493183817</v>
      </c>
      <c r="I201" s="125"/>
      <c r="K201" s="127"/>
    </row>
    <row r="202" spans="2:11" x14ac:dyDescent="0.25">
      <c r="B202" s="121">
        <v>44999</v>
      </c>
      <c r="C202" s="122" t="str">
        <f t="shared" si="13"/>
        <v>03-2023</v>
      </c>
      <c r="D202" s="123">
        <f t="shared" ref="D202:D265" si="14">(1-$E$4)*D201</f>
        <v>21.509446481033812</v>
      </c>
      <c r="E202" s="123"/>
      <c r="F202" s="123"/>
      <c r="G202" s="123"/>
      <c r="H202" s="124">
        <f t="shared" si="12"/>
        <v>21.509446481033812</v>
      </c>
      <c r="I202" s="125"/>
      <c r="K202" s="127"/>
    </row>
    <row r="203" spans="2:11" x14ac:dyDescent="0.25">
      <c r="B203" s="121">
        <v>45000</v>
      </c>
      <c r="C203" s="122" t="str">
        <f t="shared" si="13"/>
        <v>03-2023</v>
      </c>
      <c r="D203" s="123">
        <f t="shared" si="14"/>
        <v>21.492779393773265</v>
      </c>
      <c r="E203" s="123"/>
      <c r="F203" s="123"/>
      <c r="G203" s="123"/>
      <c r="H203" s="124">
        <f t="shared" si="12"/>
        <v>21.492779393773265</v>
      </c>
      <c r="I203" s="125"/>
      <c r="K203" s="127"/>
    </row>
    <row r="204" spans="2:11" x14ac:dyDescent="0.25">
      <c r="B204" s="121">
        <v>45001</v>
      </c>
      <c r="C204" s="122" t="str">
        <f t="shared" si="13"/>
        <v>03-2023</v>
      </c>
      <c r="D204" s="123">
        <f t="shared" si="14"/>
        <v>21.476125221387026</v>
      </c>
      <c r="E204" s="123"/>
      <c r="F204" s="123"/>
      <c r="G204" s="123"/>
      <c r="H204" s="124">
        <f t="shared" si="12"/>
        <v>21.476125221387026</v>
      </c>
      <c r="I204" s="125"/>
      <c r="K204" s="127"/>
    </row>
    <row r="205" spans="2:11" x14ac:dyDescent="0.25">
      <c r="B205" s="121">
        <v>45002</v>
      </c>
      <c r="C205" s="122" t="str">
        <f t="shared" si="13"/>
        <v>03-2023</v>
      </c>
      <c r="D205" s="123">
        <f t="shared" si="14"/>
        <v>21.459483953867707</v>
      </c>
      <c r="E205" s="123"/>
      <c r="F205" s="123"/>
      <c r="G205" s="123"/>
      <c r="H205" s="124">
        <f t="shared" si="12"/>
        <v>21.459483953867707</v>
      </c>
      <c r="I205" s="125"/>
      <c r="K205" s="127"/>
    </row>
    <row r="206" spans="2:11" x14ac:dyDescent="0.25">
      <c r="B206" s="121">
        <v>45003</v>
      </c>
      <c r="C206" s="122" t="str">
        <f t="shared" si="13"/>
        <v>03-2023</v>
      </c>
      <c r="D206" s="123">
        <f t="shared" si="14"/>
        <v>21.442855581215682</v>
      </c>
      <c r="E206" s="123"/>
      <c r="F206" s="123"/>
      <c r="G206" s="123"/>
      <c r="H206" s="124">
        <f t="shared" si="12"/>
        <v>21.442855581215682</v>
      </c>
      <c r="I206" s="125"/>
      <c r="K206" s="127"/>
    </row>
    <row r="207" spans="2:11" x14ac:dyDescent="0.25">
      <c r="B207" s="121">
        <v>45004</v>
      </c>
      <c r="C207" s="122" t="str">
        <f t="shared" si="13"/>
        <v>03-2023</v>
      </c>
      <c r="D207" s="123">
        <f t="shared" si="14"/>
        <v>21.426240093439063</v>
      </c>
      <c r="E207" s="123"/>
      <c r="F207" s="123"/>
      <c r="G207" s="123"/>
      <c r="H207" s="124">
        <f t="shared" si="12"/>
        <v>21.426240093439063</v>
      </c>
      <c r="I207" s="125"/>
      <c r="K207" s="127"/>
    </row>
    <row r="208" spans="2:11" x14ac:dyDescent="0.25">
      <c r="B208" s="121">
        <v>45005</v>
      </c>
      <c r="C208" s="122" t="str">
        <f t="shared" si="13"/>
        <v>03-2023</v>
      </c>
      <c r="D208" s="123">
        <f t="shared" si="14"/>
        <v>21.409637480553709</v>
      </c>
      <c r="E208" s="123"/>
      <c r="F208" s="123"/>
      <c r="G208" s="123"/>
      <c r="H208" s="124">
        <f t="shared" si="12"/>
        <v>21.409637480553709</v>
      </c>
      <c r="I208" s="125"/>
      <c r="K208" s="127"/>
    </row>
    <row r="209" spans="2:11" x14ac:dyDescent="0.25">
      <c r="B209" s="121">
        <v>45006</v>
      </c>
      <c r="C209" s="122" t="str">
        <f t="shared" si="13"/>
        <v>03-2023</v>
      </c>
      <c r="D209" s="123">
        <f t="shared" si="14"/>
        <v>21.39304773258322</v>
      </c>
      <c r="E209" s="123"/>
      <c r="F209" s="123"/>
      <c r="G209" s="123"/>
      <c r="H209" s="124">
        <f t="shared" si="12"/>
        <v>21.39304773258322</v>
      </c>
      <c r="I209" s="125"/>
      <c r="K209" s="127"/>
    </row>
    <row r="210" spans="2:11" x14ac:dyDescent="0.25">
      <c r="B210" s="121">
        <v>45007</v>
      </c>
      <c r="C210" s="122" t="str">
        <f t="shared" si="13"/>
        <v>03-2023</v>
      </c>
      <c r="D210" s="123">
        <f t="shared" si="14"/>
        <v>21.37647083955892</v>
      </c>
      <c r="E210" s="123"/>
      <c r="F210" s="123"/>
      <c r="G210" s="123"/>
      <c r="H210" s="124">
        <f t="shared" si="12"/>
        <v>21.37647083955892</v>
      </c>
      <c r="I210" s="125"/>
      <c r="K210" s="127"/>
    </row>
    <row r="211" spans="2:11" x14ac:dyDescent="0.25">
      <c r="B211" s="121">
        <v>45008</v>
      </c>
      <c r="C211" s="122" t="str">
        <f t="shared" si="13"/>
        <v>03-2023</v>
      </c>
      <c r="D211" s="123">
        <f t="shared" si="14"/>
        <v>21.359906791519855</v>
      </c>
      <c r="E211" s="123"/>
      <c r="F211" s="123"/>
      <c r="G211" s="123"/>
      <c r="H211" s="124">
        <f t="shared" si="12"/>
        <v>21.359906791519855</v>
      </c>
      <c r="I211" s="125"/>
      <c r="K211" s="127"/>
    </row>
    <row r="212" spans="2:11" x14ac:dyDescent="0.25">
      <c r="B212" s="121">
        <v>45009</v>
      </c>
      <c r="C212" s="122" t="str">
        <f t="shared" si="13"/>
        <v>03-2023</v>
      </c>
      <c r="D212" s="123">
        <f t="shared" si="14"/>
        <v>21.343355578512799</v>
      </c>
      <c r="E212" s="123"/>
      <c r="F212" s="123"/>
      <c r="G212" s="123"/>
      <c r="H212" s="124">
        <f t="shared" si="12"/>
        <v>21.343355578512799</v>
      </c>
      <c r="I212" s="125"/>
      <c r="K212" s="127"/>
    </row>
    <row r="213" spans="2:11" x14ac:dyDescent="0.25">
      <c r="B213" s="121">
        <v>45010</v>
      </c>
      <c r="C213" s="122" t="str">
        <f t="shared" si="13"/>
        <v>03-2023</v>
      </c>
      <c r="D213" s="123">
        <f t="shared" si="14"/>
        <v>21.326817190592234</v>
      </c>
      <c r="E213" s="123"/>
      <c r="F213" s="123"/>
      <c r="G213" s="123"/>
      <c r="H213" s="124">
        <f t="shared" si="12"/>
        <v>21.326817190592234</v>
      </c>
      <c r="I213" s="125"/>
      <c r="K213" s="127"/>
    </row>
    <row r="214" spans="2:11" x14ac:dyDescent="0.25">
      <c r="B214" s="121">
        <v>45011</v>
      </c>
      <c r="C214" s="122" t="str">
        <f t="shared" si="13"/>
        <v>03-2023</v>
      </c>
      <c r="D214" s="123">
        <f t="shared" si="14"/>
        <v>21.310291617820344</v>
      </c>
      <c r="E214" s="123"/>
      <c r="F214" s="123"/>
      <c r="G214" s="123"/>
      <c r="H214" s="124">
        <f t="shared" si="12"/>
        <v>21.310291617820344</v>
      </c>
      <c r="I214" s="125"/>
      <c r="K214" s="127"/>
    </row>
    <row r="215" spans="2:11" x14ac:dyDescent="0.25">
      <c r="B215" s="121">
        <v>45012</v>
      </c>
      <c r="C215" s="122" t="str">
        <f t="shared" si="13"/>
        <v>03-2023</v>
      </c>
      <c r="D215" s="123">
        <f t="shared" si="14"/>
        <v>21.293778850267021</v>
      </c>
      <c r="E215" s="123"/>
      <c r="F215" s="123"/>
      <c r="G215" s="123"/>
      <c r="H215" s="124">
        <f t="shared" si="12"/>
        <v>21.293778850267021</v>
      </c>
      <c r="I215" s="125"/>
      <c r="K215" s="127"/>
    </row>
    <row r="216" spans="2:11" x14ac:dyDescent="0.25">
      <c r="B216" s="121">
        <v>45013</v>
      </c>
      <c r="C216" s="122" t="str">
        <f t="shared" si="13"/>
        <v>03-2023</v>
      </c>
      <c r="D216" s="123">
        <f t="shared" si="14"/>
        <v>21.277278878009845</v>
      </c>
      <c r="E216" s="123"/>
      <c r="F216" s="123"/>
      <c r="G216" s="123"/>
      <c r="H216" s="124">
        <f t="shared" si="12"/>
        <v>21.277278878009845</v>
      </c>
      <c r="I216" s="125"/>
      <c r="K216" s="127"/>
    </row>
    <row r="217" spans="2:11" x14ac:dyDescent="0.25">
      <c r="B217" s="121">
        <v>45014</v>
      </c>
      <c r="C217" s="122" t="str">
        <f t="shared" si="13"/>
        <v>03-2023</v>
      </c>
      <c r="D217" s="123">
        <f t="shared" si="14"/>
        <v>21.260791691134092</v>
      </c>
      <c r="E217" s="123"/>
      <c r="F217" s="123"/>
      <c r="G217" s="123"/>
      <c r="H217" s="124">
        <f t="shared" si="12"/>
        <v>21.260791691134092</v>
      </c>
      <c r="I217" s="125"/>
      <c r="K217" s="127"/>
    </row>
    <row r="218" spans="2:11" x14ac:dyDescent="0.25">
      <c r="B218" s="121">
        <v>45015</v>
      </c>
      <c r="C218" s="122" t="str">
        <f t="shared" si="13"/>
        <v>03-2023</v>
      </c>
      <c r="D218" s="123">
        <f t="shared" si="14"/>
        <v>21.244317279732712</v>
      </c>
      <c r="E218" s="123"/>
      <c r="F218" s="123"/>
      <c r="G218" s="123"/>
      <c r="H218" s="124">
        <f t="shared" si="12"/>
        <v>21.244317279732712</v>
      </c>
      <c r="I218" s="125"/>
      <c r="K218" s="127"/>
    </row>
    <row r="219" spans="2:11" x14ac:dyDescent="0.25">
      <c r="B219" s="121">
        <v>45016</v>
      </c>
      <c r="C219" s="122" t="str">
        <f t="shared" si="13"/>
        <v>03-2023</v>
      </c>
      <c r="D219" s="123">
        <f t="shared" si="14"/>
        <v>21.227855633906341</v>
      </c>
      <c r="E219" s="123"/>
      <c r="F219" s="123"/>
      <c r="G219" s="123"/>
      <c r="H219" s="124">
        <f t="shared" si="12"/>
        <v>21.227855633906341</v>
      </c>
      <c r="I219" s="125"/>
      <c r="K219" s="127"/>
    </row>
    <row r="220" spans="2:11" x14ac:dyDescent="0.25">
      <c r="B220" s="121">
        <v>45017</v>
      </c>
      <c r="C220" s="122" t="str">
        <f t="shared" si="13"/>
        <v>04-2023</v>
      </c>
      <c r="D220" s="123">
        <f t="shared" si="14"/>
        <v>21.211406743763277</v>
      </c>
      <c r="E220" s="123"/>
      <c r="F220" s="123"/>
      <c r="G220" s="123"/>
      <c r="H220" s="124">
        <f t="shared" si="12"/>
        <v>21.211406743763277</v>
      </c>
      <c r="I220" s="125"/>
      <c r="K220" s="127"/>
    </row>
    <row r="221" spans="2:11" x14ac:dyDescent="0.25">
      <c r="B221" s="121">
        <v>45018</v>
      </c>
      <c r="C221" s="122" t="str">
        <f t="shared" si="13"/>
        <v>04-2023</v>
      </c>
      <c r="D221" s="123">
        <f t="shared" si="14"/>
        <v>21.194970599419488</v>
      </c>
      <c r="E221" s="123"/>
      <c r="F221" s="123"/>
      <c r="G221" s="123"/>
      <c r="H221" s="124">
        <f t="shared" si="12"/>
        <v>21.194970599419488</v>
      </c>
      <c r="I221" s="125"/>
      <c r="K221" s="127"/>
    </row>
    <row r="222" spans="2:11" x14ac:dyDescent="0.25">
      <c r="B222" s="121">
        <v>45019</v>
      </c>
      <c r="C222" s="122" t="str">
        <f t="shared" si="13"/>
        <v>04-2023</v>
      </c>
      <c r="D222" s="123">
        <f t="shared" si="14"/>
        <v>21.178547190998597</v>
      </c>
      <c r="E222" s="123"/>
      <c r="F222" s="123"/>
      <c r="G222" s="123"/>
      <c r="H222" s="124">
        <f t="shared" si="12"/>
        <v>21.178547190998597</v>
      </c>
      <c r="I222" s="125"/>
      <c r="K222" s="127"/>
    </row>
    <row r="223" spans="2:11" x14ac:dyDescent="0.25">
      <c r="B223" s="121">
        <v>45020</v>
      </c>
      <c r="C223" s="122" t="str">
        <f t="shared" si="13"/>
        <v>04-2023</v>
      </c>
      <c r="D223" s="123">
        <f t="shared" si="14"/>
        <v>21.162136508631885</v>
      </c>
      <c r="E223" s="123"/>
      <c r="F223" s="123"/>
      <c r="G223" s="123"/>
      <c r="H223" s="124">
        <f t="shared" si="12"/>
        <v>21.162136508631885</v>
      </c>
      <c r="I223" s="125"/>
      <c r="K223" s="127"/>
    </row>
    <row r="224" spans="2:11" x14ac:dyDescent="0.25">
      <c r="B224" s="121">
        <v>45021</v>
      </c>
      <c r="C224" s="122" t="str">
        <f t="shared" si="13"/>
        <v>04-2023</v>
      </c>
      <c r="D224" s="123">
        <f t="shared" si="14"/>
        <v>21.145738542458279</v>
      </c>
      <c r="E224" s="123"/>
      <c r="F224" s="123"/>
      <c r="G224" s="123"/>
      <c r="H224" s="124">
        <f t="shared" si="12"/>
        <v>21.145738542458279</v>
      </c>
      <c r="I224" s="125"/>
      <c r="K224" s="127"/>
    </row>
    <row r="225" spans="2:11" x14ac:dyDescent="0.25">
      <c r="B225" s="121">
        <v>45022</v>
      </c>
      <c r="C225" s="122" t="str">
        <f t="shared" si="13"/>
        <v>04-2023</v>
      </c>
      <c r="D225" s="123">
        <f t="shared" si="14"/>
        <v>21.129353282624344</v>
      </c>
      <c r="E225" s="123"/>
      <c r="F225" s="123"/>
      <c r="G225" s="123"/>
      <c r="H225" s="124">
        <f t="shared" si="12"/>
        <v>21.129353282624344</v>
      </c>
      <c r="I225" s="125"/>
      <c r="K225" s="127"/>
    </row>
    <row r="226" spans="2:11" x14ac:dyDescent="0.25">
      <c r="B226" s="121">
        <v>45023</v>
      </c>
      <c r="C226" s="122" t="str">
        <f t="shared" si="13"/>
        <v>04-2023</v>
      </c>
      <c r="D226" s="123">
        <f t="shared" si="14"/>
        <v>21.112980719284277</v>
      </c>
      <c r="E226" s="123"/>
      <c r="F226" s="123"/>
      <c r="G226" s="123"/>
      <c r="H226" s="124">
        <f t="shared" si="12"/>
        <v>21.112980719284277</v>
      </c>
      <c r="I226" s="125"/>
      <c r="K226" s="127"/>
    </row>
    <row r="227" spans="2:11" x14ac:dyDescent="0.25">
      <c r="B227" s="121">
        <v>45024</v>
      </c>
      <c r="C227" s="122" t="str">
        <f t="shared" si="13"/>
        <v>04-2023</v>
      </c>
      <c r="D227" s="123">
        <f t="shared" si="14"/>
        <v>21.096620842599915</v>
      </c>
      <c r="E227" s="123"/>
      <c r="F227" s="123"/>
      <c r="G227" s="123"/>
      <c r="H227" s="124">
        <f t="shared" si="12"/>
        <v>21.096620842599915</v>
      </c>
      <c r="I227" s="125"/>
      <c r="K227" s="127"/>
    </row>
    <row r="228" spans="2:11" x14ac:dyDescent="0.25">
      <c r="B228" s="121">
        <v>45025</v>
      </c>
      <c r="C228" s="122" t="str">
        <f t="shared" si="13"/>
        <v>04-2023</v>
      </c>
      <c r="D228" s="123">
        <f t="shared" si="14"/>
        <v>21.08027364274071</v>
      </c>
      <c r="E228" s="123"/>
      <c r="F228" s="123"/>
      <c r="G228" s="123"/>
      <c r="H228" s="124">
        <f t="shared" si="12"/>
        <v>21.08027364274071</v>
      </c>
      <c r="I228" s="125"/>
      <c r="K228" s="127"/>
    </row>
    <row r="229" spans="2:11" x14ac:dyDescent="0.25">
      <c r="B229" s="121">
        <v>45026</v>
      </c>
      <c r="C229" s="122" t="str">
        <f t="shared" si="13"/>
        <v>04-2023</v>
      </c>
      <c r="D229" s="123">
        <f t="shared" si="14"/>
        <v>21.063939109883734</v>
      </c>
      <c r="E229" s="123"/>
      <c r="F229" s="123"/>
      <c r="G229" s="123"/>
      <c r="H229" s="124">
        <f t="shared" si="12"/>
        <v>21.063939109883734</v>
      </c>
      <c r="I229" s="125"/>
      <c r="K229" s="127"/>
    </row>
    <row r="230" spans="2:11" x14ac:dyDescent="0.25">
      <c r="B230" s="121">
        <v>45027</v>
      </c>
      <c r="C230" s="122" t="str">
        <f t="shared" si="13"/>
        <v>04-2023</v>
      </c>
      <c r="D230" s="123">
        <f t="shared" si="14"/>
        <v>21.047617234213671</v>
      </c>
      <c r="E230" s="123"/>
      <c r="F230" s="123"/>
      <c r="G230" s="123"/>
      <c r="H230" s="124">
        <f t="shared" si="12"/>
        <v>21.047617234213671</v>
      </c>
      <c r="I230" s="125"/>
      <c r="K230" s="127"/>
    </row>
    <row r="231" spans="2:11" x14ac:dyDescent="0.25">
      <c r="B231" s="121">
        <v>45028</v>
      </c>
      <c r="C231" s="122" t="str">
        <f t="shared" si="13"/>
        <v>04-2023</v>
      </c>
      <c r="D231" s="123">
        <f t="shared" si="14"/>
        <v>21.03130800592281</v>
      </c>
      <c r="E231" s="123"/>
      <c r="F231" s="123"/>
      <c r="G231" s="123"/>
      <c r="H231" s="124">
        <f t="shared" si="12"/>
        <v>21.03130800592281</v>
      </c>
      <c r="I231" s="125"/>
      <c r="K231" s="127"/>
    </row>
    <row r="232" spans="2:11" x14ac:dyDescent="0.25">
      <c r="B232" s="121">
        <v>45029</v>
      </c>
      <c r="C232" s="122" t="str">
        <f t="shared" si="13"/>
        <v>04-2023</v>
      </c>
      <c r="D232" s="123">
        <f t="shared" si="14"/>
        <v>21.015011415211038</v>
      </c>
      <c r="E232" s="123"/>
      <c r="F232" s="123"/>
      <c r="G232" s="123"/>
      <c r="H232" s="124">
        <f t="shared" si="12"/>
        <v>21.015011415211038</v>
      </c>
      <c r="I232" s="125"/>
      <c r="K232" s="127"/>
    </row>
    <row r="233" spans="2:11" x14ac:dyDescent="0.25">
      <c r="B233" s="121">
        <v>45030</v>
      </c>
      <c r="C233" s="122" t="str">
        <f t="shared" si="13"/>
        <v>04-2023</v>
      </c>
      <c r="D233" s="123">
        <f t="shared" si="14"/>
        <v>20.998727452285838</v>
      </c>
      <c r="E233" s="123"/>
      <c r="F233" s="123"/>
      <c r="G233" s="123"/>
      <c r="H233" s="124">
        <f t="shared" si="12"/>
        <v>20.998727452285838</v>
      </c>
      <c r="I233" s="125"/>
      <c r="K233" s="127"/>
    </row>
    <row r="234" spans="2:11" x14ac:dyDescent="0.25">
      <c r="B234" s="121">
        <v>45031</v>
      </c>
      <c r="C234" s="122" t="str">
        <f t="shared" si="13"/>
        <v>04-2023</v>
      </c>
      <c r="D234" s="123">
        <f t="shared" si="14"/>
        <v>20.982456107362278</v>
      </c>
      <c r="E234" s="123"/>
      <c r="F234" s="123"/>
      <c r="G234" s="123"/>
      <c r="H234" s="124">
        <f t="shared" si="12"/>
        <v>20.982456107362278</v>
      </c>
      <c r="I234" s="125"/>
      <c r="K234" s="127"/>
    </row>
    <row r="235" spans="2:11" x14ac:dyDescent="0.25">
      <c r="B235" s="121">
        <v>45032</v>
      </c>
      <c r="C235" s="122" t="str">
        <f t="shared" si="13"/>
        <v>04-2023</v>
      </c>
      <c r="D235" s="123">
        <f t="shared" si="14"/>
        <v>20.966197370663014</v>
      </c>
      <c r="E235" s="123"/>
      <c r="F235" s="123"/>
      <c r="G235" s="123"/>
      <c r="H235" s="124">
        <f t="shared" si="12"/>
        <v>20.966197370663014</v>
      </c>
      <c r="I235" s="125"/>
      <c r="K235" s="127"/>
    </row>
    <row r="236" spans="2:11" x14ac:dyDescent="0.25">
      <c r="B236" s="121">
        <v>45033</v>
      </c>
      <c r="C236" s="122" t="str">
        <f t="shared" si="13"/>
        <v>04-2023</v>
      </c>
      <c r="D236" s="123">
        <f t="shared" si="14"/>
        <v>20.949951232418272</v>
      </c>
      <c r="E236" s="123"/>
      <c r="F236" s="123"/>
      <c r="G236" s="123"/>
      <c r="H236" s="124">
        <f t="shared" si="12"/>
        <v>20.949951232418272</v>
      </c>
      <c r="I236" s="125"/>
      <c r="K236" s="127"/>
    </row>
    <row r="237" spans="2:11" x14ac:dyDescent="0.25">
      <c r="B237" s="121">
        <v>45034</v>
      </c>
      <c r="C237" s="122" t="str">
        <f t="shared" si="13"/>
        <v>04-2023</v>
      </c>
      <c r="D237" s="123">
        <f t="shared" si="14"/>
        <v>20.933717682865854</v>
      </c>
      <c r="E237" s="123"/>
      <c r="F237" s="123"/>
      <c r="G237" s="123"/>
      <c r="H237" s="124">
        <f t="shared" si="12"/>
        <v>20.933717682865854</v>
      </c>
      <c r="I237" s="125"/>
      <c r="K237" s="127"/>
    </row>
    <row r="238" spans="2:11" x14ac:dyDescent="0.25">
      <c r="B238" s="121">
        <v>45035</v>
      </c>
      <c r="C238" s="122" t="str">
        <f t="shared" si="13"/>
        <v>04-2023</v>
      </c>
      <c r="D238" s="123">
        <f t="shared" si="14"/>
        <v>20.917496712251122</v>
      </c>
      <c r="E238" s="123"/>
      <c r="F238" s="123"/>
      <c r="G238" s="123"/>
      <c r="H238" s="124">
        <f t="shared" si="12"/>
        <v>20.917496712251122</v>
      </c>
      <c r="I238" s="125"/>
      <c r="K238" s="127"/>
    </row>
    <row r="239" spans="2:11" x14ac:dyDescent="0.25">
      <c r="B239" s="121">
        <v>45036</v>
      </c>
      <c r="C239" s="122" t="str">
        <f t="shared" si="13"/>
        <v>04-2023</v>
      </c>
      <c r="D239" s="123">
        <f t="shared" si="14"/>
        <v>20.901288310826995</v>
      </c>
      <c r="E239" s="123"/>
      <c r="F239" s="123"/>
      <c r="G239" s="123"/>
      <c r="H239" s="124">
        <f t="shared" si="12"/>
        <v>20.901288310826995</v>
      </c>
      <c r="I239" s="125"/>
      <c r="K239" s="127"/>
    </row>
    <row r="240" spans="2:11" x14ac:dyDescent="0.25">
      <c r="B240" s="121">
        <v>45037</v>
      </c>
      <c r="C240" s="122" t="str">
        <f t="shared" si="13"/>
        <v>04-2023</v>
      </c>
      <c r="D240" s="123">
        <f t="shared" si="14"/>
        <v>20.885092468853951</v>
      </c>
      <c r="E240" s="123"/>
      <c r="F240" s="123"/>
      <c r="G240" s="123"/>
      <c r="H240" s="124">
        <f t="shared" si="12"/>
        <v>20.885092468853951</v>
      </c>
      <c r="I240" s="125"/>
      <c r="K240" s="127"/>
    </row>
    <row r="241" spans="2:11" x14ac:dyDescent="0.25">
      <c r="B241" s="121">
        <v>45038</v>
      </c>
      <c r="C241" s="122" t="str">
        <f t="shared" si="13"/>
        <v>04-2023</v>
      </c>
      <c r="D241" s="123">
        <f t="shared" si="14"/>
        <v>20.868909176600013</v>
      </c>
      <c r="E241" s="123"/>
      <c r="F241" s="123"/>
      <c r="G241" s="123"/>
      <c r="H241" s="124">
        <f t="shared" si="12"/>
        <v>20.868909176600013</v>
      </c>
      <c r="I241" s="125"/>
      <c r="K241" s="127"/>
    </row>
    <row r="242" spans="2:11" x14ac:dyDescent="0.25">
      <c r="B242" s="121">
        <v>45039</v>
      </c>
      <c r="C242" s="122" t="str">
        <f t="shared" si="13"/>
        <v>04-2023</v>
      </c>
      <c r="D242" s="123">
        <f t="shared" si="14"/>
        <v>20.852738424340743</v>
      </c>
      <c r="E242" s="123"/>
      <c r="F242" s="123"/>
      <c r="G242" s="123"/>
      <c r="H242" s="124">
        <f t="shared" si="12"/>
        <v>20.852738424340743</v>
      </c>
      <c r="I242" s="125"/>
      <c r="K242" s="127"/>
    </row>
    <row r="243" spans="2:11" x14ac:dyDescent="0.25">
      <c r="B243" s="121">
        <v>45040</v>
      </c>
      <c r="C243" s="122" t="str">
        <f t="shared" si="13"/>
        <v>04-2023</v>
      </c>
      <c r="D243" s="123">
        <f t="shared" si="14"/>
        <v>20.836580202359237</v>
      </c>
      <c r="E243" s="123"/>
      <c r="F243" s="123"/>
      <c r="G243" s="123"/>
      <c r="H243" s="124">
        <f t="shared" si="12"/>
        <v>20.836580202359237</v>
      </c>
      <c r="I243" s="125"/>
      <c r="K243" s="127"/>
    </row>
    <row r="244" spans="2:11" x14ac:dyDescent="0.25">
      <c r="B244" s="121">
        <v>45041</v>
      </c>
      <c r="C244" s="122" t="str">
        <f t="shared" si="13"/>
        <v>04-2023</v>
      </c>
      <c r="D244" s="123">
        <f t="shared" si="14"/>
        <v>20.820434500946121</v>
      </c>
      <c r="E244" s="123"/>
      <c r="F244" s="123"/>
      <c r="G244" s="123"/>
      <c r="H244" s="124">
        <f t="shared" si="12"/>
        <v>20.820434500946121</v>
      </c>
      <c r="I244" s="125"/>
      <c r="K244" s="127"/>
    </row>
    <row r="245" spans="2:11" x14ac:dyDescent="0.25">
      <c r="B245" s="121">
        <v>45042</v>
      </c>
      <c r="C245" s="122" t="str">
        <f t="shared" si="13"/>
        <v>04-2023</v>
      </c>
      <c r="D245" s="123">
        <f t="shared" si="14"/>
        <v>20.804301310399548</v>
      </c>
      <c r="E245" s="123"/>
      <c r="F245" s="123"/>
      <c r="G245" s="123"/>
      <c r="H245" s="124">
        <f t="shared" si="12"/>
        <v>20.804301310399548</v>
      </c>
      <c r="I245" s="125"/>
      <c r="K245" s="127"/>
    </row>
    <row r="246" spans="2:11" x14ac:dyDescent="0.25">
      <c r="B246" s="121">
        <v>45043</v>
      </c>
      <c r="C246" s="122" t="str">
        <f t="shared" si="13"/>
        <v>04-2023</v>
      </c>
      <c r="D246" s="123">
        <f t="shared" si="14"/>
        <v>20.788180621025187</v>
      </c>
      <c r="E246" s="123"/>
      <c r="F246" s="123"/>
      <c r="G246" s="123"/>
      <c r="H246" s="124">
        <f t="shared" si="12"/>
        <v>20.788180621025187</v>
      </c>
      <c r="I246" s="125"/>
      <c r="K246" s="127"/>
    </row>
    <row r="247" spans="2:11" x14ac:dyDescent="0.25">
      <c r="B247" s="121">
        <v>45044</v>
      </c>
      <c r="C247" s="122" t="str">
        <f t="shared" si="13"/>
        <v>04-2023</v>
      </c>
      <c r="D247" s="123">
        <f t="shared" si="14"/>
        <v>20.772072423136219</v>
      </c>
      <c r="E247" s="123"/>
      <c r="F247" s="123"/>
      <c r="G247" s="123"/>
      <c r="H247" s="124">
        <f t="shared" si="12"/>
        <v>20.772072423136219</v>
      </c>
      <c r="I247" s="125"/>
      <c r="K247" s="127"/>
    </row>
    <row r="248" spans="2:11" x14ac:dyDescent="0.25">
      <c r="B248" s="121">
        <v>45045</v>
      </c>
      <c r="C248" s="122" t="str">
        <f t="shared" si="13"/>
        <v>04-2023</v>
      </c>
      <c r="D248" s="123">
        <f t="shared" si="14"/>
        <v>20.755976707053328</v>
      </c>
      <c r="E248" s="123"/>
      <c r="F248" s="123"/>
      <c r="G248" s="123"/>
      <c r="H248" s="124">
        <f t="shared" si="12"/>
        <v>20.755976707053328</v>
      </c>
      <c r="I248" s="125"/>
      <c r="K248" s="127"/>
    </row>
    <row r="249" spans="2:11" x14ac:dyDescent="0.25">
      <c r="B249" s="121">
        <v>45046</v>
      </c>
      <c r="C249" s="122" t="str">
        <f t="shared" si="13"/>
        <v>04-2023</v>
      </c>
      <c r="D249" s="123">
        <f t="shared" si="14"/>
        <v>20.739893463104703</v>
      </c>
      <c r="E249" s="123"/>
      <c r="F249" s="123"/>
      <c r="G249" s="123"/>
      <c r="H249" s="124">
        <f t="shared" si="12"/>
        <v>20.739893463104703</v>
      </c>
      <c r="I249" s="125"/>
      <c r="K249" s="127"/>
    </row>
    <row r="250" spans="2:11" x14ac:dyDescent="0.25">
      <c r="B250" s="121">
        <v>45047</v>
      </c>
      <c r="C250" s="122" t="str">
        <f t="shared" si="13"/>
        <v>05-2023</v>
      </c>
      <c r="D250" s="123">
        <f t="shared" si="14"/>
        <v>20.723822681626025</v>
      </c>
      <c r="E250" s="123"/>
      <c r="F250" s="123"/>
      <c r="G250" s="123"/>
      <c r="H250" s="124">
        <f t="shared" si="12"/>
        <v>20.723822681626025</v>
      </c>
      <c r="I250" s="125"/>
      <c r="K250" s="127"/>
    </row>
    <row r="251" spans="2:11" x14ac:dyDescent="0.25">
      <c r="B251" s="121">
        <v>45048</v>
      </c>
      <c r="C251" s="122" t="str">
        <f t="shared" si="13"/>
        <v>05-2023</v>
      </c>
      <c r="D251" s="123">
        <f t="shared" si="14"/>
        <v>20.70776435296046</v>
      </c>
      <c r="E251" s="123"/>
      <c r="F251" s="123"/>
      <c r="G251" s="123"/>
      <c r="H251" s="124">
        <f t="shared" si="12"/>
        <v>20.70776435296046</v>
      </c>
      <c r="I251" s="125"/>
      <c r="K251" s="127"/>
    </row>
    <row r="252" spans="2:11" x14ac:dyDescent="0.25">
      <c r="B252" s="121">
        <v>45049</v>
      </c>
      <c r="C252" s="122" t="str">
        <f t="shared" si="13"/>
        <v>05-2023</v>
      </c>
      <c r="D252" s="123">
        <f t="shared" si="14"/>
        <v>20.691718467458664</v>
      </c>
      <c r="E252" s="123"/>
      <c r="F252" s="123"/>
      <c r="G252" s="123"/>
      <c r="H252" s="124">
        <f t="shared" si="12"/>
        <v>20.691718467458664</v>
      </c>
      <c r="I252" s="125"/>
      <c r="K252" s="127"/>
    </row>
    <row r="253" spans="2:11" x14ac:dyDescent="0.25">
      <c r="B253" s="121">
        <v>45050</v>
      </c>
      <c r="C253" s="122" t="str">
        <f t="shared" si="13"/>
        <v>05-2023</v>
      </c>
      <c r="D253" s="123">
        <f t="shared" si="14"/>
        <v>20.675685015478766</v>
      </c>
      <c r="E253" s="123"/>
      <c r="F253" s="123"/>
      <c r="G253" s="123"/>
      <c r="H253" s="124">
        <f t="shared" si="12"/>
        <v>20.675685015478766</v>
      </c>
      <c r="I253" s="125"/>
      <c r="K253" s="127"/>
    </row>
    <row r="254" spans="2:11" x14ac:dyDescent="0.25">
      <c r="B254" s="121">
        <v>45051</v>
      </c>
      <c r="C254" s="122" t="str">
        <f t="shared" si="13"/>
        <v>05-2023</v>
      </c>
      <c r="D254" s="123">
        <f t="shared" si="14"/>
        <v>20.659663987386367</v>
      </c>
      <c r="E254" s="123"/>
      <c r="F254" s="123"/>
      <c r="G254" s="123"/>
      <c r="H254" s="124">
        <f t="shared" si="12"/>
        <v>20.659663987386367</v>
      </c>
      <c r="I254" s="125"/>
      <c r="K254" s="127"/>
    </row>
    <row r="255" spans="2:11" x14ac:dyDescent="0.25">
      <c r="B255" s="121">
        <v>45052</v>
      </c>
      <c r="C255" s="122" t="str">
        <f t="shared" si="13"/>
        <v>05-2023</v>
      </c>
      <c r="D255" s="123">
        <f t="shared" si="14"/>
        <v>20.64365537355453</v>
      </c>
      <c r="E255" s="123"/>
      <c r="F255" s="123"/>
      <c r="G255" s="123"/>
      <c r="H255" s="124">
        <f t="shared" si="12"/>
        <v>20.64365537355453</v>
      </c>
      <c r="I255" s="125"/>
      <c r="K255" s="127"/>
    </row>
    <row r="256" spans="2:11" x14ac:dyDescent="0.25">
      <c r="B256" s="121">
        <v>45053</v>
      </c>
      <c r="C256" s="122" t="str">
        <f t="shared" si="13"/>
        <v>05-2023</v>
      </c>
      <c r="D256" s="123">
        <f t="shared" si="14"/>
        <v>20.627659164363788</v>
      </c>
      <c r="E256" s="123"/>
      <c r="F256" s="123"/>
      <c r="G256" s="123"/>
      <c r="H256" s="124">
        <f t="shared" si="12"/>
        <v>20.627659164363788</v>
      </c>
      <c r="I256" s="125"/>
      <c r="K256" s="127"/>
    </row>
    <row r="257" spans="2:11" x14ac:dyDescent="0.25">
      <c r="B257" s="121">
        <v>45054</v>
      </c>
      <c r="C257" s="122" t="str">
        <f t="shared" si="13"/>
        <v>05-2023</v>
      </c>
      <c r="D257" s="123">
        <f t="shared" si="14"/>
        <v>20.611675350202113</v>
      </c>
      <c r="E257" s="123"/>
      <c r="F257" s="123"/>
      <c r="G257" s="123"/>
      <c r="H257" s="124">
        <f t="shared" si="12"/>
        <v>20.611675350202113</v>
      </c>
      <c r="I257" s="125"/>
      <c r="K257" s="127"/>
    </row>
    <row r="258" spans="2:11" x14ac:dyDescent="0.25">
      <c r="B258" s="121">
        <v>45055</v>
      </c>
      <c r="C258" s="122" t="str">
        <f t="shared" si="13"/>
        <v>05-2023</v>
      </c>
      <c r="D258" s="123">
        <f t="shared" si="14"/>
        <v>20.595703921464938</v>
      </c>
      <c r="E258" s="123"/>
      <c r="F258" s="123"/>
      <c r="G258" s="123"/>
      <c r="H258" s="124">
        <f t="shared" si="12"/>
        <v>20.595703921464938</v>
      </c>
      <c r="I258" s="125"/>
      <c r="K258" s="127"/>
    </row>
    <row r="259" spans="2:11" x14ac:dyDescent="0.25">
      <c r="B259" s="121">
        <v>45056</v>
      </c>
      <c r="C259" s="122" t="str">
        <f t="shared" si="13"/>
        <v>05-2023</v>
      </c>
      <c r="D259" s="123">
        <f t="shared" si="14"/>
        <v>20.579744868555132</v>
      </c>
      <c r="E259" s="123"/>
      <c r="F259" s="123"/>
      <c r="G259" s="123"/>
      <c r="H259" s="124">
        <f t="shared" si="12"/>
        <v>20.579744868555132</v>
      </c>
      <c r="I259" s="125"/>
      <c r="K259" s="127"/>
    </row>
    <row r="260" spans="2:11" x14ac:dyDescent="0.25">
      <c r="B260" s="121">
        <v>45057</v>
      </c>
      <c r="C260" s="122" t="str">
        <f t="shared" si="13"/>
        <v>05-2023</v>
      </c>
      <c r="D260" s="123">
        <f t="shared" si="14"/>
        <v>20.563798181883001</v>
      </c>
      <c r="E260" s="123"/>
      <c r="F260" s="123"/>
      <c r="G260" s="123"/>
      <c r="H260" s="124">
        <f t="shared" si="12"/>
        <v>20.563798181883001</v>
      </c>
      <c r="I260" s="125"/>
      <c r="K260" s="127"/>
    </row>
    <row r="261" spans="2:11" x14ac:dyDescent="0.25">
      <c r="B261" s="121">
        <v>45058</v>
      </c>
      <c r="C261" s="122" t="str">
        <f t="shared" si="13"/>
        <v>05-2023</v>
      </c>
      <c r="D261" s="123">
        <f t="shared" si="14"/>
        <v>20.547863851866282</v>
      </c>
      <c r="E261" s="123"/>
      <c r="F261" s="123"/>
      <c r="G261" s="123"/>
      <c r="H261" s="124">
        <f t="shared" si="12"/>
        <v>20.547863851866282</v>
      </c>
      <c r="I261" s="125"/>
      <c r="K261" s="127"/>
    </row>
    <row r="262" spans="2:11" x14ac:dyDescent="0.25">
      <c r="B262" s="121">
        <v>45059</v>
      </c>
      <c r="C262" s="122" t="str">
        <f t="shared" si="13"/>
        <v>05-2023</v>
      </c>
      <c r="D262" s="123">
        <f t="shared" si="14"/>
        <v>20.531941868930137</v>
      </c>
      <c r="E262" s="123"/>
      <c r="F262" s="123"/>
      <c r="G262" s="123"/>
      <c r="H262" s="124">
        <f t="shared" si="12"/>
        <v>20.531941868930137</v>
      </c>
      <c r="I262" s="125"/>
      <c r="K262" s="127"/>
    </row>
    <row r="263" spans="2:11" x14ac:dyDescent="0.25">
      <c r="B263" s="121">
        <v>45060</v>
      </c>
      <c r="C263" s="122" t="str">
        <f t="shared" si="13"/>
        <v>05-2023</v>
      </c>
      <c r="D263" s="123">
        <f t="shared" si="14"/>
        <v>20.51603222350715</v>
      </c>
      <c r="E263" s="123"/>
      <c r="F263" s="123"/>
      <c r="G263" s="123"/>
      <c r="H263" s="124">
        <f t="shared" si="12"/>
        <v>20.51603222350715</v>
      </c>
      <c r="I263" s="125"/>
      <c r="K263" s="127"/>
    </row>
    <row r="264" spans="2:11" x14ac:dyDescent="0.25">
      <c r="B264" s="121">
        <v>45061</v>
      </c>
      <c r="C264" s="122" t="str">
        <f t="shared" si="13"/>
        <v>05-2023</v>
      </c>
      <c r="D264" s="123">
        <f t="shared" si="14"/>
        <v>20.500134906037314</v>
      </c>
      <c r="E264" s="123"/>
      <c r="F264" s="123"/>
      <c r="G264" s="123"/>
      <c r="H264" s="124">
        <f t="shared" ref="H264:H327" si="15">SUM(D264:G264)</f>
        <v>20.500134906037314</v>
      </c>
      <c r="I264" s="125"/>
      <c r="K264" s="127"/>
    </row>
    <row r="265" spans="2:11" x14ac:dyDescent="0.25">
      <c r="B265" s="121">
        <v>45062</v>
      </c>
      <c r="C265" s="122" t="str">
        <f t="shared" ref="C265:C328" si="16">RIGHT("0"&amp;MONTH(B265),2)&amp;"-"&amp;YEAR(B265)</f>
        <v>05-2023</v>
      </c>
      <c r="D265" s="123">
        <f t="shared" si="14"/>
        <v>20.484249906968035</v>
      </c>
      <c r="E265" s="123"/>
      <c r="F265" s="123"/>
      <c r="G265" s="123"/>
      <c r="H265" s="124">
        <f t="shared" si="15"/>
        <v>20.484249906968035</v>
      </c>
      <c r="I265" s="125"/>
      <c r="K265" s="127"/>
    </row>
    <row r="266" spans="2:11" x14ac:dyDescent="0.25">
      <c r="B266" s="121">
        <v>45063</v>
      </c>
      <c r="C266" s="122" t="str">
        <f t="shared" si="16"/>
        <v>05-2023</v>
      </c>
      <c r="D266" s="123">
        <f t="shared" ref="D266:D329" si="17">(1-$E$4)*D265</f>
        <v>20.468377216754117</v>
      </c>
      <c r="E266" s="123"/>
      <c r="F266" s="123"/>
      <c r="G266" s="123"/>
      <c r="H266" s="124">
        <f t="shared" si="15"/>
        <v>20.468377216754117</v>
      </c>
      <c r="I266" s="125"/>
      <c r="K266" s="127"/>
    </row>
    <row r="267" spans="2:11" x14ac:dyDescent="0.25">
      <c r="B267" s="121">
        <v>45064</v>
      </c>
      <c r="C267" s="122" t="str">
        <f t="shared" si="16"/>
        <v>05-2023</v>
      </c>
      <c r="D267" s="123">
        <f t="shared" si="17"/>
        <v>20.45251682585776</v>
      </c>
      <c r="E267" s="123"/>
      <c r="F267" s="123"/>
      <c r="G267" s="123"/>
      <c r="H267" s="124">
        <f t="shared" si="15"/>
        <v>20.45251682585776</v>
      </c>
      <c r="I267" s="125"/>
      <c r="K267" s="127"/>
    </row>
    <row r="268" spans="2:11" x14ac:dyDescent="0.25">
      <c r="B268" s="121">
        <v>45065</v>
      </c>
      <c r="C268" s="122" t="str">
        <f t="shared" si="16"/>
        <v>05-2023</v>
      </c>
      <c r="D268" s="123">
        <f t="shared" si="17"/>
        <v>20.436668724748557</v>
      </c>
      <c r="E268" s="123"/>
      <c r="F268" s="123"/>
      <c r="G268" s="123"/>
      <c r="H268" s="124">
        <f t="shared" si="15"/>
        <v>20.436668724748557</v>
      </c>
      <c r="I268" s="125"/>
      <c r="K268" s="127"/>
    </row>
    <row r="269" spans="2:11" x14ac:dyDescent="0.25">
      <c r="B269" s="121">
        <v>45066</v>
      </c>
      <c r="C269" s="122" t="str">
        <f t="shared" si="16"/>
        <v>05-2023</v>
      </c>
      <c r="D269" s="123">
        <f t="shared" si="17"/>
        <v>20.420832903903484</v>
      </c>
      <c r="E269" s="123"/>
      <c r="F269" s="123"/>
      <c r="G269" s="123"/>
      <c r="H269" s="124">
        <f t="shared" si="15"/>
        <v>20.420832903903484</v>
      </c>
      <c r="I269" s="125"/>
      <c r="K269" s="127"/>
    </row>
    <row r="270" spans="2:11" x14ac:dyDescent="0.25">
      <c r="B270" s="121">
        <v>45067</v>
      </c>
      <c r="C270" s="122" t="str">
        <f t="shared" si="16"/>
        <v>05-2023</v>
      </c>
      <c r="D270" s="123">
        <f t="shared" si="17"/>
        <v>20.4050093538069</v>
      </c>
      <c r="E270" s="123"/>
      <c r="F270" s="123"/>
      <c r="G270" s="123"/>
      <c r="H270" s="124">
        <f t="shared" si="15"/>
        <v>20.4050093538069</v>
      </c>
      <c r="I270" s="125"/>
      <c r="K270" s="127"/>
    </row>
    <row r="271" spans="2:11" x14ac:dyDescent="0.25">
      <c r="B271" s="121">
        <v>45068</v>
      </c>
      <c r="C271" s="122" t="str">
        <f t="shared" si="16"/>
        <v>05-2023</v>
      </c>
      <c r="D271" s="123">
        <f t="shared" si="17"/>
        <v>20.389198064950531</v>
      </c>
      <c r="E271" s="123"/>
      <c r="F271" s="123"/>
      <c r="G271" s="123"/>
      <c r="H271" s="124">
        <f t="shared" si="15"/>
        <v>20.389198064950531</v>
      </c>
      <c r="I271" s="125"/>
      <c r="K271" s="127"/>
    </row>
    <row r="272" spans="2:11" x14ac:dyDescent="0.25">
      <c r="B272" s="121">
        <v>45069</v>
      </c>
      <c r="C272" s="122" t="str">
        <f t="shared" si="16"/>
        <v>05-2023</v>
      </c>
      <c r="D272" s="123">
        <f t="shared" si="17"/>
        <v>20.373399027833475</v>
      </c>
      <c r="E272" s="123"/>
      <c r="F272" s="123"/>
      <c r="G272" s="123"/>
      <c r="H272" s="124">
        <f t="shared" si="15"/>
        <v>20.373399027833475</v>
      </c>
      <c r="I272" s="125"/>
      <c r="K272" s="127"/>
    </row>
    <row r="273" spans="2:11" x14ac:dyDescent="0.25">
      <c r="B273" s="121">
        <v>45070</v>
      </c>
      <c r="C273" s="122" t="str">
        <f t="shared" si="16"/>
        <v>05-2023</v>
      </c>
      <c r="D273" s="123">
        <f t="shared" si="17"/>
        <v>20.357612232962193</v>
      </c>
      <c r="E273" s="123"/>
      <c r="F273" s="123"/>
      <c r="G273" s="123"/>
      <c r="H273" s="124">
        <f t="shared" si="15"/>
        <v>20.357612232962193</v>
      </c>
      <c r="I273" s="125"/>
      <c r="K273" s="127"/>
    </row>
    <row r="274" spans="2:11" x14ac:dyDescent="0.25">
      <c r="B274" s="121">
        <v>45071</v>
      </c>
      <c r="C274" s="122" t="str">
        <f t="shared" si="16"/>
        <v>05-2023</v>
      </c>
      <c r="D274" s="123">
        <f t="shared" si="17"/>
        <v>20.341837670850502</v>
      </c>
      <c r="E274" s="123"/>
      <c r="F274" s="123"/>
      <c r="G274" s="123"/>
      <c r="H274" s="124">
        <f t="shared" si="15"/>
        <v>20.341837670850502</v>
      </c>
      <c r="I274" s="125"/>
      <c r="K274" s="127"/>
    </row>
    <row r="275" spans="2:11" x14ac:dyDescent="0.25">
      <c r="B275" s="121">
        <v>45072</v>
      </c>
      <c r="C275" s="122" t="str">
        <f t="shared" si="16"/>
        <v>05-2023</v>
      </c>
      <c r="D275" s="123">
        <f t="shared" si="17"/>
        <v>20.326075332019563</v>
      </c>
      <c r="E275" s="123"/>
      <c r="F275" s="123"/>
      <c r="G275" s="123"/>
      <c r="H275" s="124">
        <f t="shared" si="15"/>
        <v>20.326075332019563</v>
      </c>
      <c r="I275" s="125"/>
      <c r="K275" s="127"/>
    </row>
    <row r="276" spans="2:11" x14ac:dyDescent="0.25">
      <c r="B276" s="121">
        <v>45073</v>
      </c>
      <c r="C276" s="122" t="str">
        <f t="shared" si="16"/>
        <v>05-2023</v>
      </c>
      <c r="D276" s="123">
        <f t="shared" si="17"/>
        <v>20.310325206997891</v>
      </c>
      <c r="E276" s="123"/>
      <c r="F276" s="123"/>
      <c r="G276" s="123"/>
      <c r="H276" s="124">
        <f t="shared" si="15"/>
        <v>20.310325206997891</v>
      </c>
      <c r="I276" s="125"/>
      <c r="K276" s="127"/>
    </row>
    <row r="277" spans="2:11" x14ac:dyDescent="0.25">
      <c r="B277" s="121">
        <v>45074</v>
      </c>
      <c r="C277" s="122" t="str">
        <f t="shared" si="16"/>
        <v>05-2023</v>
      </c>
      <c r="D277" s="123">
        <f t="shared" si="17"/>
        <v>20.294587286321335</v>
      </c>
      <c r="E277" s="123"/>
      <c r="F277" s="123"/>
      <c r="G277" s="123"/>
      <c r="H277" s="124">
        <f t="shared" si="15"/>
        <v>20.294587286321335</v>
      </c>
      <c r="I277" s="125"/>
      <c r="K277" s="127"/>
    </row>
    <row r="278" spans="2:11" x14ac:dyDescent="0.25">
      <c r="B278" s="121">
        <v>45075</v>
      </c>
      <c r="C278" s="122" t="str">
        <f t="shared" si="16"/>
        <v>05-2023</v>
      </c>
      <c r="D278" s="123">
        <f t="shared" si="17"/>
        <v>20.278861560533077</v>
      </c>
      <c r="E278" s="123"/>
      <c r="F278" s="123"/>
      <c r="G278" s="123"/>
      <c r="H278" s="124">
        <f t="shared" si="15"/>
        <v>20.278861560533077</v>
      </c>
      <c r="I278" s="125"/>
      <c r="K278" s="127"/>
    </row>
    <row r="279" spans="2:11" x14ac:dyDescent="0.25">
      <c r="B279" s="121">
        <v>45076</v>
      </c>
      <c r="C279" s="122" t="str">
        <f t="shared" si="16"/>
        <v>05-2023</v>
      </c>
      <c r="D279" s="123">
        <f t="shared" si="17"/>
        <v>20.263148020183628</v>
      </c>
      <c r="E279" s="123"/>
      <c r="F279" s="123"/>
      <c r="G279" s="123"/>
      <c r="H279" s="124">
        <f t="shared" si="15"/>
        <v>20.263148020183628</v>
      </c>
      <c r="I279" s="125"/>
      <c r="K279" s="127"/>
    </row>
    <row r="280" spans="2:11" x14ac:dyDescent="0.25">
      <c r="B280" s="121">
        <v>45077</v>
      </c>
      <c r="C280" s="122" t="str">
        <f t="shared" si="16"/>
        <v>05-2023</v>
      </c>
      <c r="D280" s="123">
        <f t="shared" si="17"/>
        <v>20.247446655830824</v>
      </c>
      <c r="E280" s="123"/>
      <c r="F280" s="123"/>
      <c r="G280" s="123"/>
      <c r="H280" s="124">
        <f t="shared" si="15"/>
        <v>20.247446655830824</v>
      </c>
      <c r="I280" s="125"/>
      <c r="K280" s="127"/>
    </row>
    <row r="281" spans="2:11" x14ac:dyDescent="0.25">
      <c r="B281" s="121">
        <v>45078</v>
      </c>
      <c r="C281" s="122" t="str">
        <f t="shared" si="16"/>
        <v>06-2023</v>
      </c>
      <c r="D281" s="123">
        <f t="shared" si="17"/>
        <v>20.231757458039816</v>
      </c>
      <c r="E281" s="123"/>
      <c r="F281" s="123"/>
      <c r="G281" s="123"/>
      <c r="H281" s="124">
        <f t="shared" si="15"/>
        <v>20.231757458039816</v>
      </c>
      <c r="I281" s="125"/>
      <c r="K281" s="127"/>
    </row>
    <row r="282" spans="2:11" x14ac:dyDescent="0.25">
      <c r="B282" s="121">
        <v>45079</v>
      </c>
      <c r="C282" s="122" t="str">
        <f t="shared" si="16"/>
        <v>06-2023</v>
      </c>
      <c r="D282" s="123">
        <f t="shared" si="17"/>
        <v>20.216080417383065</v>
      </c>
      <c r="E282" s="123"/>
      <c r="F282" s="123"/>
      <c r="G282" s="123"/>
      <c r="H282" s="124">
        <f t="shared" si="15"/>
        <v>20.216080417383065</v>
      </c>
      <c r="I282" s="125"/>
      <c r="K282" s="127"/>
    </row>
    <row r="283" spans="2:11" x14ac:dyDescent="0.25">
      <c r="B283" s="121">
        <v>45080</v>
      </c>
      <c r="C283" s="122" t="str">
        <f t="shared" si="16"/>
        <v>06-2023</v>
      </c>
      <c r="D283" s="123">
        <f t="shared" si="17"/>
        <v>20.200415524440334</v>
      </c>
      <c r="E283" s="123"/>
      <c r="F283" s="123"/>
      <c r="G283" s="123"/>
      <c r="H283" s="124">
        <f t="shared" si="15"/>
        <v>20.200415524440334</v>
      </c>
      <c r="I283" s="125"/>
      <c r="K283" s="127"/>
    </row>
    <row r="284" spans="2:11" x14ac:dyDescent="0.25">
      <c r="B284" s="121">
        <v>45081</v>
      </c>
      <c r="C284" s="122" t="str">
        <f t="shared" si="16"/>
        <v>06-2023</v>
      </c>
      <c r="D284" s="123">
        <f t="shared" si="17"/>
        <v>20.184762769798692</v>
      </c>
      <c r="E284" s="123"/>
      <c r="F284" s="123"/>
      <c r="G284" s="123"/>
      <c r="H284" s="124">
        <f t="shared" si="15"/>
        <v>20.184762769798692</v>
      </c>
      <c r="I284" s="125"/>
      <c r="K284" s="127"/>
    </row>
    <row r="285" spans="2:11" x14ac:dyDescent="0.25">
      <c r="B285" s="121">
        <v>45082</v>
      </c>
      <c r="C285" s="122" t="str">
        <f t="shared" si="16"/>
        <v>06-2023</v>
      </c>
      <c r="D285" s="123">
        <f t="shared" si="17"/>
        <v>20.169122144052494</v>
      </c>
      <c r="E285" s="123"/>
      <c r="F285" s="123"/>
      <c r="G285" s="123"/>
      <c r="H285" s="124">
        <f t="shared" si="15"/>
        <v>20.169122144052494</v>
      </c>
      <c r="I285" s="125"/>
      <c r="K285" s="127"/>
    </row>
    <row r="286" spans="2:11" x14ac:dyDescent="0.25">
      <c r="B286" s="121">
        <v>45083</v>
      </c>
      <c r="C286" s="122" t="str">
        <f t="shared" si="16"/>
        <v>06-2023</v>
      </c>
      <c r="D286" s="123">
        <f t="shared" si="17"/>
        <v>20.15349363780339</v>
      </c>
      <c r="E286" s="123"/>
      <c r="F286" s="123"/>
      <c r="G286" s="123"/>
      <c r="H286" s="124">
        <f t="shared" si="15"/>
        <v>20.15349363780339</v>
      </c>
      <c r="I286" s="125"/>
      <c r="K286" s="127"/>
    </row>
    <row r="287" spans="2:11" x14ac:dyDescent="0.25">
      <c r="B287" s="121">
        <v>45084</v>
      </c>
      <c r="C287" s="122" t="str">
        <f t="shared" si="16"/>
        <v>06-2023</v>
      </c>
      <c r="D287" s="123">
        <f t="shared" si="17"/>
        <v>20.137877241660309</v>
      </c>
      <c r="E287" s="123"/>
      <c r="F287" s="123"/>
      <c r="G287" s="123"/>
      <c r="H287" s="124">
        <f t="shared" si="15"/>
        <v>20.137877241660309</v>
      </c>
      <c r="I287" s="125"/>
      <c r="K287" s="127"/>
    </row>
    <row r="288" spans="2:11" x14ac:dyDescent="0.25">
      <c r="B288" s="121">
        <v>45085</v>
      </c>
      <c r="C288" s="122" t="str">
        <f t="shared" si="16"/>
        <v>06-2023</v>
      </c>
      <c r="D288" s="123">
        <f t="shared" si="17"/>
        <v>20.122272946239462</v>
      </c>
      <c r="E288" s="123"/>
      <c r="F288" s="123"/>
      <c r="G288" s="123"/>
      <c r="H288" s="124">
        <f t="shared" si="15"/>
        <v>20.122272946239462</v>
      </c>
      <c r="I288" s="125"/>
      <c r="K288" s="127"/>
    </row>
    <row r="289" spans="2:11" x14ac:dyDescent="0.25">
      <c r="B289" s="121">
        <v>45086</v>
      </c>
      <c r="C289" s="122" t="str">
        <f t="shared" si="16"/>
        <v>06-2023</v>
      </c>
      <c r="D289" s="123">
        <f t="shared" si="17"/>
        <v>20.106680742164325</v>
      </c>
      <c r="E289" s="123"/>
      <c r="F289" s="123"/>
      <c r="G289" s="123"/>
      <c r="H289" s="124">
        <f t="shared" si="15"/>
        <v>20.106680742164325</v>
      </c>
      <c r="I289" s="125"/>
      <c r="K289" s="127"/>
    </row>
    <row r="290" spans="2:11" x14ac:dyDescent="0.25">
      <c r="B290" s="121">
        <v>45087</v>
      </c>
      <c r="C290" s="122" t="str">
        <f t="shared" si="16"/>
        <v>06-2023</v>
      </c>
      <c r="D290" s="123">
        <f t="shared" si="17"/>
        <v>20.091100620065639</v>
      </c>
      <c r="E290" s="123"/>
      <c r="F290" s="123"/>
      <c r="G290" s="123"/>
      <c r="H290" s="124">
        <f t="shared" si="15"/>
        <v>20.091100620065639</v>
      </c>
      <c r="I290" s="125"/>
      <c r="K290" s="127"/>
    </row>
    <row r="291" spans="2:11" x14ac:dyDescent="0.25">
      <c r="B291" s="121">
        <v>45088</v>
      </c>
      <c r="C291" s="122" t="str">
        <f t="shared" si="16"/>
        <v>06-2023</v>
      </c>
      <c r="D291" s="123">
        <f t="shared" si="17"/>
        <v>20.075532570581409</v>
      </c>
      <c r="E291" s="123"/>
      <c r="F291" s="123"/>
      <c r="G291" s="123"/>
      <c r="H291" s="124">
        <f t="shared" si="15"/>
        <v>20.075532570581409</v>
      </c>
      <c r="I291" s="125"/>
      <c r="K291" s="127"/>
    </row>
    <row r="292" spans="2:11" x14ac:dyDescent="0.25">
      <c r="B292" s="121">
        <v>45089</v>
      </c>
      <c r="C292" s="122" t="str">
        <f t="shared" si="16"/>
        <v>06-2023</v>
      </c>
      <c r="D292" s="123">
        <f t="shared" si="17"/>
        <v>20.059976584356896</v>
      </c>
      <c r="E292" s="123"/>
      <c r="F292" s="123"/>
      <c r="G292" s="123"/>
      <c r="H292" s="124">
        <f t="shared" si="15"/>
        <v>20.059976584356896</v>
      </c>
      <c r="I292" s="125"/>
      <c r="K292" s="127"/>
    </row>
    <row r="293" spans="2:11" x14ac:dyDescent="0.25">
      <c r="B293" s="121">
        <v>45090</v>
      </c>
      <c r="C293" s="122" t="str">
        <f t="shared" si="16"/>
        <v>06-2023</v>
      </c>
      <c r="D293" s="123">
        <f t="shared" si="17"/>
        <v>20.044432652044605</v>
      </c>
      <c r="E293" s="123"/>
      <c r="F293" s="123"/>
      <c r="G293" s="123"/>
      <c r="H293" s="124">
        <f t="shared" si="15"/>
        <v>20.044432652044605</v>
      </c>
      <c r="I293" s="125"/>
      <c r="K293" s="127"/>
    </row>
    <row r="294" spans="2:11" x14ac:dyDescent="0.25">
      <c r="B294" s="121">
        <v>45091</v>
      </c>
      <c r="C294" s="122" t="str">
        <f t="shared" si="16"/>
        <v>06-2023</v>
      </c>
      <c r="D294" s="123">
        <f t="shared" si="17"/>
        <v>20.028900764304286</v>
      </c>
      <c r="E294" s="123"/>
      <c r="F294" s="123"/>
      <c r="G294" s="123"/>
      <c r="H294" s="124">
        <f t="shared" si="15"/>
        <v>20.028900764304286</v>
      </c>
      <c r="I294" s="125"/>
      <c r="K294" s="127"/>
    </row>
    <row r="295" spans="2:11" x14ac:dyDescent="0.25">
      <c r="B295" s="121">
        <v>45092</v>
      </c>
      <c r="C295" s="122" t="str">
        <f t="shared" si="16"/>
        <v>06-2023</v>
      </c>
      <c r="D295" s="123">
        <f t="shared" si="17"/>
        <v>20.013380911802926</v>
      </c>
      <c r="E295" s="123"/>
      <c r="F295" s="123"/>
      <c r="G295" s="123"/>
      <c r="H295" s="124">
        <f t="shared" si="15"/>
        <v>20.013380911802926</v>
      </c>
      <c r="I295" s="125"/>
      <c r="K295" s="127"/>
    </row>
    <row r="296" spans="2:11" x14ac:dyDescent="0.25">
      <c r="B296" s="121">
        <v>45093</v>
      </c>
      <c r="C296" s="122" t="str">
        <f t="shared" si="16"/>
        <v>06-2023</v>
      </c>
      <c r="D296" s="123">
        <f t="shared" si="17"/>
        <v>19.997873085214746</v>
      </c>
      <c r="E296" s="123"/>
      <c r="F296" s="123"/>
      <c r="G296" s="123"/>
      <c r="H296" s="124">
        <f t="shared" si="15"/>
        <v>19.997873085214746</v>
      </c>
      <c r="I296" s="125"/>
      <c r="K296" s="127"/>
    </row>
    <row r="297" spans="2:11" x14ac:dyDescent="0.25">
      <c r="B297" s="121">
        <v>45094</v>
      </c>
      <c r="C297" s="122" t="str">
        <f t="shared" si="16"/>
        <v>06-2023</v>
      </c>
      <c r="D297" s="123">
        <f t="shared" si="17"/>
        <v>19.982377275221189</v>
      </c>
      <c r="E297" s="123"/>
      <c r="F297" s="123"/>
      <c r="G297" s="123"/>
      <c r="H297" s="124">
        <f t="shared" si="15"/>
        <v>19.982377275221189</v>
      </c>
      <c r="I297" s="125"/>
      <c r="K297" s="127"/>
    </row>
    <row r="298" spans="2:11" x14ac:dyDescent="0.25">
      <c r="B298" s="121">
        <v>45095</v>
      </c>
      <c r="C298" s="122" t="str">
        <f t="shared" si="16"/>
        <v>06-2023</v>
      </c>
      <c r="D298" s="123">
        <f t="shared" si="17"/>
        <v>19.966893472510925</v>
      </c>
      <c r="E298" s="123"/>
      <c r="F298" s="123"/>
      <c r="G298" s="123"/>
      <c r="H298" s="124">
        <f t="shared" si="15"/>
        <v>19.966893472510925</v>
      </c>
      <c r="I298" s="125"/>
      <c r="K298" s="127"/>
    </row>
    <row r="299" spans="2:11" x14ac:dyDescent="0.25">
      <c r="B299" s="121">
        <v>45096</v>
      </c>
      <c r="C299" s="122" t="str">
        <f t="shared" si="16"/>
        <v>06-2023</v>
      </c>
      <c r="D299" s="123">
        <f t="shared" si="17"/>
        <v>19.951421667779833</v>
      </c>
      <c r="E299" s="123"/>
      <c r="F299" s="123"/>
      <c r="G299" s="123"/>
      <c r="H299" s="124">
        <f t="shared" si="15"/>
        <v>19.951421667779833</v>
      </c>
      <c r="I299" s="125"/>
      <c r="K299" s="127"/>
    </row>
    <row r="300" spans="2:11" x14ac:dyDescent="0.25">
      <c r="B300" s="121">
        <v>45097</v>
      </c>
      <c r="C300" s="122" t="str">
        <f t="shared" si="16"/>
        <v>06-2023</v>
      </c>
      <c r="D300" s="123">
        <f t="shared" si="17"/>
        <v>19.935961851731005</v>
      </c>
      <c r="E300" s="123"/>
      <c r="F300" s="123"/>
      <c r="G300" s="123"/>
      <c r="H300" s="124">
        <f t="shared" si="15"/>
        <v>19.935961851731005</v>
      </c>
      <c r="I300" s="125"/>
      <c r="K300" s="127"/>
    </row>
    <row r="301" spans="2:11" x14ac:dyDescent="0.25">
      <c r="B301" s="121">
        <v>45098</v>
      </c>
      <c r="C301" s="122" t="str">
        <f t="shared" si="16"/>
        <v>06-2023</v>
      </c>
      <c r="D301" s="123">
        <f t="shared" si="17"/>
        <v>19.920514015074737</v>
      </c>
      <c r="E301" s="123"/>
      <c r="F301" s="123"/>
      <c r="G301" s="123"/>
      <c r="H301" s="124">
        <f t="shared" si="15"/>
        <v>19.920514015074737</v>
      </c>
      <c r="I301" s="125"/>
      <c r="K301" s="127"/>
    </row>
    <row r="302" spans="2:11" x14ac:dyDescent="0.25">
      <c r="B302" s="121">
        <v>45099</v>
      </c>
      <c r="C302" s="122" t="str">
        <f t="shared" si="16"/>
        <v>06-2023</v>
      </c>
      <c r="D302" s="123">
        <f t="shared" si="17"/>
        <v>19.905078148528521</v>
      </c>
      <c r="E302" s="123"/>
      <c r="F302" s="123"/>
      <c r="G302" s="123"/>
      <c r="H302" s="124">
        <f t="shared" si="15"/>
        <v>19.905078148528521</v>
      </c>
      <c r="I302" s="125"/>
      <c r="K302" s="127"/>
    </row>
    <row r="303" spans="2:11" x14ac:dyDescent="0.25">
      <c r="B303" s="121">
        <v>45100</v>
      </c>
      <c r="C303" s="122" t="str">
        <f t="shared" si="16"/>
        <v>06-2023</v>
      </c>
      <c r="D303" s="123">
        <f t="shared" si="17"/>
        <v>19.889654242817041</v>
      </c>
      <c r="E303" s="123"/>
      <c r="F303" s="123"/>
      <c r="G303" s="123"/>
      <c r="H303" s="124">
        <f t="shared" si="15"/>
        <v>19.889654242817041</v>
      </c>
      <c r="I303" s="125"/>
      <c r="K303" s="127"/>
    </row>
    <row r="304" spans="2:11" x14ac:dyDescent="0.25">
      <c r="B304" s="121">
        <v>45101</v>
      </c>
      <c r="C304" s="122" t="str">
        <f t="shared" si="16"/>
        <v>06-2023</v>
      </c>
      <c r="D304" s="123">
        <f t="shared" si="17"/>
        <v>19.874242288672175</v>
      </c>
      <c r="E304" s="123"/>
      <c r="F304" s="123"/>
      <c r="G304" s="123"/>
      <c r="H304" s="124">
        <f t="shared" si="15"/>
        <v>19.874242288672175</v>
      </c>
      <c r="I304" s="125"/>
      <c r="K304" s="127"/>
    </row>
    <row r="305" spans="2:11" x14ac:dyDescent="0.25">
      <c r="B305" s="121">
        <v>45102</v>
      </c>
      <c r="C305" s="122" t="str">
        <f t="shared" si="16"/>
        <v>06-2023</v>
      </c>
      <c r="D305" s="123">
        <f t="shared" si="17"/>
        <v>19.858842276832974</v>
      </c>
      <c r="E305" s="123"/>
      <c r="F305" s="123"/>
      <c r="G305" s="123"/>
      <c r="H305" s="124">
        <f t="shared" si="15"/>
        <v>19.858842276832974</v>
      </c>
      <c r="I305" s="125"/>
      <c r="K305" s="127"/>
    </row>
    <row r="306" spans="2:11" x14ac:dyDescent="0.25">
      <c r="B306" s="121">
        <v>45103</v>
      </c>
      <c r="C306" s="122" t="str">
        <f t="shared" si="16"/>
        <v>06-2023</v>
      </c>
      <c r="D306" s="123">
        <f t="shared" si="17"/>
        <v>19.84345419804567</v>
      </c>
      <c r="E306" s="123"/>
      <c r="F306" s="123"/>
      <c r="G306" s="123"/>
      <c r="H306" s="124">
        <f t="shared" si="15"/>
        <v>19.84345419804567</v>
      </c>
      <c r="I306" s="125"/>
      <c r="K306" s="127"/>
    </row>
    <row r="307" spans="2:11" x14ac:dyDescent="0.25">
      <c r="B307" s="121">
        <v>45104</v>
      </c>
      <c r="C307" s="122" t="str">
        <f t="shared" si="16"/>
        <v>06-2023</v>
      </c>
      <c r="D307" s="123">
        <f t="shared" si="17"/>
        <v>19.828078043063666</v>
      </c>
      <c r="E307" s="123"/>
      <c r="F307" s="123"/>
      <c r="G307" s="123"/>
      <c r="H307" s="124">
        <f t="shared" si="15"/>
        <v>19.828078043063666</v>
      </c>
      <c r="I307" s="125"/>
      <c r="K307" s="127"/>
    </row>
    <row r="308" spans="2:11" x14ac:dyDescent="0.25">
      <c r="B308" s="121">
        <v>45105</v>
      </c>
      <c r="C308" s="122" t="str">
        <f t="shared" si="16"/>
        <v>06-2023</v>
      </c>
      <c r="D308" s="123">
        <f t="shared" si="17"/>
        <v>19.812713802647526</v>
      </c>
      <c r="E308" s="123"/>
      <c r="F308" s="123"/>
      <c r="G308" s="123"/>
      <c r="H308" s="124">
        <f t="shared" si="15"/>
        <v>19.812713802647526</v>
      </c>
      <c r="I308" s="125"/>
      <c r="K308" s="127"/>
    </row>
    <row r="309" spans="2:11" x14ac:dyDescent="0.25">
      <c r="B309" s="121">
        <v>45106</v>
      </c>
      <c r="C309" s="122" t="str">
        <f t="shared" si="16"/>
        <v>06-2023</v>
      </c>
      <c r="D309" s="123">
        <f t="shared" si="17"/>
        <v>19.797361467564976</v>
      </c>
      <c r="E309" s="123"/>
      <c r="F309" s="123"/>
      <c r="G309" s="123"/>
      <c r="H309" s="124">
        <f t="shared" si="15"/>
        <v>19.797361467564976</v>
      </c>
      <c r="I309" s="125"/>
      <c r="K309" s="127"/>
    </row>
    <row r="310" spans="2:11" x14ac:dyDescent="0.25">
      <c r="B310" s="121">
        <v>45107</v>
      </c>
      <c r="C310" s="122" t="str">
        <f t="shared" si="16"/>
        <v>06-2023</v>
      </c>
      <c r="D310" s="123">
        <f t="shared" si="17"/>
        <v>19.782021028590897</v>
      </c>
      <c r="E310" s="123"/>
      <c r="F310" s="123"/>
      <c r="G310" s="123"/>
      <c r="H310" s="124">
        <f t="shared" si="15"/>
        <v>19.782021028590897</v>
      </c>
      <c r="I310" s="125"/>
      <c r="K310" s="127"/>
    </row>
    <row r="311" spans="2:11" x14ac:dyDescent="0.25">
      <c r="B311" s="121">
        <v>45108</v>
      </c>
      <c r="C311" s="122" t="str">
        <f t="shared" si="16"/>
        <v>07-2023</v>
      </c>
      <c r="D311" s="123">
        <f t="shared" si="17"/>
        <v>19.766692476507316</v>
      </c>
      <c r="E311" s="123"/>
      <c r="F311" s="123"/>
      <c r="G311" s="123"/>
      <c r="H311" s="124">
        <f t="shared" si="15"/>
        <v>19.766692476507316</v>
      </c>
      <c r="I311" s="125"/>
      <c r="K311" s="127"/>
    </row>
    <row r="312" spans="2:11" x14ac:dyDescent="0.25">
      <c r="B312" s="121">
        <v>45109</v>
      </c>
      <c r="C312" s="122" t="str">
        <f t="shared" si="16"/>
        <v>07-2023</v>
      </c>
      <c r="D312" s="123">
        <f t="shared" si="17"/>
        <v>19.751375802103404</v>
      </c>
      <c r="E312" s="123"/>
      <c r="F312" s="123"/>
      <c r="G312" s="123"/>
      <c r="H312" s="124">
        <f t="shared" si="15"/>
        <v>19.751375802103404</v>
      </c>
      <c r="I312" s="125"/>
      <c r="K312" s="127"/>
    </row>
    <row r="313" spans="2:11" x14ac:dyDescent="0.25">
      <c r="B313" s="121">
        <v>45110</v>
      </c>
      <c r="C313" s="122" t="str">
        <f t="shared" si="16"/>
        <v>07-2023</v>
      </c>
      <c r="D313" s="123">
        <f t="shared" si="17"/>
        <v>19.736070996175467</v>
      </c>
      <c r="E313" s="123"/>
      <c r="F313" s="123"/>
      <c r="G313" s="123"/>
      <c r="H313" s="124">
        <f t="shared" si="15"/>
        <v>19.736070996175467</v>
      </c>
      <c r="I313" s="125"/>
      <c r="K313" s="127"/>
    </row>
    <row r="314" spans="2:11" x14ac:dyDescent="0.25">
      <c r="B314" s="121">
        <v>45111</v>
      </c>
      <c r="C314" s="122" t="str">
        <f t="shared" si="16"/>
        <v>07-2023</v>
      </c>
      <c r="D314" s="123">
        <f t="shared" si="17"/>
        <v>19.720778049526949</v>
      </c>
      <c r="E314" s="123"/>
      <c r="F314" s="123"/>
      <c r="G314" s="123"/>
      <c r="H314" s="124">
        <f t="shared" si="15"/>
        <v>19.720778049526949</v>
      </c>
      <c r="I314" s="125"/>
      <c r="K314" s="127"/>
    </row>
    <row r="315" spans="2:11" x14ac:dyDescent="0.25">
      <c r="B315" s="121">
        <v>45112</v>
      </c>
      <c r="C315" s="122" t="str">
        <f t="shared" si="16"/>
        <v>07-2023</v>
      </c>
      <c r="D315" s="123">
        <f t="shared" si="17"/>
        <v>19.70549695296841</v>
      </c>
      <c r="E315" s="123"/>
      <c r="F315" s="123"/>
      <c r="G315" s="123"/>
      <c r="H315" s="124">
        <f t="shared" si="15"/>
        <v>19.70549695296841</v>
      </c>
      <c r="I315" s="125"/>
      <c r="K315" s="127"/>
    </row>
    <row r="316" spans="2:11" x14ac:dyDescent="0.25">
      <c r="B316" s="121">
        <v>45113</v>
      </c>
      <c r="C316" s="122" t="str">
        <f t="shared" si="16"/>
        <v>07-2023</v>
      </c>
      <c r="D316" s="123">
        <f t="shared" si="17"/>
        <v>19.690227697317539</v>
      </c>
      <c r="E316" s="123"/>
      <c r="F316" s="123"/>
      <c r="G316" s="123"/>
      <c r="H316" s="124">
        <f t="shared" si="15"/>
        <v>19.690227697317539</v>
      </c>
      <c r="I316" s="125"/>
      <c r="K316" s="127"/>
    </row>
    <row r="317" spans="2:11" x14ac:dyDescent="0.25">
      <c r="B317" s="121">
        <v>45114</v>
      </c>
      <c r="C317" s="122" t="str">
        <f t="shared" si="16"/>
        <v>07-2023</v>
      </c>
      <c r="D317" s="123">
        <f t="shared" si="17"/>
        <v>19.67497027339914</v>
      </c>
      <c r="E317" s="123"/>
      <c r="F317" s="123"/>
      <c r="G317" s="123"/>
      <c r="H317" s="124">
        <f t="shared" si="15"/>
        <v>19.67497027339914</v>
      </c>
      <c r="I317" s="125"/>
      <c r="K317" s="127"/>
    </row>
    <row r="318" spans="2:11" x14ac:dyDescent="0.25">
      <c r="B318" s="121">
        <v>45115</v>
      </c>
      <c r="C318" s="122" t="str">
        <f t="shared" si="16"/>
        <v>07-2023</v>
      </c>
      <c r="D318" s="123">
        <f t="shared" si="17"/>
        <v>19.659724672045122</v>
      </c>
      <c r="E318" s="123"/>
      <c r="F318" s="123"/>
      <c r="G318" s="123"/>
      <c r="H318" s="124">
        <f t="shared" si="15"/>
        <v>19.659724672045122</v>
      </c>
      <c r="I318" s="125"/>
      <c r="K318" s="127"/>
    </row>
    <row r="319" spans="2:11" x14ac:dyDescent="0.25">
      <c r="B319" s="121">
        <v>45116</v>
      </c>
      <c r="C319" s="122" t="str">
        <f t="shared" si="16"/>
        <v>07-2023</v>
      </c>
      <c r="D319" s="123">
        <f t="shared" si="17"/>
        <v>19.644490884094498</v>
      </c>
      <c r="E319" s="123"/>
      <c r="F319" s="123"/>
      <c r="G319" s="123"/>
      <c r="H319" s="124">
        <f t="shared" si="15"/>
        <v>19.644490884094498</v>
      </c>
      <c r="I319" s="125"/>
      <c r="K319" s="127"/>
    </row>
    <row r="320" spans="2:11" x14ac:dyDescent="0.25">
      <c r="B320" s="121">
        <v>45117</v>
      </c>
      <c r="C320" s="122" t="str">
        <f t="shared" si="16"/>
        <v>07-2023</v>
      </c>
      <c r="D320" s="123">
        <f t="shared" si="17"/>
        <v>19.629268900393384</v>
      </c>
      <c r="E320" s="123"/>
      <c r="F320" s="123"/>
      <c r="G320" s="123"/>
      <c r="H320" s="124">
        <f t="shared" si="15"/>
        <v>19.629268900393384</v>
      </c>
      <c r="I320" s="125"/>
      <c r="K320" s="127"/>
    </row>
    <row r="321" spans="2:11" x14ac:dyDescent="0.25">
      <c r="B321" s="121">
        <v>45118</v>
      </c>
      <c r="C321" s="122" t="str">
        <f t="shared" si="16"/>
        <v>07-2023</v>
      </c>
      <c r="D321" s="123">
        <f t="shared" si="17"/>
        <v>19.614058711794989</v>
      </c>
      <c r="E321" s="123"/>
      <c r="F321" s="123"/>
      <c r="G321" s="123"/>
      <c r="H321" s="124">
        <f t="shared" si="15"/>
        <v>19.614058711794989</v>
      </c>
      <c r="I321" s="125"/>
      <c r="K321" s="127"/>
    </row>
    <row r="322" spans="2:11" x14ac:dyDescent="0.25">
      <c r="B322" s="121">
        <v>45119</v>
      </c>
      <c r="C322" s="122" t="str">
        <f t="shared" si="16"/>
        <v>07-2023</v>
      </c>
      <c r="D322" s="123">
        <f t="shared" si="17"/>
        <v>19.598860309159605</v>
      </c>
      <c r="E322" s="123"/>
      <c r="F322" s="123"/>
      <c r="G322" s="123"/>
      <c r="H322" s="124">
        <f t="shared" si="15"/>
        <v>19.598860309159605</v>
      </c>
      <c r="I322" s="125"/>
      <c r="K322" s="127"/>
    </row>
    <row r="323" spans="2:11" x14ac:dyDescent="0.25">
      <c r="B323" s="121">
        <v>45120</v>
      </c>
      <c r="C323" s="122" t="str">
        <f t="shared" si="16"/>
        <v>07-2023</v>
      </c>
      <c r="D323" s="123">
        <f t="shared" si="17"/>
        <v>19.583673683354608</v>
      </c>
      <c r="E323" s="123"/>
      <c r="F323" s="123"/>
      <c r="G323" s="123"/>
      <c r="H323" s="124">
        <f t="shared" si="15"/>
        <v>19.583673683354608</v>
      </c>
      <c r="I323" s="125"/>
      <c r="K323" s="127"/>
    </row>
    <row r="324" spans="2:11" x14ac:dyDescent="0.25">
      <c r="B324" s="121">
        <v>45121</v>
      </c>
      <c r="C324" s="122" t="str">
        <f t="shared" si="16"/>
        <v>07-2023</v>
      </c>
      <c r="D324" s="123">
        <f t="shared" si="17"/>
        <v>19.568498825254451</v>
      </c>
      <c r="E324" s="123"/>
      <c r="F324" s="123"/>
      <c r="G324" s="123"/>
      <c r="H324" s="124">
        <f t="shared" si="15"/>
        <v>19.568498825254451</v>
      </c>
      <c r="I324" s="125"/>
      <c r="K324" s="127"/>
    </row>
    <row r="325" spans="2:11" x14ac:dyDescent="0.25">
      <c r="B325" s="121">
        <v>45122</v>
      </c>
      <c r="C325" s="122" t="str">
        <f t="shared" si="16"/>
        <v>07-2023</v>
      </c>
      <c r="D325" s="123">
        <f t="shared" si="17"/>
        <v>19.553335725740663</v>
      </c>
      <c r="E325" s="123"/>
      <c r="F325" s="123"/>
      <c r="G325" s="123"/>
      <c r="H325" s="124">
        <f t="shared" si="15"/>
        <v>19.553335725740663</v>
      </c>
      <c r="I325" s="125"/>
      <c r="K325" s="127"/>
    </row>
    <row r="326" spans="2:11" x14ac:dyDescent="0.25">
      <c r="B326" s="121">
        <v>45123</v>
      </c>
      <c r="C326" s="122" t="str">
        <f t="shared" si="16"/>
        <v>07-2023</v>
      </c>
      <c r="D326" s="123">
        <f t="shared" si="17"/>
        <v>19.538184375701828</v>
      </c>
      <c r="E326" s="123"/>
      <c r="F326" s="123"/>
      <c r="G326" s="123"/>
      <c r="H326" s="124">
        <f t="shared" si="15"/>
        <v>19.538184375701828</v>
      </c>
      <c r="I326" s="125"/>
      <c r="K326" s="127"/>
    </row>
    <row r="327" spans="2:11" x14ac:dyDescent="0.25">
      <c r="B327" s="121">
        <v>45124</v>
      </c>
      <c r="C327" s="122" t="str">
        <f t="shared" si="16"/>
        <v>07-2023</v>
      </c>
      <c r="D327" s="123">
        <f t="shared" si="17"/>
        <v>19.5230447660336</v>
      </c>
      <c r="E327" s="123"/>
      <c r="F327" s="123"/>
      <c r="G327" s="123"/>
      <c r="H327" s="124">
        <f t="shared" si="15"/>
        <v>19.5230447660336</v>
      </c>
      <c r="I327" s="125"/>
      <c r="K327" s="127"/>
    </row>
    <row r="328" spans="2:11" x14ac:dyDescent="0.25">
      <c r="B328" s="121">
        <v>45125</v>
      </c>
      <c r="C328" s="122" t="str">
        <f t="shared" si="16"/>
        <v>07-2023</v>
      </c>
      <c r="D328" s="123">
        <f t="shared" si="17"/>
        <v>19.507916887638682</v>
      </c>
      <c r="E328" s="123"/>
      <c r="F328" s="123"/>
      <c r="G328" s="123"/>
      <c r="H328" s="124">
        <f t="shared" ref="H328:H391" si="18">SUM(D328:G328)</f>
        <v>19.507916887638682</v>
      </c>
      <c r="I328" s="125"/>
      <c r="K328" s="127"/>
    </row>
    <row r="329" spans="2:11" x14ac:dyDescent="0.25">
      <c r="B329" s="121">
        <v>45126</v>
      </c>
      <c r="C329" s="122" t="str">
        <f t="shared" ref="C329:C392" si="19">RIGHT("0"&amp;MONTH(B329),2)&amp;"-"&amp;YEAR(B329)</f>
        <v>07-2023</v>
      </c>
      <c r="D329" s="123">
        <f t="shared" si="17"/>
        <v>19.492800731426829</v>
      </c>
      <c r="E329" s="123"/>
      <c r="F329" s="123"/>
      <c r="G329" s="123"/>
      <c r="H329" s="124">
        <f t="shared" si="18"/>
        <v>19.492800731426829</v>
      </c>
      <c r="I329" s="125"/>
      <c r="K329" s="127"/>
    </row>
    <row r="330" spans="2:11" x14ac:dyDescent="0.25">
      <c r="B330" s="121">
        <v>45127</v>
      </c>
      <c r="C330" s="122" t="str">
        <f t="shared" si="19"/>
        <v>07-2023</v>
      </c>
      <c r="D330" s="123">
        <f t="shared" ref="D330:D372" si="20">(1-$E$4)*D329</f>
        <v>19.477696288314839</v>
      </c>
      <c r="E330" s="123"/>
      <c r="F330" s="123"/>
      <c r="G330" s="123"/>
      <c r="H330" s="124">
        <f t="shared" si="18"/>
        <v>19.477696288314839</v>
      </c>
      <c r="I330" s="125"/>
      <c r="K330" s="127"/>
    </row>
    <row r="331" spans="2:11" x14ac:dyDescent="0.25">
      <c r="B331" s="121">
        <v>45128</v>
      </c>
      <c r="C331" s="122" t="str">
        <f t="shared" si="19"/>
        <v>07-2023</v>
      </c>
      <c r="D331" s="123">
        <f t="shared" si="20"/>
        <v>19.462603549226547</v>
      </c>
      <c r="E331" s="123"/>
      <c r="F331" s="123"/>
      <c r="G331" s="123"/>
      <c r="H331" s="124">
        <f t="shared" si="18"/>
        <v>19.462603549226547</v>
      </c>
      <c r="I331" s="125"/>
      <c r="K331" s="127"/>
    </row>
    <row r="332" spans="2:11" x14ac:dyDescent="0.25">
      <c r="B332" s="121">
        <v>45129</v>
      </c>
      <c r="C332" s="122" t="str">
        <f t="shared" si="19"/>
        <v>07-2023</v>
      </c>
      <c r="D332" s="123">
        <f t="shared" si="20"/>
        <v>19.447522505092824</v>
      </c>
      <c r="E332" s="123"/>
      <c r="F332" s="123"/>
      <c r="G332" s="123"/>
      <c r="H332" s="124">
        <f t="shared" si="18"/>
        <v>19.447522505092824</v>
      </c>
      <c r="I332" s="125"/>
      <c r="K332" s="127"/>
    </row>
    <row r="333" spans="2:11" x14ac:dyDescent="0.25">
      <c r="B333" s="121">
        <v>45130</v>
      </c>
      <c r="C333" s="122" t="str">
        <f t="shared" si="19"/>
        <v>07-2023</v>
      </c>
      <c r="D333" s="123">
        <f t="shared" si="20"/>
        <v>19.432453146851564</v>
      </c>
      <c r="E333" s="123"/>
      <c r="F333" s="123"/>
      <c r="G333" s="123"/>
      <c r="H333" s="124">
        <f t="shared" si="18"/>
        <v>19.432453146851564</v>
      </c>
      <c r="I333" s="125"/>
      <c r="K333" s="127"/>
    </row>
    <row r="334" spans="2:11" x14ac:dyDescent="0.25">
      <c r="B334" s="121">
        <v>45131</v>
      </c>
      <c r="C334" s="122" t="str">
        <f t="shared" si="19"/>
        <v>07-2023</v>
      </c>
      <c r="D334" s="123">
        <f t="shared" si="20"/>
        <v>19.41739546544769</v>
      </c>
      <c r="E334" s="123"/>
      <c r="F334" s="123"/>
      <c r="G334" s="123"/>
      <c r="H334" s="124">
        <f t="shared" si="18"/>
        <v>19.41739546544769</v>
      </c>
      <c r="I334" s="125"/>
      <c r="K334" s="127"/>
    </row>
    <row r="335" spans="2:11" x14ac:dyDescent="0.25">
      <c r="B335" s="121">
        <v>45132</v>
      </c>
      <c r="C335" s="122" t="str">
        <f t="shared" si="19"/>
        <v>07-2023</v>
      </c>
      <c r="D335" s="123">
        <f t="shared" si="20"/>
        <v>19.402349451833135</v>
      </c>
      <c r="E335" s="123"/>
      <c r="F335" s="123"/>
      <c r="G335" s="123"/>
      <c r="H335" s="124">
        <f t="shared" si="18"/>
        <v>19.402349451833135</v>
      </c>
      <c r="I335" s="125"/>
      <c r="K335" s="127"/>
    </row>
    <row r="336" spans="2:11" x14ac:dyDescent="0.25">
      <c r="B336" s="121">
        <v>45133</v>
      </c>
      <c r="C336" s="122" t="str">
        <f t="shared" si="19"/>
        <v>07-2023</v>
      </c>
      <c r="D336" s="123">
        <f t="shared" si="20"/>
        <v>19.387315096966844</v>
      </c>
      <c r="E336" s="123"/>
      <c r="F336" s="123"/>
      <c r="G336" s="123"/>
      <c r="H336" s="124">
        <f t="shared" si="18"/>
        <v>19.387315096966844</v>
      </c>
      <c r="I336" s="125"/>
      <c r="K336" s="127"/>
    </row>
    <row r="337" spans="2:11" x14ac:dyDescent="0.25">
      <c r="B337" s="121">
        <v>45134</v>
      </c>
      <c r="C337" s="122" t="str">
        <f t="shared" si="19"/>
        <v>07-2023</v>
      </c>
      <c r="D337" s="123">
        <f t="shared" si="20"/>
        <v>19.372292391814771</v>
      </c>
      <c r="E337" s="123"/>
      <c r="F337" s="123"/>
      <c r="G337" s="123"/>
      <c r="H337" s="124">
        <f t="shared" si="18"/>
        <v>19.372292391814771</v>
      </c>
      <c r="I337" s="125"/>
      <c r="K337" s="127"/>
    </row>
    <row r="338" spans="2:11" x14ac:dyDescent="0.25">
      <c r="B338" s="121">
        <v>45135</v>
      </c>
      <c r="C338" s="122" t="str">
        <f t="shared" si="19"/>
        <v>07-2023</v>
      </c>
      <c r="D338" s="123">
        <f t="shared" si="20"/>
        <v>19.357281327349863</v>
      </c>
      <c r="E338" s="123"/>
      <c r="F338" s="123"/>
      <c r="G338" s="123"/>
      <c r="H338" s="124">
        <f t="shared" si="18"/>
        <v>19.357281327349863</v>
      </c>
      <c r="I338" s="125"/>
      <c r="K338" s="127"/>
    </row>
    <row r="339" spans="2:11" x14ac:dyDescent="0.25">
      <c r="B339" s="121">
        <v>45136</v>
      </c>
      <c r="C339" s="122" t="str">
        <f t="shared" si="19"/>
        <v>07-2023</v>
      </c>
      <c r="D339" s="123">
        <f t="shared" si="20"/>
        <v>19.342281894552073</v>
      </c>
      <c r="E339" s="123"/>
      <c r="F339" s="123"/>
      <c r="G339" s="123"/>
      <c r="H339" s="124">
        <f t="shared" si="18"/>
        <v>19.342281894552073</v>
      </c>
      <c r="I339" s="125"/>
      <c r="K339" s="127"/>
    </row>
    <row r="340" spans="2:11" x14ac:dyDescent="0.25">
      <c r="B340" s="121">
        <v>45137</v>
      </c>
      <c r="C340" s="122" t="str">
        <f t="shared" si="19"/>
        <v>07-2023</v>
      </c>
      <c r="D340" s="123">
        <f t="shared" si="20"/>
        <v>19.327294084408337</v>
      </c>
      <c r="E340" s="123"/>
      <c r="F340" s="123"/>
      <c r="G340" s="123"/>
      <c r="H340" s="124">
        <f t="shared" si="18"/>
        <v>19.327294084408337</v>
      </c>
      <c r="I340" s="125"/>
      <c r="K340" s="127"/>
    </row>
    <row r="341" spans="2:11" x14ac:dyDescent="0.25">
      <c r="B341" s="121">
        <v>45138</v>
      </c>
      <c r="C341" s="122" t="str">
        <f t="shared" si="19"/>
        <v>07-2023</v>
      </c>
      <c r="D341" s="123">
        <f t="shared" si="20"/>
        <v>19.31231788791257</v>
      </c>
      <c r="E341" s="123"/>
      <c r="F341" s="123"/>
      <c r="G341" s="123"/>
      <c r="H341" s="124">
        <f t="shared" si="18"/>
        <v>19.31231788791257</v>
      </c>
      <c r="I341" s="125"/>
      <c r="K341" s="127"/>
    </row>
    <row r="342" spans="2:11" x14ac:dyDescent="0.25">
      <c r="B342" s="121">
        <v>45139</v>
      </c>
      <c r="C342" s="122" t="str">
        <f t="shared" si="19"/>
        <v>08-2023</v>
      </c>
      <c r="D342" s="123">
        <f t="shared" si="20"/>
        <v>19.297353296065676</v>
      </c>
      <c r="E342" s="123"/>
      <c r="F342" s="123"/>
      <c r="G342" s="123"/>
      <c r="H342" s="124">
        <f t="shared" si="18"/>
        <v>19.297353296065676</v>
      </c>
      <c r="I342" s="125"/>
      <c r="K342" s="127"/>
    </row>
    <row r="343" spans="2:11" x14ac:dyDescent="0.25">
      <c r="B343" s="121">
        <v>45140</v>
      </c>
      <c r="C343" s="122" t="str">
        <f t="shared" si="19"/>
        <v>08-2023</v>
      </c>
      <c r="D343" s="123">
        <f t="shared" si="20"/>
        <v>19.282400299875526</v>
      </c>
      <c r="E343" s="123"/>
      <c r="F343" s="123"/>
      <c r="G343" s="123"/>
      <c r="H343" s="124">
        <f t="shared" si="18"/>
        <v>19.282400299875526</v>
      </c>
      <c r="I343" s="125"/>
      <c r="K343" s="127"/>
    </row>
    <row r="344" spans="2:11" x14ac:dyDescent="0.25">
      <c r="B344" s="121">
        <v>45141</v>
      </c>
      <c r="C344" s="122" t="str">
        <f t="shared" si="19"/>
        <v>08-2023</v>
      </c>
      <c r="D344" s="123">
        <f t="shared" si="20"/>
        <v>19.267458890356959</v>
      </c>
      <c r="E344" s="123"/>
      <c r="F344" s="123"/>
      <c r="G344" s="123"/>
      <c r="H344" s="124">
        <f t="shared" si="18"/>
        <v>19.267458890356959</v>
      </c>
      <c r="I344" s="125"/>
      <c r="K344" s="127"/>
    </row>
    <row r="345" spans="2:11" x14ac:dyDescent="0.25">
      <c r="B345" s="121">
        <v>45142</v>
      </c>
      <c r="C345" s="122" t="str">
        <f t="shared" si="19"/>
        <v>08-2023</v>
      </c>
      <c r="D345" s="123">
        <f t="shared" si="20"/>
        <v>19.252529058531778</v>
      </c>
      <c r="E345" s="123"/>
      <c r="F345" s="123"/>
      <c r="G345" s="123"/>
      <c r="H345" s="124">
        <f t="shared" si="18"/>
        <v>19.252529058531778</v>
      </c>
      <c r="I345" s="125"/>
      <c r="K345" s="127"/>
    </row>
    <row r="346" spans="2:11" x14ac:dyDescent="0.25">
      <c r="B346" s="121">
        <v>45143</v>
      </c>
      <c r="C346" s="122" t="str">
        <f t="shared" si="19"/>
        <v>08-2023</v>
      </c>
      <c r="D346" s="123">
        <f t="shared" si="20"/>
        <v>19.23761079542874</v>
      </c>
      <c r="E346" s="123"/>
      <c r="F346" s="123"/>
      <c r="G346" s="123"/>
      <c r="H346" s="124">
        <f t="shared" si="18"/>
        <v>19.23761079542874</v>
      </c>
      <c r="I346" s="125"/>
      <c r="K346" s="127"/>
    </row>
    <row r="347" spans="2:11" x14ac:dyDescent="0.25">
      <c r="B347" s="121">
        <v>45144</v>
      </c>
      <c r="C347" s="122" t="str">
        <f t="shared" si="19"/>
        <v>08-2023</v>
      </c>
      <c r="D347" s="123">
        <f t="shared" si="20"/>
        <v>19.222704092083557</v>
      </c>
      <c r="E347" s="123"/>
      <c r="F347" s="123"/>
      <c r="G347" s="123"/>
      <c r="H347" s="124">
        <f t="shared" si="18"/>
        <v>19.222704092083557</v>
      </c>
      <c r="I347" s="125"/>
      <c r="K347" s="127"/>
    </row>
    <row r="348" spans="2:11" x14ac:dyDescent="0.25">
      <c r="B348" s="121">
        <v>45145</v>
      </c>
      <c r="C348" s="122" t="str">
        <f t="shared" si="19"/>
        <v>08-2023</v>
      </c>
      <c r="D348" s="123">
        <f t="shared" si="20"/>
        <v>19.207808939538886</v>
      </c>
      <c r="E348" s="123"/>
      <c r="F348" s="123"/>
      <c r="G348" s="123"/>
      <c r="H348" s="124">
        <f t="shared" si="18"/>
        <v>19.207808939538886</v>
      </c>
      <c r="I348" s="125"/>
      <c r="K348" s="127"/>
    </row>
    <row r="349" spans="2:11" x14ac:dyDescent="0.25">
      <c r="B349" s="121">
        <v>45146</v>
      </c>
      <c r="C349" s="122" t="str">
        <f t="shared" si="19"/>
        <v>08-2023</v>
      </c>
      <c r="D349" s="123">
        <f t="shared" si="20"/>
        <v>19.192925328844321</v>
      </c>
      <c r="E349" s="123"/>
      <c r="F349" s="123"/>
      <c r="G349" s="123"/>
      <c r="H349" s="124">
        <f t="shared" si="18"/>
        <v>19.192925328844321</v>
      </c>
      <c r="I349" s="125"/>
      <c r="K349" s="127"/>
    </row>
    <row r="350" spans="2:11" x14ac:dyDescent="0.25">
      <c r="B350" s="121">
        <v>45147</v>
      </c>
      <c r="C350" s="122" t="str">
        <f t="shared" si="19"/>
        <v>08-2023</v>
      </c>
      <c r="D350" s="123">
        <f t="shared" si="20"/>
        <v>19.178053251056401</v>
      </c>
      <c r="E350" s="123"/>
      <c r="F350" s="123"/>
      <c r="G350" s="123"/>
      <c r="H350" s="124">
        <f t="shared" si="18"/>
        <v>19.178053251056401</v>
      </c>
      <c r="I350" s="125"/>
      <c r="K350" s="127"/>
    </row>
    <row r="351" spans="2:11" x14ac:dyDescent="0.25">
      <c r="B351" s="121">
        <v>45148</v>
      </c>
      <c r="C351" s="122" t="str">
        <f t="shared" si="19"/>
        <v>08-2023</v>
      </c>
      <c r="D351" s="123">
        <f t="shared" si="20"/>
        <v>19.163192697238586</v>
      </c>
      <c r="E351" s="123"/>
      <c r="F351" s="123"/>
      <c r="G351" s="123"/>
      <c r="H351" s="124">
        <f t="shared" si="18"/>
        <v>19.163192697238586</v>
      </c>
      <c r="I351" s="125"/>
      <c r="K351" s="127"/>
    </row>
    <row r="352" spans="2:11" x14ac:dyDescent="0.25">
      <c r="B352" s="121">
        <v>45149</v>
      </c>
      <c r="C352" s="122" t="str">
        <f t="shared" si="19"/>
        <v>08-2023</v>
      </c>
      <c r="D352" s="123">
        <f t="shared" si="20"/>
        <v>19.148343658461265</v>
      </c>
      <c r="E352" s="123"/>
      <c r="F352" s="123"/>
      <c r="G352" s="123"/>
      <c r="H352" s="124">
        <f t="shared" si="18"/>
        <v>19.148343658461265</v>
      </c>
      <c r="I352" s="125"/>
      <c r="K352" s="127"/>
    </row>
    <row r="353" spans="2:11" x14ac:dyDescent="0.25">
      <c r="B353" s="121">
        <v>45150</v>
      </c>
      <c r="C353" s="122" t="str">
        <f t="shared" si="19"/>
        <v>08-2023</v>
      </c>
      <c r="D353" s="123">
        <f t="shared" si="20"/>
        <v>19.133506125801745</v>
      </c>
      <c r="E353" s="123"/>
      <c r="F353" s="123"/>
      <c r="G353" s="123"/>
      <c r="H353" s="124">
        <f t="shared" si="18"/>
        <v>19.133506125801745</v>
      </c>
      <c r="I353" s="125"/>
      <c r="K353" s="127"/>
    </row>
    <row r="354" spans="2:11" x14ac:dyDescent="0.25">
      <c r="B354" s="121">
        <v>45151</v>
      </c>
      <c r="C354" s="122" t="str">
        <f t="shared" si="19"/>
        <v>08-2023</v>
      </c>
      <c r="D354" s="123">
        <f t="shared" si="20"/>
        <v>19.118680090344245</v>
      </c>
      <c r="E354" s="123"/>
      <c r="F354" s="123"/>
      <c r="G354" s="123"/>
      <c r="H354" s="124">
        <f t="shared" si="18"/>
        <v>19.118680090344245</v>
      </c>
      <c r="I354" s="125"/>
      <c r="K354" s="127"/>
    </row>
    <row r="355" spans="2:11" x14ac:dyDescent="0.25">
      <c r="B355" s="121">
        <v>45152</v>
      </c>
      <c r="C355" s="122" t="str">
        <f t="shared" si="19"/>
        <v>08-2023</v>
      </c>
      <c r="D355" s="123">
        <f t="shared" si="20"/>
        <v>19.103865543179896</v>
      </c>
      <c r="E355" s="123"/>
      <c r="F355" s="123"/>
      <c r="G355" s="123"/>
      <c r="H355" s="124">
        <f t="shared" si="18"/>
        <v>19.103865543179896</v>
      </c>
      <c r="I355" s="125"/>
      <c r="K355" s="127"/>
    </row>
    <row r="356" spans="2:11" x14ac:dyDescent="0.25">
      <c r="B356" s="121">
        <v>45153</v>
      </c>
      <c r="C356" s="122" t="str">
        <f t="shared" si="19"/>
        <v>08-2023</v>
      </c>
      <c r="D356" s="123">
        <f t="shared" si="20"/>
        <v>19.089062475406735</v>
      </c>
      <c r="E356" s="123"/>
      <c r="F356" s="123"/>
      <c r="G356" s="123"/>
      <c r="H356" s="124">
        <f t="shared" si="18"/>
        <v>19.089062475406735</v>
      </c>
      <c r="I356" s="125"/>
      <c r="K356" s="127"/>
    </row>
    <row r="357" spans="2:11" x14ac:dyDescent="0.25">
      <c r="B357" s="121">
        <v>45154</v>
      </c>
      <c r="C357" s="122" t="str">
        <f t="shared" si="19"/>
        <v>08-2023</v>
      </c>
      <c r="D357" s="123">
        <f t="shared" si="20"/>
        <v>19.074270878129685</v>
      </c>
      <c r="E357" s="123"/>
      <c r="F357" s="123"/>
      <c r="G357" s="123"/>
      <c r="H357" s="124">
        <f t="shared" si="18"/>
        <v>19.074270878129685</v>
      </c>
      <c r="I357" s="125"/>
      <c r="K357" s="127"/>
    </row>
    <row r="358" spans="2:11" x14ac:dyDescent="0.25">
      <c r="B358" s="121">
        <v>45155</v>
      </c>
      <c r="C358" s="122" t="str">
        <f t="shared" si="19"/>
        <v>08-2023</v>
      </c>
      <c r="D358" s="123">
        <f t="shared" si="20"/>
        <v>19.059490742460575</v>
      </c>
      <c r="E358" s="123"/>
      <c r="F358" s="123"/>
      <c r="G358" s="123"/>
      <c r="H358" s="124">
        <f t="shared" si="18"/>
        <v>19.059490742460575</v>
      </c>
      <c r="I358" s="125"/>
      <c r="K358" s="127"/>
    </row>
    <row r="359" spans="2:11" x14ac:dyDescent="0.25">
      <c r="B359" s="121">
        <v>45156</v>
      </c>
      <c r="C359" s="122" t="str">
        <f t="shared" si="19"/>
        <v>08-2023</v>
      </c>
      <c r="D359" s="123">
        <f t="shared" si="20"/>
        <v>19.044722059518115</v>
      </c>
      <c r="E359" s="123"/>
      <c r="F359" s="123"/>
      <c r="G359" s="123"/>
      <c r="H359" s="124">
        <f t="shared" si="18"/>
        <v>19.044722059518115</v>
      </c>
      <c r="I359" s="125"/>
      <c r="K359" s="127"/>
    </row>
    <row r="360" spans="2:11" x14ac:dyDescent="0.25">
      <c r="B360" s="121">
        <v>45157</v>
      </c>
      <c r="C360" s="122" t="str">
        <f t="shared" si="19"/>
        <v>08-2023</v>
      </c>
      <c r="D360" s="123">
        <f t="shared" si="20"/>
        <v>19.029964820427896</v>
      </c>
      <c r="E360" s="123"/>
      <c r="F360" s="123"/>
      <c r="G360" s="123"/>
      <c r="H360" s="124">
        <f t="shared" si="18"/>
        <v>19.029964820427896</v>
      </c>
      <c r="I360" s="125"/>
      <c r="K360" s="127"/>
    </row>
    <row r="361" spans="2:11" x14ac:dyDescent="0.25">
      <c r="B361" s="121">
        <v>45158</v>
      </c>
      <c r="C361" s="122" t="str">
        <f t="shared" si="19"/>
        <v>08-2023</v>
      </c>
      <c r="D361" s="123">
        <f t="shared" si="20"/>
        <v>19.015219016322387</v>
      </c>
      <c r="E361" s="123"/>
      <c r="F361" s="123"/>
      <c r="G361" s="123"/>
      <c r="H361" s="124">
        <f t="shared" si="18"/>
        <v>19.015219016322387</v>
      </c>
      <c r="I361" s="125"/>
      <c r="K361" s="127"/>
    </row>
    <row r="362" spans="2:11" x14ac:dyDescent="0.25">
      <c r="B362" s="121">
        <v>45159</v>
      </c>
      <c r="C362" s="122" t="str">
        <f t="shared" si="19"/>
        <v>08-2023</v>
      </c>
      <c r="D362" s="123">
        <f t="shared" si="20"/>
        <v>19.000484638340929</v>
      </c>
      <c r="E362" s="123"/>
      <c r="F362" s="123"/>
      <c r="G362" s="123"/>
      <c r="H362" s="124">
        <f t="shared" si="18"/>
        <v>19.000484638340929</v>
      </c>
      <c r="I362" s="125"/>
      <c r="K362" s="127"/>
    </row>
    <row r="363" spans="2:11" x14ac:dyDescent="0.25">
      <c r="B363" s="121">
        <v>45160</v>
      </c>
      <c r="C363" s="122" t="str">
        <f t="shared" si="19"/>
        <v>08-2023</v>
      </c>
      <c r="D363" s="123">
        <f t="shared" si="20"/>
        <v>18.985761677629728</v>
      </c>
      <c r="E363" s="123"/>
      <c r="F363" s="123"/>
      <c r="G363" s="123"/>
      <c r="H363" s="124">
        <f t="shared" si="18"/>
        <v>18.985761677629728</v>
      </c>
      <c r="I363" s="125"/>
      <c r="K363" s="127"/>
    </row>
    <row r="364" spans="2:11" x14ac:dyDescent="0.25">
      <c r="B364" s="121">
        <v>45161</v>
      </c>
      <c r="C364" s="122" t="str">
        <f t="shared" si="19"/>
        <v>08-2023</v>
      </c>
      <c r="D364" s="123">
        <f t="shared" si="20"/>
        <v>18.971050125341851</v>
      </c>
      <c r="E364" s="123"/>
      <c r="F364" s="123"/>
      <c r="G364" s="123"/>
      <c r="H364" s="124">
        <f t="shared" si="18"/>
        <v>18.971050125341851</v>
      </c>
      <c r="I364" s="125"/>
      <c r="K364" s="127"/>
    </row>
    <row r="365" spans="2:11" x14ac:dyDescent="0.25">
      <c r="B365" s="121">
        <v>45162</v>
      </c>
      <c r="C365" s="122" t="str">
        <f t="shared" si="19"/>
        <v>08-2023</v>
      </c>
      <c r="D365" s="123">
        <f t="shared" si="20"/>
        <v>18.956349972637216</v>
      </c>
      <c r="E365" s="123"/>
      <c r="F365" s="123"/>
      <c r="G365" s="123"/>
      <c r="H365" s="124">
        <f t="shared" si="18"/>
        <v>18.956349972637216</v>
      </c>
      <c r="I365" s="125"/>
      <c r="K365" s="127"/>
    </row>
    <row r="366" spans="2:11" x14ac:dyDescent="0.25">
      <c r="B366" s="121">
        <v>45163</v>
      </c>
      <c r="C366" s="122" t="str">
        <f t="shared" si="19"/>
        <v>08-2023</v>
      </c>
      <c r="D366" s="123">
        <f t="shared" si="20"/>
        <v>18.9416612106826</v>
      </c>
      <c r="E366" s="123"/>
      <c r="F366" s="123"/>
      <c r="G366" s="123"/>
      <c r="H366" s="124">
        <f t="shared" si="18"/>
        <v>18.9416612106826</v>
      </c>
      <c r="I366" s="125"/>
      <c r="K366" s="127"/>
    </row>
    <row r="367" spans="2:11" x14ac:dyDescent="0.25">
      <c r="B367" s="121">
        <v>45164</v>
      </c>
      <c r="C367" s="122" t="str">
        <f t="shared" si="19"/>
        <v>08-2023</v>
      </c>
      <c r="D367" s="123">
        <f t="shared" si="20"/>
        <v>18.926983830651618</v>
      </c>
      <c r="E367" s="123"/>
      <c r="F367" s="123"/>
      <c r="G367" s="123"/>
      <c r="H367" s="124">
        <f t="shared" si="18"/>
        <v>18.926983830651618</v>
      </c>
      <c r="I367" s="125"/>
      <c r="K367" s="127"/>
    </row>
    <row r="368" spans="2:11" x14ac:dyDescent="0.25">
      <c r="B368" s="121">
        <v>45165</v>
      </c>
      <c r="C368" s="122" t="str">
        <f t="shared" si="19"/>
        <v>08-2023</v>
      </c>
      <c r="D368" s="123">
        <f t="shared" si="20"/>
        <v>18.912317823724727</v>
      </c>
      <c r="E368" s="123"/>
      <c r="F368" s="123"/>
      <c r="G368" s="123"/>
      <c r="H368" s="124">
        <f t="shared" si="18"/>
        <v>18.912317823724727</v>
      </c>
      <c r="I368" s="125"/>
      <c r="K368" s="127"/>
    </row>
    <row r="369" spans="2:11" x14ac:dyDescent="0.25">
      <c r="B369" s="121">
        <v>45166</v>
      </c>
      <c r="C369" s="122" t="str">
        <f t="shared" si="19"/>
        <v>08-2023</v>
      </c>
      <c r="D369" s="123">
        <f t="shared" si="20"/>
        <v>18.897663181089214</v>
      </c>
      <c r="E369" s="123"/>
      <c r="F369" s="123"/>
      <c r="G369" s="123"/>
      <c r="H369" s="124">
        <f t="shared" si="18"/>
        <v>18.897663181089214</v>
      </c>
      <c r="I369" s="125"/>
      <c r="K369" s="127"/>
    </row>
    <row r="370" spans="2:11" x14ac:dyDescent="0.25">
      <c r="B370" s="121">
        <v>45167</v>
      </c>
      <c r="C370" s="122" t="str">
        <f t="shared" si="19"/>
        <v>08-2023</v>
      </c>
      <c r="D370" s="123">
        <f t="shared" si="20"/>
        <v>18.883019893939199</v>
      </c>
      <c r="E370" s="123"/>
      <c r="F370" s="123"/>
      <c r="G370" s="123"/>
      <c r="H370" s="124">
        <f t="shared" si="18"/>
        <v>18.883019893939199</v>
      </c>
      <c r="I370" s="125"/>
      <c r="K370" s="127"/>
    </row>
    <row r="371" spans="2:11" x14ac:dyDescent="0.25">
      <c r="B371" s="121">
        <v>45168</v>
      </c>
      <c r="C371" s="122" t="str">
        <f t="shared" si="19"/>
        <v>08-2023</v>
      </c>
      <c r="D371" s="123">
        <f t="shared" si="20"/>
        <v>18.868387953475622</v>
      </c>
      <c r="E371" s="123"/>
      <c r="F371" s="123"/>
      <c r="G371" s="123"/>
      <c r="H371" s="124">
        <f t="shared" si="18"/>
        <v>18.868387953475622</v>
      </c>
      <c r="I371" s="125"/>
      <c r="K371" s="127"/>
    </row>
    <row r="372" spans="2:11" x14ac:dyDescent="0.25">
      <c r="B372" s="121">
        <v>45169</v>
      </c>
      <c r="C372" s="122" t="str">
        <f t="shared" si="19"/>
        <v>08-2023</v>
      </c>
      <c r="D372" s="123">
        <f t="shared" si="20"/>
        <v>18.853767350906246</v>
      </c>
      <c r="E372" s="123"/>
      <c r="F372" s="123"/>
      <c r="G372" s="123"/>
      <c r="H372" s="124">
        <f t="shared" si="18"/>
        <v>18.853767350906246</v>
      </c>
      <c r="I372" s="125"/>
      <c r="K372" s="127"/>
    </row>
    <row r="373" spans="2:11" x14ac:dyDescent="0.25">
      <c r="B373" s="121">
        <v>45170</v>
      </c>
      <c r="C373" s="122" t="str">
        <f t="shared" si="19"/>
        <v>09-2023</v>
      </c>
      <c r="D373" s="123">
        <f>(1-$E$4)*D372</f>
        <v>18.839158077445642</v>
      </c>
      <c r="E373" s="123"/>
      <c r="F373" s="123"/>
      <c r="G373" s="123"/>
      <c r="H373" s="124">
        <f t="shared" si="18"/>
        <v>18.839158077445642</v>
      </c>
      <c r="I373" s="125"/>
      <c r="K373" s="127"/>
    </row>
    <row r="374" spans="2:11" x14ac:dyDescent="0.25">
      <c r="B374" s="121">
        <v>45171</v>
      </c>
      <c r="C374" s="122" t="str">
        <f t="shared" si="19"/>
        <v>09-2023</v>
      </c>
      <c r="D374" s="123">
        <f t="shared" ref="D374:D437" si="21">(1-$E$4)*D373</f>
        <v>18.824560124315191</v>
      </c>
      <c r="E374" s="123"/>
      <c r="F374" s="123"/>
      <c r="G374" s="123"/>
      <c r="H374" s="124">
        <f t="shared" si="18"/>
        <v>18.824560124315191</v>
      </c>
      <c r="I374" s="125"/>
      <c r="K374" s="127"/>
    </row>
    <row r="375" spans="2:11" x14ac:dyDescent="0.25">
      <c r="B375" s="121">
        <v>45172</v>
      </c>
      <c r="C375" s="122" t="str">
        <f t="shared" si="19"/>
        <v>09-2023</v>
      </c>
      <c r="D375" s="123">
        <f t="shared" si="21"/>
        <v>18.809973482743079</v>
      </c>
      <c r="E375" s="123"/>
      <c r="F375" s="123"/>
      <c r="G375" s="123"/>
      <c r="H375" s="124">
        <f t="shared" si="18"/>
        <v>18.809973482743079</v>
      </c>
      <c r="I375" s="125"/>
      <c r="K375" s="127"/>
    </row>
    <row r="376" spans="2:11" x14ac:dyDescent="0.25">
      <c r="B376" s="121">
        <v>45173</v>
      </c>
      <c r="C376" s="122" t="str">
        <f t="shared" si="19"/>
        <v>09-2023</v>
      </c>
      <c r="D376" s="123">
        <f t="shared" si="21"/>
        <v>18.795398143964281</v>
      </c>
      <c r="E376" s="123"/>
      <c r="F376" s="123"/>
      <c r="G376" s="123"/>
      <c r="H376" s="124">
        <f t="shared" si="18"/>
        <v>18.795398143964281</v>
      </c>
      <c r="I376" s="125"/>
      <c r="K376" s="127"/>
    </row>
    <row r="377" spans="2:11" x14ac:dyDescent="0.25">
      <c r="B377" s="121">
        <v>45174</v>
      </c>
      <c r="C377" s="122" t="str">
        <f t="shared" si="19"/>
        <v>09-2023</v>
      </c>
      <c r="D377" s="123">
        <f t="shared" si="21"/>
        <v>18.78083409922057</v>
      </c>
      <c r="E377" s="123"/>
      <c r="F377" s="123"/>
      <c r="G377" s="123"/>
      <c r="H377" s="124">
        <f t="shared" si="18"/>
        <v>18.78083409922057</v>
      </c>
      <c r="I377" s="125"/>
      <c r="K377" s="127"/>
    </row>
    <row r="378" spans="2:11" x14ac:dyDescent="0.25">
      <c r="B378" s="121">
        <v>45175</v>
      </c>
      <c r="C378" s="122" t="str">
        <f t="shared" si="19"/>
        <v>09-2023</v>
      </c>
      <c r="D378" s="123">
        <f t="shared" si="21"/>
        <v>18.766281339760507</v>
      </c>
      <c r="E378" s="123"/>
      <c r="F378" s="123"/>
      <c r="G378" s="123"/>
      <c r="H378" s="124">
        <f t="shared" si="18"/>
        <v>18.766281339760507</v>
      </c>
      <c r="I378" s="125"/>
      <c r="K378" s="127"/>
    </row>
    <row r="379" spans="2:11" x14ac:dyDescent="0.25">
      <c r="B379" s="121">
        <v>45176</v>
      </c>
      <c r="C379" s="122" t="str">
        <f t="shared" si="19"/>
        <v>09-2023</v>
      </c>
      <c r="D379" s="123">
        <f t="shared" si="21"/>
        <v>18.751739856839428</v>
      </c>
      <c r="E379" s="123"/>
      <c r="F379" s="123"/>
      <c r="G379" s="123"/>
      <c r="H379" s="124">
        <f t="shared" si="18"/>
        <v>18.751739856839428</v>
      </c>
      <c r="I379" s="125"/>
      <c r="K379" s="127"/>
    </row>
    <row r="380" spans="2:11" x14ac:dyDescent="0.25">
      <c r="B380" s="121">
        <v>45177</v>
      </c>
      <c r="C380" s="122" t="str">
        <f t="shared" si="19"/>
        <v>09-2023</v>
      </c>
      <c r="D380" s="123">
        <f t="shared" si="21"/>
        <v>18.737209641719453</v>
      </c>
      <c r="E380" s="123"/>
      <c r="F380" s="123"/>
      <c r="G380" s="123"/>
      <c r="H380" s="124">
        <f t="shared" si="18"/>
        <v>18.737209641719453</v>
      </c>
      <c r="I380" s="125"/>
      <c r="K380" s="127"/>
    </row>
    <row r="381" spans="2:11" x14ac:dyDescent="0.25">
      <c r="B381" s="121">
        <v>45178</v>
      </c>
      <c r="C381" s="122" t="str">
        <f t="shared" si="19"/>
        <v>09-2023</v>
      </c>
      <c r="D381" s="123">
        <f t="shared" si="21"/>
        <v>18.722690685669463</v>
      </c>
      <c r="E381" s="123"/>
      <c r="F381" s="123"/>
      <c r="G381" s="123"/>
      <c r="H381" s="124">
        <f t="shared" si="18"/>
        <v>18.722690685669463</v>
      </c>
      <c r="I381" s="125"/>
      <c r="K381" s="127"/>
    </row>
    <row r="382" spans="2:11" x14ac:dyDescent="0.25">
      <c r="B382" s="121">
        <v>45179</v>
      </c>
      <c r="C382" s="122" t="str">
        <f t="shared" si="19"/>
        <v>09-2023</v>
      </c>
      <c r="D382" s="123">
        <f t="shared" si="21"/>
        <v>18.708182979965112</v>
      </c>
      <c r="E382" s="123"/>
      <c r="F382" s="123"/>
      <c r="G382" s="123"/>
      <c r="H382" s="124">
        <f t="shared" si="18"/>
        <v>18.708182979965112</v>
      </c>
      <c r="I382" s="125"/>
      <c r="K382" s="127"/>
    </row>
    <row r="383" spans="2:11" x14ac:dyDescent="0.25">
      <c r="B383" s="121">
        <v>45180</v>
      </c>
      <c r="C383" s="122" t="str">
        <f t="shared" si="19"/>
        <v>09-2023</v>
      </c>
      <c r="D383" s="123">
        <f t="shared" si="21"/>
        <v>18.693686515888814</v>
      </c>
      <c r="E383" s="123"/>
      <c r="F383" s="123"/>
      <c r="G383" s="123"/>
      <c r="H383" s="124">
        <f t="shared" si="18"/>
        <v>18.693686515888814</v>
      </c>
      <c r="I383" s="125"/>
      <c r="K383" s="127"/>
    </row>
    <row r="384" spans="2:11" x14ac:dyDescent="0.25">
      <c r="B384" s="121">
        <v>45181</v>
      </c>
      <c r="C384" s="122" t="str">
        <f t="shared" si="19"/>
        <v>09-2023</v>
      </c>
      <c r="D384" s="123">
        <f t="shared" si="21"/>
        <v>18.679201284729732</v>
      </c>
      <c r="E384" s="123"/>
      <c r="F384" s="123"/>
      <c r="G384" s="123"/>
      <c r="H384" s="124">
        <f t="shared" si="18"/>
        <v>18.679201284729732</v>
      </c>
      <c r="I384" s="125"/>
      <c r="K384" s="127"/>
    </row>
    <row r="385" spans="2:11" x14ac:dyDescent="0.25">
      <c r="B385" s="121">
        <v>45182</v>
      </c>
      <c r="C385" s="122" t="str">
        <f t="shared" si="19"/>
        <v>09-2023</v>
      </c>
      <c r="D385" s="123">
        <f t="shared" si="21"/>
        <v>18.664727277783786</v>
      </c>
      <c r="E385" s="123"/>
      <c r="F385" s="123"/>
      <c r="G385" s="123"/>
      <c r="H385" s="124">
        <f t="shared" si="18"/>
        <v>18.664727277783786</v>
      </c>
      <c r="I385" s="125"/>
      <c r="K385" s="127"/>
    </row>
    <row r="386" spans="2:11" x14ac:dyDescent="0.25">
      <c r="B386" s="121">
        <v>45183</v>
      </c>
      <c r="C386" s="122" t="str">
        <f t="shared" si="19"/>
        <v>09-2023</v>
      </c>
      <c r="D386" s="123">
        <f t="shared" si="21"/>
        <v>18.650264486353635</v>
      </c>
      <c r="E386" s="123"/>
      <c r="F386" s="123"/>
      <c r="G386" s="123"/>
      <c r="H386" s="124">
        <f t="shared" si="18"/>
        <v>18.650264486353635</v>
      </c>
      <c r="I386" s="125"/>
      <c r="K386" s="127"/>
    </row>
    <row r="387" spans="2:11" x14ac:dyDescent="0.25">
      <c r="B387" s="121">
        <v>45184</v>
      </c>
      <c r="C387" s="122" t="str">
        <f t="shared" si="19"/>
        <v>09-2023</v>
      </c>
      <c r="D387" s="123">
        <f t="shared" si="21"/>
        <v>18.635812901748682</v>
      </c>
      <c r="E387" s="123"/>
      <c r="F387" s="123"/>
      <c r="G387" s="123"/>
      <c r="H387" s="124">
        <f t="shared" si="18"/>
        <v>18.635812901748682</v>
      </c>
      <c r="I387" s="125"/>
      <c r="K387" s="127"/>
    </row>
    <row r="388" spans="2:11" x14ac:dyDescent="0.25">
      <c r="B388" s="121">
        <v>45185</v>
      </c>
      <c r="C388" s="122" t="str">
        <f t="shared" si="19"/>
        <v>09-2023</v>
      </c>
      <c r="D388" s="123">
        <f t="shared" si="21"/>
        <v>18.62137251528506</v>
      </c>
      <c r="E388" s="123"/>
      <c r="F388" s="123"/>
      <c r="G388" s="123"/>
      <c r="H388" s="124">
        <f t="shared" si="18"/>
        <v>18.62137251528506</v>
      </c>
      <c r="I388" s="125"/>
      <c r="K388" s="127"/>
    </row>
    <row r="389" spans="2:11" x14ac:dyDescent="0.25">
      <c r="B389" s="121">
        <v>45186</v>
      </c>
      <c r="C389" s="122" t="str">
        <f t="shared" si="19"/>
        <v>09-2023</v>
      </c>
      <c r="D389" s="123">
        <f t="shared" si="21"/>
        <v>18.606943318285634</v>
      </c>
      <c r="E389" s="123"/>
      <c r="F389" s="123"/>
      <c r="G389" s="123"/>
      <c r="H389" s="124">
        <f t="shared" si="18"/>
        <v>18.606943318285634</v>
      </c>
      <c r="I389" s="125"/>
      <c r="K389" s="127"/>
    </row>
    <row r="390" spans="2:11" x14ac:dyDescent="0.25">
      <c r="B390" s="121">
        <v>45187</v>
      </c>
      <c r="C390" s="122" t="str">
        <f t="shared" si="19"/>
        <v>09-2023</v>
      </c>
      <c r="D390" s="123">
        <f t="shared" si="21"/>
        <v>18.592525302079991</v>
      </c>
      <c r="E390" s="123"/>
      <c r="F390" s="123"/>
      <c r="G390" s="123"/>
      <c r="H390" s="124">
        <f t="shared" si="18"/>
        <v>18.592525302079991</v>
      </c>
      <c r="I390" s="125"/>
      <c r="K390" s="127"/>
    </row>
    <row r="391" spans="2:11" x14ac:dyDescent="0.25">
      <c r="B391" s="121">
        <v>45188</v>
      </c>
      <c r="C391" s="122" t="str">
        <f t="shared" si="19"/>
        <v>09-2023</v>
      </c>
      <c r="D391" s="123">
        <f t="shared" si="21"/>
        <v>18.578118458004436</v>
      </c>
      <c r="E391" s="123"/>
      <c r="F391" s="123"/>
      <c r="G391" s="123"/>
      <c r="H391" s="124">
        <f t="shared" si="18"/>
        <v>18.578118458004436</v>
      </c>
      <c r="I391" s="125"/>
      <c r="K391" s="127"/>
    </row>
    <row r="392" spans="2:11" x14ac:dyDescent="0.25">
      <c r="B392" s="121">
        <v>45189</v>
      </c>
      <c r="C392" s="122" t="str">
        <f t="shared" si="19"/>
        <v>09-2023</v>
      </c>
      <c r="D392" s="123">
        <f t="shared" si="21"/>
        <v>18.563722777401988</v>
      </c>
      <c r="E392" s="123"/>
      <c r="F392" s="123"/>
      <c r="G392" s="123"/>
      <c r="H392" s="124">
        <f t="shared" ref="H392:H455" si="22">SUM(D392:G392)</f>
        <v>18.563722777401988</v>
      </c>
      <c r="I392" s="125"/>
      <c r="K392" s="127"/>
    </row>
    <row r="393" spans="2:11" x14ac:dyDescent="0.25">
      <c r="B393" s="121">
        <v>45190</v>
      </c>
      <c r="C393" s="122" t="str">
        <f t="shared" ref="C393:C456" si="23">RIGHT("0"&amp;MONTH(B393),2)&amp;"-"&amp;YEAR(B393)</f>
        <v>09-2023</v>
      </c>
      <c r="D393" s="123">
        <f t="shared" si="21"/>
        <v>18.549338251622377</v>
      </c>
      <c r="E393" s="123"/>
      <c r="F393" s="123"/>
      <c r="G393" s="123"/>
      <c r="H393" s="124">
        <f t="shared" si="22"/>
        <v>18.549338251622377</v>
      </c>
      <c r="I393" s="125"/>
      <c r="K393" s="127"/>
    </row>
    <row r="394" spans="2:11" x14ac:dyDescent="0.25">
      <c r="B394" s="121">
        <v>45191</v>
      </c>
      <c r="C394" s="122" t="str">
        <f t="shared" si="23"/>
        <v>09-2023</v>
      </c>
      <c r="D394" s="123">
        <f t="shared" si="21"/>
        <v>18.53496487202203</v>
      </c>
      <c r="E394" s="123"/>
      <c r="F394" s="123"/>
      <c r="G394" s="123"/>
      <c r="H394" s="124">
        <f t="shared" si="22"/>
        <v>18.53496487202203</v>
      </c>
      <c r="I394" s="125"/>
      <c r="K394" s="127"/>
    </row>
    <row r="395" spans="2:11" x14ac:dyDescent="0.25">
      <c r="B395" s="121">
        <v>45192</v>
      </c>
      <c r="C395" s="122" t="str">
        <f t="shared" si="23"/>
        <v>09-2023</v>
      </c>
      <c r="D395" s="123">
        <f t="shared" si="21"/>
        <v>18.520602629964078</v>
      </c>
      <c r="E395" s="123"/>
      <c r="F395" s="123"/>
      <c r="G395" s="123"/>
      <c r="H395" s="124">
        <f t="shared" si="22"/>
        <v>18.520602629964078</v>
      </c>
      <c r="I395" s="125"/>
      <c r="K395" s="127"/>
    </row>
    <row r="396" spans="2:11" x14ac:dyDescent="0.25">
      <c r="B396" s="121">
        <v>45193</v>
      </c>
      <c r="C396" s="122" t="str">
        <f t="shared" si="23"/>
        <v>09-2023</v>
      </c>
      <c r="D396" s="123">
        <f t="shared" si="21"/>
        <v>18.506251516818338</v>
      </c>
      <c r="E396" s="123"/>
      <c r="F396" s="123"/>
      <c r="G396" s="123"/>
      <c r="H396" s="124">
        <f t="shared" si="22"/>
        <v>18.506251516818338</v>
      </c>
      <c r="I396" s="125"/>
      <c r="K396" s="127"/>
    </row>
    <row r="397" spans="2:11" x14ac:dyDescent="0.25">
      <c r="B397" s="121">
        <v>45194</v>
      </c>
      <c r="C397" s="122" t="str">
        <f t="shared" si="23"/>
        <v>09-2023</v>
      </c>
      <c r="D397" s="123">
        <f t="shared" si="21"/>
        <v>18.491911523961317</v>
      </c>
      <c r="E397" s="123"/>
      <c r="F397" s="123"/>
      <c r="G397" s="123"/>
      <c r="H397" s="124">
        <f t="shared" si="22"/>
        <v>18.491911523961317</v>
      </c>
      <c r="I397" s="125"/>
      <c r="K397" s="127"/>
    </row>
    <row r="398" spans="2:11" x14ac:dyDescent="0.25">
      <c r="B398" s="121">
        <v>45195</v>
      </c>
      <c r="C398" s="122" t="str">
        <f t="shared" si="23"/>
        <v>09-2023</v>
      </c>
      <c r="D398" s="123">
        <f t="shared" si="21"/>
        <v>18.477582642776206</v>
      </c>
      <c r="E398" s="123"/>
      <c r="F398" s="123"/>
      <c r="G398" s="123"/>
      <c r="H398" s="124">
        <f t="shared" si="22"/>
        <v>18.477582642776206</v>
      </c>
      <c r="I398" s="125"/>
      <c r="K398" s="127"/>
    </row>
    <row r="399" spans="2:11" x14ac:dyDescent="0.25">
      <c r="B399" s="121">
        <v>45196</v>
      </c>
      <c r="C399" s="122" t="str">
        <f t="shared" si="23"/>
        <v>09-2023</v>
      </c>
      <c r="D399" s="123">
        <f t="shared" si="21"/>
        <v>18.463264864652871</v>
      </c>
      <c r="E399" s="123"/>
      <c r="F399" s="123"/>
      <c r="G399" s="123"/>
      <c r="H399" s="124">
        <f t="shared" si="22"/>
        <v>18.463264864652871</v>
      </c>
      <c r="I399" s="125"/>
      <c r="K399" s="127"/>
    </row>
    <row r="400" spans="2:11" x14ac:dyDescent="0.25">
      <c r="B400" s="121">
        <v>45197</v>
      </c>
      <c r="C400" s="122" t="str">
        <f t="shared" si="23"/>
        <v>09-2023</v>
      </c>
      <c r="D400" s="123">
        <f t="shared" si="21"/>
        <v>18.448958180987852</v>
      </c>
      <c r="E400" s="123"/>
      <c r="F400" s="123"/>
      <c r="G400" s="123"/>
      <c r="H400" s="124">
        <f t="shared" si="22"/>
        <v>18.448958180987852</v>
      </c>
      <c r="I400" s="125"/>
      <c r="K400" s="127"/>
    </row>
    <row r="401" spans="2:11" x14ac:dyDescent="0.25">
      <c r="B401" s="121">
        <v>45198</v>
      </c>
      <c r="C401" s="122" t="str">
        <f t="shared" si="23"/>
        <v>09-2023</v>
      </c>
      <c r="D401" s="123">
        <f t="shared" si="21"/>
        <v>18.434662583184352</v>
      </c>
      <c r="E401" s="123"/>
      <c r="F401" s="123"/>
      <c r="G401" s="123"/>
      <c r="H401" s="124">
        <f t="shared" si="22"/>
        <v>18.434662583184352</v>
      </c>
      <c r="I401" s="125"/>
      <c r="K401" s="127"/>
    </row>
    <row r="402" spans="2:11" x14ac:dyDescent="0.25">
      <c r="B402" s="121">
        <v>45199</v>
      </c>
      <c r="C402" s="122" t="str">
        <f t="shared" si="23"/>
        <v>09-2023</v>
      </c>
      <c r="D402" s="123">
        <f t="shared" si="21"/>
        <v>18.42037806265224</v>
      </c>
      <c r="E402" s="123"/>
      <c r="F402" s="123"/>
      <c r="G402" s="123"/>
      <c r="H402" s="124">
        <f t="shared" si="22"/>
        <v>18.42037806265224</v>
      </c>
      <c r="I402" s="125"/>
      <c r="K402" s="127"/>
    </row>
    <row r="403" spans="2:11" x14ac:dyDescent="0.25">
      <c r="B403" s="121">
        <v>45200</v>
      </c>
      <c r="C403" s="122" t="str">
        <f t="shared" si="23"/>
        <v>10-2023</v>
      </c>
      <c r="D403" s="123">
        <f t="shared" si="21"/>
        <v>18.406104610808036</v>
      </c>
      <c r="E403" s="123"/>
      <c r="F403" s="123"/>
      <c r="G403" s="123"/>
      <c r="H403" s="124">
        <f t="shared" si="22"/>
        <v>18.406104610808036</v>
      </c>
      <c r="I403" s="125"/>
      <c r="K403" s="127"/>
    </row>
    <row r="404" spans="2:11" x14ac:dyDescent="0.25">
      <c r="B404" s="121">
        <v>45201</v>
      </c>
      <c r="C404" s="122" t="str">
        <f t="shared" si="23"/>
        <v>10-2023</v>
      </c>
      <c r="D404" s="123">
        <f t="shared" si="21"/>
        <v>18.391842219074913</v>
      </c>
      <c r="E404" s="123"/>
      <c r="F404" s="123"/>
      <c r="G404" s="123"/>
      <c r="H404" s="124">
        <f t="shared" si="22"/>
        <v>18.391842219074913</v>
      </c>
      <c r="I404" s="125"/>
      <c r="K404" s="127"/>
    </row>
    <row r="405" spans="2:11" x14ac:dyDescent="0.25">
      <c r="B405" s="121">
        <v>45202</v>
      </c>
      <c r="C405" s="122" t="str">
        <f t="shared" si="23"/>
        <v>10-2023</v>
      </c>
      <c r="D405" s="123">
        <f t="shared" si="21"/>
        <v>18.377590878882692</v>
      </c>
      <c r="E405" s="123"/>
      <c r="F405" s="123"/>
      <c r="G405" s="123"/>
      <c r="H405" s="124">
        <f t="shared" si="22"/>
        <v>18.377590878882692</v>
      </c>
      <c r="I405" s="125"/>
      <c r="K405" s="127"/>
    </row>
    <row r="406" spans="2:11" x14ac:dyDescent="0.25">
      <c r="B406" s="121">
        <v>45203</v>
      </c>
      <c r="C406" s="122" t="str">
        <f t="shared" si="23"/>
        <v>10-2023</v>
      </c>
      <c r="D406" s="123">
        <f t="shared" si="21"/>
        <v>18.363350581667834</v>
      </c>
      <c r="E406" s="123"/>
      <c r="F406" s="123"/>
      <c r="G406" s="123"/>
      <c r="H406" s="124">
        <f t="shared" si="22"/>
        <v>18.363350581667834</v>
      </c>
      <c r="I406" s="125"/>
      <c r="K406" s="127"/>
    </row>
    <row r="407" spans="2:11" x14ac:dyDescent="0.25">
      <c r="B407" s="121">
        <v>45204</v>
      </c>
      <c r="C407" s="122" t="str">
        <f t="shared" si="23"/>
        <v>10-2023</v>
      </c>
      <c r="D407" s="123">
        <f t="shared" si="21"/>
        <v>18.349121318873436</v>
      </c>
      <c r="E407" s="123"/>
      <c r="F407" s="123"/>
      <c r="G407" s="123"/>
      <c r="H407" s="124">
        <f t="shared" si="22"/>
        <v>18.349121318873436</v>
      </c>
      <c r="I407" s="125"/>
      <c r="K407" s="127"/>
    </row>
    <row r="408" spans="2:11" x14ac:dyDescent="0.25">
      <c r="B408" s="121">
        <v>45205</v>
      </c>
      <c r="C408" s="122" t="str">
        <f t="shared" si="23"/>
        <v>10-2023</v>
      </c>
      <c r="D408" s="123">
        <f t="shared" si="21"/>
        <v>18.334903081949221</v>
      </c>
      <c r="E408" s="123"/>
      <c r="F408" s="123"/>
      <c r="G408" s="123"/>
      <c r="H408" s="124">
        <f t="shared" si="22"/>
        <v>18.334903081949221</v>
      </c>
      <c r="I408" s="125"/>
      <c r="K408" s="127"/>
    </row>
    <row r="409" spans="2:11" x14ac:dyDescent="0.25">
      <c r="B409" s="121">
        <v>45206</v>
      </c>
      <c r="C409" s="122" t="str">
        <f t="shared" si="23"/>
        <v>10-2023</v>
      </c>
      <c r="D409" s="123">
        <f t="shared" si="21"/>
        <v>18.320695862351542</v>
      </c>
      <c r="E409" s="123"/>
      <c r="F409" s="123"/>
      <c r="G409" s="123"/>
      <c r="H409" s="124">
        <f t="shared" si="22"/>
        <v>18.320695862351542</v>
      </c>
      <c r="I409" s="125"/>
      <c r="K409" s="127"/>
    </row>
    <row r="410" spans="2:11" x14ac:dyDescent="0.25">
      <c r="B410" s="121">
        <v>45207</v>
      </c>
      <c r="C410" s="122" t="str">
        <f t="shared" si="23"/>
        <v>10-2023</v>
      </c>
      <c r="D410" s="123">
        <f t="shared" si="21"/>
        <v>18.306499651543373</v>
      </c>
      <c r="E410" s="123"/>
      <c r="F410" s="123"/>
      <c r="G410" s="123"/>
      <c r="H410" s="124">
        <f t="shared" si="22"/>
        <v>18.306499651543373</v>
      </c>
      <c r="I410" s="125"/>
      <c r="K410" s="127"/>
    </row>
    <row r="411" spans="2:11" x14ac:dyDescent="0.25">
      <c r="B411" s="121">
        <v>45208</v>
      </c>
      <c r="C411" s="122" t="str">
        <f t="shared" si="23"/>
        <v>10-2023</v>
      </c>
      <c r="D411" s="123">
        <f t="shared" si="21"/>
        <v>18.2923144409943</v>
      </c>
      <c r="E411" s="123"/>
      <c r="F411" s="123"/>
      <c r="G411" s="123"/>
      <c r="H411" s="124">
        <f t="shared" si="22"/>
        <v>18.2923144409943</v>
      </c>
      <c r="I411" s="125"/>
      <c r="K411" s="127"/>
    </row>
    <row r="412" spans="2:11" x14ac:dyDescent="0.25">
      <c r="B412" s="121">
        <v>45209</v>
      </c>
      <c r="C412" s="122" t="str">
        <f t="shared" si="23"/>
        <v>10-2023</v>
      </c>
      <c r="D412" s="123">
        <f t="shared" si="21"/>
        <v>18.278140222180522</v>
      </c>
      <c r="E412" s="123"/>
      <c r="F412" s="123"/>
      <c r="G412" s="123"/>
      <c r="H412" s="124">
        <f t="shared" si="22"/>
        <v>18.278140222180522</v>
      </c>
      <c r="I412" s="125"/>
      <c r="K412" s="127"/>
    </row>
    <row r="413" spans="2:11" x14ac:dyDescent="0.25">
      <c r="B413" s="121">
        <v>45210</v>
      </c>
      <c r="C413" s="122" t="str">
        <f t="shared" si="23"/>
        <v>10-2023</v>
      </c>
      <c r="D413" s="123">
        <f t="shared" si="21"/>
        <v>18.263976986584836</v>
      </c>
      <c r="E413" s="123"/>
      <c r="F413" s="123"/>
      <c r="G413" s="123"/>
      <c r="H413" s="124">
        <f t="shared" si="22"/>
        <v>18.263976986584836</v>
      </c>
      <c r="I413" s="125"/>
      <c r="K413" s="127"/>
    </row>
    <row r="414" spans="2:11" x14ac:dyDescent="0.25">
      <c r="B414" s="121">
        <v>45211</v>
      </c>
      <c r="C414" s="122" t="str">
        <f t="shared" si="23"/>
        <v>10-2023</v>
      </c>
      <c r="D414" s="123">
        <f t="shared" si="21"/>
        <v>18.249824725696651</v>
      </c>
      <c r="E414" s="123"/>
      <c r="F414" s="123"/>
      <c r="G414" s="123"/>
      <c r="H414" s="124">
        <f t="shared" si="22"/>
        <v>18.249824725696651</v>
      </c>
      <c r="I414" s="125"/>
      <c r="K414" s="127"/>
    </row>
    <row r="415" spans="2:11" x14ac:dyDescent="0.25">
      <c r="B415" s="121">
        <v>45212</v>
      </c>
      <c r="C415" s="122" t="str">
        <f t="shared" si="23"/>
        <v>10-2023</v>
      </c>
      <c r="D415" s="123">
        <f t="shared" si="21"/>
        <v>18.23568343101196</v>
      </c>
      <c r="E415" s="123"/>
      <c r="F415" s="123"/>
      <c r="G415" s="123"/>
      <c r="H415" s="124">
        <f t="shared" si="22"/>
        <v>18.23568343101196</v>
      </c>
      <c r="I415" s="125"/>
      <c r="K415" s="127"/>
    </row>
    <row r="416" spans="2:11" x14ac:dyDescent="0.25">
      <c r="B416" s="121">
        <v>45213</v>
      </c>
      <c r="C416" s="122" t="str">
        <f t="shared" si="23"/>
        <v>10-2023</v>
      </c>
      <c r="D416" s="123">
        <f t="shared" si="21"/>
        <v>18.22155309403335</v>
      </c>
      <c r="E416" s="123"/>
      <c r="F416" s="123"/>
      <c r="G416" s="123"/>
      <c r="H416" s="124">
        <f t="shared" si="22"/>
        <v>18.22155309403335</v>
      </c>
      <c r="I416" s="125"/>
      <c r="K416" s="127"/>
    </row>
    <row r="417" spans="2:11" x14ac:dyDescent="0.25">
      <c r="B417" s="121">
        <v>45214</v>
      </c>
      <c r="C417" s="122" t="str">
        <f t="shared" si="23"/>
        <v>10-2023</v>
      </c>
      <c r="D417" s="123">
        <f t="shared" si="21"/>
        <v>18.207433706269988</v>
      </c>
      <c r="E417" s="123"/>
      <c r="F417" s="123"/>
      <c r="G417" s="123"/>
      <c r="H417" s="124">
        <f t="shared" si="22"/>
        <v>18.207433706269988</v>
      </c>
      <c r="I417" s="125"/>
      <c r="K417" s="127"/>
    </row>
    <row r="418" spans="2:11" x14ac:dyDescent="0.25">
      <c r="B418" s="121">
        <v>45215</v>
      </c>
      <c r="C418" s="122" t="str">
        <f t="shared" si="23"/>
        <v>10-2023</v>
      </c>
      <c r="D418" s="123">
        <f t="shared" si="21"/>
        <v>18.193325259237628</v>
      </c>
      <c r="E418" s="123"/>
      <c r="F418" s="123"/>
      <c r="G418" s="123"/>
      <c r="H418" s="124">
        <f t="shared" si="22"/>
        <v>18.193325259237628</v>
      </c>
      <c r="I418" s="125"/>
      <c r="K418" s="127"/>
    </row>
    <row r="419" spans="2:11" x14ac:dyDescent="0.25">
      <c r="B419" s="121">
        <v>45216</v>
      </c>
      <c r="C419" s="122" t="str">
        <f t="shared" si="23"/>
        <v>10-2023</v>
      </c>
      <c r="D419" s="123">
        <f t="shared" si="21"/>
        <v>18.179227744458593</v>
      </c>
      <c r="E419" s="123"/>
      <c r="F419" s="123"/>
      <c r="G419" s="123"/>
      <c r="H419" s="124">
        <f t="shared" si="22"/>
        <v>18.179227744458593</v>
      </c>
      <c r="I419" s="125"/>
      <c r="K419" s="127"/>
    </row>
    <row r="420" spans="2:11" x14ac:dyDescent="0.25">
      <c r="B420" s="121">
        <v>45217</v>
      </c>
      <c r="C420" s="122" t="str">
        <f t="shared" si="23"/>
        <v>10-2023</v>
      </c>
      <c r="D420" s="123">
        <f t="shared" si="21"/>
        <v>18.165141153461775</v>
      </c>
      <c r="E420" s="123"/>
      <c r="F420" s="123"/>
      <c r="G420" s="123"/>
      <c r="H420" s="124">
        <f t="shared" si="22"/>
        <v>18.165141153461775</v>
      </c>
      <c r="I420" s="125"/>
      <c r="K420" s="127"/>
    </row>
    <row r="421" spans="2:11" x14ac:dyDescent="0.25">
      <c r="B421" s="121">
        <v>45218</v>
      </c>
      <c r="C421" s="122" t="str">
        <f t="shared" si="23"/>
        <v>10-2023</v>
      </c>
      <c r="D421" s="123">
        <f t="shared" si="21"/>
        <v>18.15106547778263</v>
      </c>
      <c r="E421" s="123"/>
      <c r="F421" s="123"/>
      <c r="G421" s="123"/>
      <c r="H421" s="124">
        <f t="shared" si="22"/>
        <v>18.15106547778263</v>
      </c>
      <c r="I421" s="125"/>
      <c r="K421" s="127"/>
    </row>
    <row r="422" spans="2:11" x14ac:dyDescent="0.25">
      <c r="B422" s="121">
        <v>45219</v>
      </c>
      <c r="C422" s="122" t="str">
        <f t="shared" si="23"/>
        <v>10-2023</v>
      </c>
      <c r="D422" s="123">
        <f t="shared" si="21"/>
        <v>18.137000708963178</v>
      </c>
      <c r="E422" s="123"/>
      <c r="F422" s="123"/>
      <c r="G422" s="123"/>
      <c r="H422" s="124">
        <f t="shared" si="22"/>
        <v>18.137000708963178</v>
      </c>
      <c r="I422" s="125"/>
      <c r="K422" s="127"/>
    </row>
    <row r="423" spans="2:11" x14ac:dyDescent="0.25">
      <c r="B423" s="121">
        <v>45220</v>
      </c>
      <c r="C423" s="122" t="str">
        <f t="shared" si="23"/>
        <v>10-2023</v>
      </c>
      <c r="D423" s="123">
        <f t="shared" si="21"/>
        <v>18.122946838551986</v>
      </c>
      <c r="E423" s="123"/>
      <c r="F423" s="123"/>
      <c r="G423" s="123"/>
      <c r="H423" s="124">
        <f t="shared" si="22"/>
        <v>18.122946838551986</v>
      </c>
      <c r="I423" s="125"/>
      <c r="K423" s="127"/>
    </row>
    <row r="424" spans="2:11" x14ac:dyDescent="0.25">
      <c r="B424" s="121">
        <v>45221</v>
      </c>
      <c r="C424" s="122" t="str">
        <f t="shared" si="23"/>
        <v>10-2023</v>
      </c>
      <c r="D424" s="123">
        <f t="shared" si="21"/>
        <v>18.108903858104174</v>
      </c>
      <c r="E424" s="123"/>
      <c r="F424" s="123"/>
      <c r="G424" s="123"/>
      <c r="H424" s="124">
        <f t="shared" si="22"/>
        <v>18.108903858104174</v>
      </c>
      <c r="I424" s="125"/>
      <c r="K424" s="127"/>
    </row>
    <row r="425" spans="2:11" x14ac:dyDescent="0.25">
      <c r="B425" s="121">
        <v>45222</v>
      </c>
      <c r="C425" s="122" t="str">
        <f t="shared" si="23"/>
        <v>10-2023</v>
      </c>
      <c r="D425" s="123">
        <f t="shared" si="21"/>
        <v>18.094871759181402</v>
      </c>
      <c r="E425" s="123"/>
      <c r="F425" s="123"/>
      <c r="G425" s="123"/>
      <c r="H425" s="124">
        <f t="shared" si="22"/>
        <v>18.094871759181402</v>
      </c>
      <c r="I425" s="125"/>
      <c r="K425" s="127"/>
    </row>
    <row r="426" spans="2:11" x14ac:dyDescent="0.25">
      <c r="B426" s="121">
        <v>45223</v>
      </c>
      <c r="C426" s="122" t="str">
        <f t="shared" si="23"/>
        <v>10-2023</v>
      </c>
      <c r="D426" s="123">
        <f t="shared" si="21"/>
        <v>18.080850533351875</v>
      </c>
      <c r="E426" s="123"/>
      <c r="F426" s="123"/>
      <c r="G426" s="123"/>
      <c r="H426" s="124">
        <f t="shared" si="22"/>
        <v>18.080850533351875</v>
      </c>
      <c r="I426" s="125"/>
      <c r="K426" s="127"/>
    </row>
    <row r="427" spans="2:11" x14ac:dyDescent="0.25">
      <c r="B427" s="121">
        <v>45224</v>
      </c>
      <c r="C427" s="122" t="str">
        <f t="shared" si="23"/>
        <v>10-2023</v>
      </c>
      <c r="D427" s="123">
        <f t="shared" si="21"/>
        <v>18.066840172190325</v>
      </c>
      <c r="E427" s="123"/>
      <c r="F427" s="123"/>
      <c r="G427" s="123"/>
      <c r="H427" s="124">
        <f t="shared" si="22"/>
        <v>18.066840172190325</v>
      </c>
      <c r="I427" s="125"/>
      <c r="K427" s="127"/>
    </row>
    <row r="428" spans="2:11" x14ac:dyDescent="0.25">
      <c r="B428" s="121">
        <v>45225</v>
      </c>
      <c r="C428" s="122" t="str">
        <f t="shared" si="23"/>
        <v>10-2023</v>
      </c>
      <c r="D428" s="123">
        <f t="shared" si="21"/>
        <v>18.052840667278016</v>
      </c>
      <c r="E428" s="123"/>
      <c r="F428" s="123"/>
      <c r="G428" s="123"/>
      <c r="H428" s="124">
        <f t="shared" si="22"/>
        <v>18.052840667278016</v>
      </c>
      <c r="I428" s="125"/>
      <c r="K428" s="127"/>
    </row>
    <row r="429" spans="2:11" x14ac:dyDescent="0.25">
      <c r="B429" s="121">
        <v>45226</v>
      </c>
      <c r="C429" s="122" t="str">
        <f t="shared" si="23"/>
        <v>10-2023</v>
      </c>
      <c r="D429" s="123">
        <f t="shared" si="21"/>
        <v>18.038852010202735</v>
      </c>
      <c r="E429" s="123"/>
      <c r="F429" s="123"/>
      <c r="G429" s="123"/>
      <c r="H429" s="124">
        <f t="shared" si="22"/>
        <v>18.038852010202735</v>
      </c>
      <c r="I429" s="125"/>
      <c r="K429" s="127"/>
    </row>
    <row r="430" spans="2:11" x14ac:dyDescent="0.25">
      <c r="B430" s="121">
        <v>45227</v>
      </c>
      <c r="C430" s="122" t="str">
        <f t="shared" si="23"/>
        <v>10-2023</v>
      </c>
      <c r="D430" s="123">
        <f t="shared" si="21"/>
        <v>18.024874192558787</v>
      </c>
      <c r="E430" s="123"/>
      <c r="F430" s="123"/>
      <c r="G430" s="123"/>
      <c r="H430" s="124">
        <f t="shared" si="22"/>
        <v>18.024874192558787</v>
      </c>
      <c r="I430" s="125"/>
      <c r="K430" s="127"/>
    </row>
    <row r="431" spans="2:11" x14ac:dyDescent="0.25">
      <c r="B431" s="121">
        <v>45228</v>
      </c>
      <c r="C431" s="122" t="str">
        <f t="shared" si="23"/>
        <v>10-2023</v>
      </c>
      <c r="D431" s="123">
        <f t="shared" si="21"/>
        <v>18.010907205946989</v>
      </c>
      <c r="E431" s="123"/>
      <c r="F431" s="123"/>
      <c r="G431" s="123"/>
      <c r="H431" s="124">
        <f t="shared" si="22"/>
        <v>18.010907205946989</v>
      </c>
      <c r="I431" s="125"/>
      <c r="K431" s="127"/>
    </row>
    <row r="432" spans="2:11" x14ac:dyDescent="0.25">
      <c r="B432" s="121">
        <v>45229</v>
      </c>
      <c r="C432" s="122" t="str">
        <f t="shared" si="23"/>
        <v>10-2023</v>
      </c>
      <c r="D432" s="123">
        <f t="shared" si="21"/>
        <v>17.996951041974668</v>
      </c>
      <c r="E432" s="123"/>
      <c r="F432" s="123"/>
      <c r="G432" s="123"/>
      <c r="H432" s="124">
        <f t="shared" si="22"/>
        <v>17.996951041974668</v>
      </c>
      <c r="I432" s="125"/>
      <c r="K432" s="127"/>
    </row>
    <row r="433" spans="2:11" x14ac:dyDescent="0.25">
      <c r="B433" s="121">
        <v>45230</v>
      </c>
      <c r="C433" s="122" t="str">
        <f t="shared" si="23"/>
        <v>10-2023</v>
      </c>
      <c r="D433" s="123">
        <f t="shared" si="21"/>
        <v>17.983005692255656</v>
      </c>
      <c r="E433" s="123"/>
      <c r="F433" s="123"/>
      <c r="G433" s="123"/>
      <c r="H433" s="124">
        <f t="shared" si="22"/>
        <v>17.983005692255656</v>
      </c>
      <c r="I433" s="125"/>
      <c r="K433" s="127"/>
    </row>
    <row r="434" spans="2:11" x14ac:dyDescent="0.25">
      <c r="B434" s="121">
        <v>45231</v>
      </c>
      <c r="C434" s="122" t="str">
        <f t="shared" si="23"/>
        <v>11-2023</v>
      </c>
      <c r="D434" s="123">
        <f t="shared" si="21"/>
        <v>17.969071148410279</v>
      </c>
      <c r="E434" s="123"/>
      <c r="F434" s="123"/>
      <c r="G434" s="123"/>
      <c r="H434" s="124">
        <f t="shared" si="22"/>
        <v>17.969071148410279</v>
      </c>
      <c r="I434" s="125"/>
      <c r="K434" s="127"/>
    </row>
    <row r="435" spans="2:11" x14ac:dyDescent="0.25">
      <c r="B435" s="121">
        <v>45232</v>
      </c>
      <c r="C435" s="122" t="str">
        <f t="shared" si="23"/>
        <v>11-2023</v>
      </c>
      <c r="D435" s="123">
        <f t="shared" si="21"/>
        <v>17.955147402065357</v>
      </c>
      <c r="E435" s="123"/>
      <c r="F435" s="123"/>
      <c r="G435" s="123"/>
      <c r="H435" s="124">
        <f t="shared" si="22"/>
        <v>17.955147402065357</v>
      </c>
      <c r="I435" s="125"/>
      <c r="K435" s="127"/>
    </row>
    <row r="436" spans="2:11" x14ac:dyDescent="0.25">
      <c r="B436" s="121">
        <v>45233</v>
      </c>
      <c r="C436" s="122" t="str">
        <f t="shared" si="23"/>
        <v>11-2023</v>
      </c>
      <c r="D436" s="123">
        <f t="shared" si="21"/>
        <v>17.941234444854203</v>
      </c>
      <c r="E436" s="123"/>
      <c r="F436" s="123"/>
      <c r="G436" s="123"/>
      <c r="H436" s="124">
        <f t="shared" si="22"/>
        <v>17.941234444854203</v>
      </c>
      <c r="I436" s="125"/>
      <c r="K436" s="127"/>
    </row>
    <row r="437" spans="2:11" x14ac:dyDescent="0.25">
      <c r="B437" s="121">
        <v>45234</v>
      </c>
      <c r="C437" s="122" t="str">
        <f t="shared" si="23"/>
        <v>11-2023</v>
      </c>
      <c r="D437" s="123">
        <f t="shared" si="21"/>
        <v>17.927332268416606</v>
      </c>
      <c r="E437" s="123"/>
      <c r="F437" s="123"/>
      <c r="G437" s="123"/>
      <c r="H437" s="124">
        <f t="shared" si="22"/>
        <v>17.927332268416606</v>
      </c>
      <c r="I437" s="125"/>
      <c r="K437" s="127"/>
    </row>
    <row r="438" spans="2:11" x14ac:dyDescent="0.25">
      <c r="B438" s="121">
        <v>45235</v>
      </c>
      <c r="C438" s="122" t="str">
        <f t="shared" si="23"/>
        <v>11-2023</v>
      </c>
      <c r="D438" s="123">
        <f t="shared" ref="D438:D493" si="24">(1-$E$4)*D437</f>
        <v>17.91344086439884</v>
      </c>
      <c r="E438" s="123"/>
      <c r="F438" s="123"/>
      <c r="G438" s="123"/>
      <c r="H438" s="124">
        <f t="shared" si="22"/>
        <v>17.91344086439884</v>
      </c>
      <c r="I438" s="125"/>
      <c r="K438" s="127"/>
    </row>
    <row r="439" spans="2:11" x14ac:dyDescent="0.25">
      <c r="B439" s="121">
        <v>45236</v>
      </c>
      <c r="C439" s="122" t="str">
        <f t="shared" si="23"/>
        <v>11-2023</v>
      </c>
      <c r="D439" s="123">
        <f t="shared" si="24"/>
        <v>17.899560224453648</v>
      </c>
      <c r="E439" s="123"/>
      <c r="F439" s="123"/>
      <c r="G439" s="123"/>
      <c r="H439" s="124">
        <f t="shared" si="22"/>
        <v>17.899560224453648</v>
      </c>
      <c r="I439" s="125"/>
      <c r="K439" s="127"/>
    </row>
    <row r="440" spans="2:11" x14ac:dyDescent="0.25">
      <c r="B440" s="121">
        <v>45237</v>
      </c>
      <c r="C440" s="122" t="str">
        <f t="shared" si="23"/>
        <v>11-2023</v>
      </c>
      <c r="D440" s="123">
        <f t="shared" si="24"/>
        <v>17.885690340240242</v>
      </c>
      <c r="E440" s="123"/>
      <c r="F440" s="123"/>
      <c r="G440" s="123"/>
      <c r="H440" s="124">
        <f t="shared" si="22"/>
        <v>17.885690340240242</v>
      </c>
      <c r="I440" s="125"/>
      <c r="K440" s="127"/>
    </row>
    <row r="441" spans="2:11" x14ac:dyDescent="0.25">
      <c r="B441" s="121">
        <v>45238</v>
      </c>
      <c r="C441" s="122" t="str">
        <f t="shared" si="23"/>
        <v>11-2023</v>
      </c>
      <c r="D441" s="123">
        <f t="shared" si="24"/>
        <v>17.871831203424296</v>
      </c>
      <c r="E441" s="123"/>
      <c r="F441" s="123"/>
      <c r="G441" s="123"/>
      <c r="H441" s="124">
        <f t="shared" si="22"/>
        <v>17.871831203424296</v>
      </c>
      <c r="I441" s="125"/>
      <c r="K441" s="127"/>
    </row>
    <row r="442" spans="2:11" x14ac:dyDescent="0.25">
      <c r="B442" s="121">
        <v>45239</v>
      </c>
      <c r="C442" s="122" t="str">
        <f t="shared" si="23"/>
        <v>11-2023</v>
      </c>
      <c r="D442" s="123">
        <f t="shared" si="24"/>
        <v>17.857982805677942</v>
      </c>
      <c r="E442" s="123"/>
      <c r="F442" s="123"/>
      <c r="G442" s="123"/>
      <c r="H442" s="124">
        <f t="shared" si="22"/>
        <v>17.857982805677942</v>
      </c>
      <c r="I442" s="125"/>
      <c r="K442" s="127"/>
    </row>
    <row r="443" spans="2:11" x14ac:dyDescent="0.25">
      <c r="B443" s="121">
        <v>45240</v>
      </c>
      <c r="C443" s="122" t="str">
        <f t="shared" si="23"/>
        <v>11-2023</v>
      </c>
      <c r="D443" s="123">
        <f t="shared" si="24"/>
        <v>17.844145138679767</v>
      </c>
      <c r="E443" s="123"/>
      <c r="F443" s="123"/>
      <c r="G443" s="123"/>
      <c r="H443" s="124">
        <f t="shared" si="22"/>
        <v>17.844145138679767</v>
      </c>
      <c r="I443" s="125"/>
      <c r="K443" s="127"/>
    </row>
    <row r="444" spans="2:11" x14ac:dyDescent="0.25">
      <c r="B444" s="121">
        <v>45241</v>
      </c>
      <c r="C444" s="122" t="str">
        <f t="shared" si="23"/>
        <v>11-2023</v>
      </c>
      <c r="D444" s="123">
        <f t="shared" si="24"/>
        <v>17.830318194114806</v>
      </c>
      <c r="E444" s="123"/>
      <c r="F444" s="123"/>
      <c r="G444" s="123"/>
      <c r="H444" s="124">
        <f t="shared" si="22"/>
        <v>17.830318194114806</v>
      </c>
      <c r="I444" s="125"/>
      <c r="K444" s="127"/>
    </row>
    <row r="445" spans="2:11" x14ac:dyDescent="0.25">
      <c r="B445" s="121">
        <v>45242</v>
      </c>
      <c r="C445" s="122" t="str">
        <f t="shared" si="23"/>
        <v>11-2023</v>
      </c>
      <c r="D445" s="123">
        <f t="shared" si="24"/>
        <v>17.816501963674533</v>
      </c>
      <c r="E445" s="123"/>
      <c r="F445" s="123"/>
      <c r="G445" s="123"/>
      <c r="H445" s="124">
        <f t="shared" si="22"/>
        <v>17.816501963674533</v>
      </c>
      <c r="I445" s="125"/>
      <c r="K445" s="127"/>
    </row>
    <row r="446" spans="2:11" x14ac:dyDescent="0.25">
      <c r="B446" s="121">
        <v>45243</v>
      </c>
      <c r="C446" s="122" t="str">
        <f t="shared" si="23"/>
        <v>11-2023</v>
      </c>
      <c r="D446" s="123">
        <f t="shared" si="24"/>
        <v>17.802696439056866</v>
      </c>
      <c r="E446" s="123"/>
      <c r="F446" s="123"/>
      <c r="G446" s="123"/>
      <c r="H446" s="124">
        <f t="shared" si="22"/>
        <v>17.802696439056866</v>
      </c>
      <c r="I446" s="125"/>
      <c r="K446" s="127"/>
    </row>
    <row r="447" spans="2:11" x14ac:dyDescent="0.25">
      <c r="B447" s="121">
        <v>45244</v>
      </c>
      <c r="C447" s="122" t="str">
        <f t="shared" si="23"/>
        <v>11-2023</v>
      </c>
      <c r="D447" s="123">
        <f t="shared" si="24"/>
        <v>17.788901611966153</v>
      </c>
      <c r="E447" s="123"/>
      <c r="F447" s="123"/>
      <c r="G447" s="123"/>
      <c r="H447" s="124">
        <f t="shared" si="22"/>
        <v>17.788901611966153</v>
      </c>
      <c r="I447" s="125"/>
      <c r="K447" s="127"/>
    </row>
    <row r="448" spans="2:11" x14ac:dyDescent="0.25">
      <c r="B448" s="121">
        <v>45245</v>
      </c>
      <c r="C448" s="122" t="str">
        <f t="shared" si="23"/>
        <v>11-2023</v>
      </c>
      <c r="D448" s="123">
        <f t="shared" si="24"/>
        <v>17.77511747411317</v>
      </c>
      <c r="E448" s="123"/>
      <c r="F448" s="123"/>
      <c r="G448" s="123"/>
      <c r="H448" s="124">
        <f t="shared" si="22"/>
        <v>17.77511747411317</v>
      </c>
      <c r="I448" s="125"/>
      <c r="K448" s="127"/>
    </row>
    <row r="449" spans="2:11" x14ac:dyDescent="0.25">
      <c r="B449" s="121">
        <v>45246</v>
      </c>
      <c r="C449" s="122" t="str">
        <f t="shared" si="23"/>
        <v>11-2023</v>
      </c>
      <c r="D449" s="123">
        <f t="shared" si="24"/>
        <v>17.761344017215116</v>
      </c>
      <c r="E449" s="123"/>
      <c r="F449" s="123"/>
      <c r="G449" s="123"/>
      <c r="H449" s="124">
        <f t="shared" si="22"/>
        <v>17.761344017215116</v>
      </c>
      <c r="I449" s="125"/>
      <c r="K449" s="127"/>
    </row>
    <row r="450" spans="2:11" x14ac:dyDescent="0.25">
      <c r="B450" s="121">
        <v>45247</v>
      </c>
      <c r="C450" s="122" t="str">
        <f t="shared" si="23"/>
        <v>11-2023</v>
      </c>
      <c r="D450" s="123">
        <f t="shared" si="24"/>
        <v>17.747581232995607</v>
      </c>
      <c r="E450" s="123"/>
      <c r="F450" s="123"/>
      <c r="G450" s="123"/>
      <c r="H450" s="124">
        <f t="shared" si="22"/>
        <v>17.747581232995607</v>
      </c>
      <c r="I450" s="125"/>
      <c r="K450" s="127"/>
    </row>
    <row r="451" spans="2:11" x14ac:dyDescent="0.25">
      <c r="B451" s="121">
        <v>45248</v>
      </c>
      <c r="C451" s="122" t="str">
        <f t="shared" si="23"/>
        <v>11-2023</v>
      </c>
      <c r="D451" s="123">
        <f t="shared" si="24"/>
        <v>17.733829113184676</v>
      </c>
      <c r="E451" s="123"/>
      <c r="F451" s="123"/>
      <c r="G451" s="123"/>
      <c r="H451" s="124">
        <f t="shared" si="22"/>
        <v>17.733829113184676</v>
      </c>
      <c r="I451" s="125"/>
      <c r="K451" s="127"/>
    </row>
    <row r="452" spans="2:11" x14ac:dyDescent="0.25">
      <c r="B452" s="121">
        <v>45249</v>
      </c>
      <c r="C452" s="122" t="str">
        <f t="shared" si="23"/>
        <v>11-2023</v>
      </c>
      <c r="D452" s="123">
        <f t="shared" si="24"/>
        <v>17.72008764951876</v>
      </c>
      <c r="E452" s="123"/>
      <c r="F452" s="123"/>
      <c r="G452" s="123"/>
      <c r="H452" s="124">
        <f t="shared" si="22"/>
        <v>17.72008764951876</v>
      </c>
      <c r="I452" s="125"/>
      <c r="K452" s="127"/>
    </row>
    <row r="453" spans="2:11" x14ac:dyDescent="0.25">
      <c r="B453" s="121">
        <v>45250</v>
      </c>
      <c r="C453" s="122" t="str">
        <f t="shared" si="23"/>
        <v>11-2023</v>
      </c>
      <c r="D453" s="123">
        <f t="shared" si="24"/>
        <v>17.706356833740699</v>
      </c>
      <c r="E453" s="123"/>
      <c r="F453" s="123"/>
      <c r="G453" s="123"/>
      <c r="H453" s="124">
        <f t="shared" si="22"/>
        <v>17.706356833740699</v>
      </c>
      <c r="I453" s="125"/>
      <c r="K453" s="127"/>
    </row>
    <row r="454" spans="2:11" x14ac:dyDescent="0.25">
      <c r="B454" s="121">
        <v>45251</v>
      </c>
      <c r="C454" s="122" t="str">
        <f t="shared" si="23"/>
        <v>11-2023</v>
      </c>
      <c r="D454" s="123">
        <f t="shared" si="24"/>
        <v>17.692636657599738</v>
      </c>
      <c r="E454" s="123"/>
      <c r="F454" s="123"/>
      <c r="G454" s="123"/>
      <c r="H454" s="124">
        <f t="shared" si="22"/>
        <v>17.692636657599738</v>
      </c>
      <c r="I454" s="125"/>
      <c r="K454" s="127"/>
    </row>
    <row r="455" spans="2:11" x14ac:dyDescent="0.25">
      <c r="B455" s="121">
        <v>45252</v>
      </c>
      <c r="C455" s="122" t="str">
        <f t="shared" si="23"/>
        <v>11-2023</v>
      </c>
      <c r="D455" s="123">
        <f t="shared" si="24"/>
        <v>17.678927112851508</v>
      </c>
      <c r="E455" s="123"/>
      <c r="F455" s="123"/>
      <c r="G455" s="123"/>
      <c r="H455" s="124">
        <f t="shared" si="22"/>
        <v>17.678927112851508</v>
      </c>
      <c r="I455" s="125"/>
      <c r="K455" s="127"/>
    </row>
    <row r="456" spans="2:11" x14ac:dyDescent="0.25">
      <c r="B456" s="121">
        <v>45253</v>
      </c>
      <c r="C456" s="122" t="str">
        <f t="shared" si="23"/>
        <v>11-2023</v>
      </c>
      <c r="D456" s="123">
        <f t="shared" si="24"/>
        <v>17.665228191258031</v>
      </c>
      <c r="E456" s="123"/>
      <c r="F456" s="123"/>
      <c r="G456" s="123"/>
      <c r="H456" s="124">
        <f t="shared" ref="H456:H494" si="25">SUM(D456:G456)</f>
        <v>17.665228191258031</v>
      </c>
      <c r="I456" s="125"/>
      <c r="K456" s="127"/>
    </row>
    <row r="457" spans="2:11" x14ac:dyDescent="0.25">
      <c r="B457" s="121">
        <v>45254</v>
      </c>
      <c r="C457" s="122" t="str">
        <f t="shared" ref="C457:C494" si="26">RIGHT("0"&amp;MONTH(B457),2)&amp;"-"&amp;YEAR(B457)</f>
        <v>11-2023</v>
      </c>
      <c r="D457" s="123">
        <f t="shared" si="24"/>
        <v>17.651539884587713</v>
      </c>
      <c r="E457" s="123"/>
      <c r="F457" s="123"/>
      <c r="G457" s="123"/>
      <c r="H457" s="124">
        <f t="shared" si="25"/>
        <v>17.651539884587713</v>
      </c>
      <c r="I457" s="125"/>
      <c r="K457" s="127"/>
    </row>
    <row r="458" spans="2:11" x14ac:dyDescent="0.25">
      <c r="B458" s="121">
        <v>45255</v>
      </c>
      <c r="C458" s="122" t="str">
        <f t="shared" si="26"/>
        <v>11-2023</v>
      </c>
      <c r="D458" s="123">
        <f t="shared" si="24"/>
        <v>17.637862184615337</v>
      </c>
      <c r="E458" s="123"/>
      <c r="F458" s="123"/>
      <c r="G458" s="123"/>
      <c r="H458" s="124">
        <f t="shared" si="25"/>
        <v>17.637862184615337</v>
      </c>
      <c r="I458" s="125"/>
      <c r="K458" s="127"/>
    </row>
    <row r="459" spans="2:11" x14ac:dyDescent="0.25">
      <c r="B459" s="121">
        <v>45256</v>
      </c>
      <c r="C459" s="122" t="str">
        <f t="shared" si="26"/>
        <v>11-2023</v>
      </c>
      <c r="D459" s="123">
        <f t="shared" si="24"/>
        <v>17.624195083122057</v>
      </c>
      <c r="E459" s="123"/>
      <c r="F459" s="123"/>
      <c r="G459" s="123"/>
      <c r="H459" s="124">
        <f t="shared" si="25"/>
        <v>17.624195083122057</v>
      </c>
      <c r="I459" s="125"/>
      <c r="K459" s="127"/>
    </row>
    <row r="460" spans="2:11" x14ac:dyDescent="0.25">
      <c r="B460" s="121">
        <v>45257</v>
      </c>
      <c r="C460" s="122" t="str">
        <f t="shared" si="26"/>
        <v>11-2023</v>
      </c>
      <c r="D460" s="123">
        <f t="shared" si="24"/>
        <v>17.610538571895404</v>
      </c>
      <c r="E460" s="123"/>
      <c r="F460" s="123"/>
      <c r="G460" s="123"/>
      <c r="H460" s="124">
        <f t="shared" si="25"/>
        <v>17.610538571895404</v>
      </c>
      <c r="I460" s="125"/>
      <c r="K460" s="127"/>
    </row>
    <row r="461" spans="2:11" x14ac:dyDescent="0.25">
      <c r="B461" s="121">
        <v>45258</v>
      </c>
      <c r="C461" s="122" t="str">
        <f t="shared" si="26"/>
        <v>11-2023</v>
      </c>
      <c r="D461" s="123">
        <f t="shared" si="24"/>
        <v>17.596892642729266</v>
      </c>
      <c r="E461" s="123"/>
      <c r="F461" s="123"/>
      <c r="G461" s="123"/>
      <c r="H461" s="124">
        <f t="shared" si="25"/>
        <v>17.596892642729266</v>
      </c>
      <c r="I461" s="125"/>
      <c r="K461" s="127"/>
    </row>
    <row r="462" spans="2:11" x14ac:dyDescent="0.25">
      <c r="B462" s="121">
        <v>45259</v>
      </c>
      <c r="C462" s="122" t="str">
        <f t="shared" si="26"/>
        <v>11-2023</v>
      </c>
      <c r="D462" s="123">
        <f t="shared" si="24"/>
        <v>17.583257287423891</v>
      </c>
      <c r="E462" s="123"/>
      <c r="F462" s="123"/>
      <c r="G462" s="123"/>
      <c r="H462" s="124">
        <f t="shared" si="25"/>
        <v>17.583257287423891</v>
      </c>
      <c r="I462" s="125"/>
      <c r="K462" s="127"/>
    </row>
    <row r="463" spans="2:11" x14ac:dyDescent="0.25">
      <c r="B463" s="121">
        <v>45260</v>
      </c>
      <c r="C463" s="122" t="str">
        <f t="shared" si="26"/>
        <v>11-2023</v>
      </c>
      <c r="D463" s="123">
        <f t="shared" si="24"/>
        <v>17.569632497785879</v>
      </c>
      <c r="E463" s="123"/>
      <c r="F463" s="123"/>
      <c r="G463" s="123"/>
      <c r="H463" s="124">
        <f t="shared" si="25"/>
        <v>17.569632497785879</v>
      </c>
      <c r="I463" s="125"/>
      <c r="K463" s="127"/>
    </row>
    <row r="464" spans="2:11" x14ac:dyDescent="0.25">
      <c r="B464" s="121">
        <v>45261</v>
      </c>
      <c r="C464" s="122" t="str">
        <f t="shared" si="26"/>
        <v>12-2023</v>
      </c>
      <c r="D464" s="123">
        <f t="shared" si="24"/>
        <v>17.556018265628182</v>
      </c>
      <c r="E464" s="123"/>
      <c r="F464" s="123"/>
      <c r="G464" s="123"/>
      <c r="H464" s="124">
        <f t="shared" si="25"/>
        <v>17.556018265628182</v>
      </c>
      <c r="I464" s="125"/>
      <c r="K464" s="127"/>
    </row>
    <row r="465" spans="2:11" x14ac:dyDescent="0.25">
      <c r="B465" s="121">
        <v>45262</v>
      </c>
      <c r="C465" s="122" t="str">
        <f t="shared" si="26"/>
        <v>12-2023</v>
      </c>
      <c r="D465" s="123">
        <f t="shared" si="24"/>
        <v>17.542414582770093</v>
      </c>
      <c r="E465" s="123"/>
      <c r="F465" s="123"/>
      <c r="G465" s="123"/>
      <c r="H465" s="124">
        <f t="shared" si="25"/>
        <v>17.542414582770093</v>
      </c>
      <c r="I465" s="125"/>
      <c r="K465" s="127"/>
    </row>
    <row r="466" spans="2:11" x14ac:dyDescent="0.25">
      <c r="B466" s="121">
        <v>45263</v>
      </c>
      <c r="C466" s="122" t="str">
        <f t="shared" si="26"/>
        <v>12-2023</v>
      </c>
      <c r="D466" s="123">
        <f t="shared" si="24"/>
        <v>17.528821441037248</v>
      </c>
      <c r="E466" s="123"/>
      <c r="F466" s="123"/>
      <c r="G466" s="123"/>
      <c r="H466" s="124">
        <f t="shared" si="25"/>
        <v>17.528821441037248</v>
      </c>
      <c r="I466" s="125"/>
      <c r="K466" s="127"/>
    </row>
    <row r="467" spans="2:11" x14ac:dyDescent="0.25">
      <c r="B467" s="121">
        <v>45264</v>
      </c>
      <c r="C467" s="122" t="str">
        <f t="shared" si="26"/>
        <v>12-2023</v>
      </c>
      <c r="D467" s="123">
        <f t="shared" si="24"/>
        <v>17.515238832261613</v>
      </c>
      <c r="E467" s="123"/>
      <c r="F467" s="123"/>
      <c r="G467" s="123"/>
      <c r="H467" s="124">
        <f t="shared" si="25"/>
        <v>17.515238832261613</v>
      </c>
      <c r="I467" s="125"/>
      <c r="K467" s="127"/>
    </row>
    <row r="468" spans="2:11" x14ac:dyDescent="0.25">
      <c r="B468" s="121">
        <v>45265</v>
      </c>
      <c r="C468" s="122" t="str">
        <f t="shared" si="26"/>
        <v>12-2023</v>
      </c>
      <c r="D468" s="123">
        <f t="shared" si="24"/>
        <v>17.501666748281483</v>
      </c>
      <c r="E468" s="123"/>
      <c r="F468" s="123"/>
      <c r="G468" s="123"/>
      <c r="H468" s="124">
        <f t="shared" si="25"/>
        <v>17.501666748281483</v>
      </c>
      <c r="I468" s="125"/>
      <c r="K468" s="127"/>
    </row>
    <row r="469" spans="2:11" x14ac:dyDescent="0.25">
      <c r="B469" s="121">
        <v>45266</v>
      </c>
      <c r="C469" s="122" t="str">
        <f t="shared" si="26"/>
        <v>12-2023</v>
      </c>
      <c r="D469" s="123">
        <f t="shared" si="24"/>
        <v>17.488105180941485</v>
      </c>
      <c r="E469" s="123"/>
      <c r="F469" s="123"/>
      <c r="G469" s="123"/>
      <c r="H469" s="124">
        <f t="shared" si="25"/>
        <v>17.488105180941485</v>
      </c>
      <c r="I469" s="125"/>
      <c r="K469" s="127"/>
    </row>
    <row r="470" spans="2:11" x14ac:dyDescent="0.25">
      <c r="B470" s="121">
        <v>45267</v>
      </c>
      <c r="C470" s="122" t="str">
        <f t="shared" si="26"/>
        <v>12-2023</v>
      </c>
      <c r="D470" s="123">
        <f t="shared" si="24"/>
        <v>17.474554122092556</v>
      </c>
      <c r="E470" s="123"/>
      <c r="F470" s="123"/>
      <c r="G470" s="123"/>
      <c r="H470" s="124">
        <f t="shared" si="25"/>
        <v>17.474554122092556</v>
      </c>
      <c r="I470" s="125"/>
      <c r="K470" s="127"/>
    </row>
    <row r="471" spans="2:11" x14ac:dyDescent="0.25">
      <c r="B471" s="121">
        <v>45268</v>
      </c>
      <c r="C471" s="122" t="str">
        <f t="shared" si="26"/>
        <v>12-2023</v>
      </c>
      <c r="D471" s="123">
        <f t="shared" si="24"/>
        <v>17.461013563591951</v>
      </c>
      <c r="E471" s="123"/>
      <c r="F471" s="123"/>
      <c r="G471" s="123"/>
      <c r="H471" s="124">
        <f t="shared" si="25"/>
        <v>17.461013563591951</v>
      </c>
      <c r="I471" s="125"/>
      <c r="K471" s="127"/>
    </row>
    <row r="472" spans="2:11" x14ac:dyDescent="0.25">
      <c r="B472" s="121">
        <v>45269</v>
      </c>
      <c r="C472" s="122" t="str">
        <f t="shared" si="26"/>
        <v>12-2023</v>
      </c>
      <c r="D472" s="123">
        <f t="shared" si="24"/>
        <v>17.447483497303235</v>
      </c>
      <c r="E472" s="123"/>
      <c r="F472" s="123"/>
      <c r="G472" s="123"/>
      <c r="H472" s="124">
        <f t="shared" si="25"/>
        <v>17.447483497303235</v>
      </c>
      <c r="I472" s="125"/>
      <c r="K472" s="127"/>
    </row>
    <row r="473" spans="2:11" x14ac:dyDescent="0.25">
      <c r="B473" s="121">
        <v>45270</v>
      </c>
      <c r="C473" s="122" t="str">
        <f t="shared" si="26"/>
        <v>12-2023</v>
      </c>
      <c r="D473" s="123">
        <f t="shared" si="24"/>
        <v>17.433963915096275</v>
      </c>
      <c r="E473" s="123"/>
      <c r="F473" s="123"/>
      <c r="G473" s="123"/>
      <c r="H473" s="124">
        <f t="shared" si="25"/>
        <v>17.433963915096275</v>
      </c>
      <c r="I473" s="125"/>
      <c r="K473" s="127"/>
    </row>
    <row r="474" spans="2:11" x14ac:dyDescent="0.25">
      <c r="B474" s="121">
        <v>45271</v>
      </c>
      <c r="C474" s="122" t="str">
        <f t="shared" si="26"/>
        <v>12-2023</v>
      </c>
      <c r="D474" s="123">
        <f t="shared" si="24"/>
        <v>17.420454808847243</v>
      </c>
      <c r="E474" s="123"/>
      <c r="F474" s="123"/>
      <c r="G474" s="123"/>
      <c r="H474" s="124">
        <f t="shared" si="25"/>
        <v>17.420454808847243</v>
      </c>
      <c r="I474" s="125"/>
      <c r="K474" s="127"/>
    </row>
    <row r="475" spans="2:11" x14ac:dyDescent="0.25">
      <c r="B475" s="121">
        <v>45272</v>
      </c>
      <c r="C475" s="122" t="str">
        <f t="shared" si="26"/>
        <v>12-2023</v>
      </c>
      <c r="D475" s="123">
        <f t="shared" si="24"/>
        <v>17.406956170438601</v>
      </c>
      <c r="E475" s="123"/>
      <c r="F475" s="123"/>
      <c r="G475" s="123"/>
      <c r="H475" s="124">
        <f t="shared" si="25"/>
        <v>17.406956170438601</v>
      </c>
      <c r="I475" s="125"/>
      <c r="K475" s="127"/>
    </row>
    <row r="476" spans="2:11" x14ac:dyDescent="0.25">
      <c r="B476" s="121">
        <v>45273</v>
      </c>
      <c r="C476" s="122" t="str">
        <f t="shared" si="26"/>
        <v>12-2023</v>
      </c>
      <c r="D476" s="123">
        <f t="shared" si="24"/>
        <v>17.393467991759106</v>
      </c>
      <c r="E476" s="123"/>
      <c r="F476" s="123"/>
      <c r="G476" s="123"/>
      <c r="H476" s="124">
        <f t="shared" si="25"/>
        <v>17.393467991759106</v>
      </c>
      <c r="I476" s="125"/>
      <c r="K476" s="127"/>
    </row>
    <row r="477" spans="2:11" x14ac:dyDescent="0.25">
      <c r="B477" s="121">
        <v>45274</v>
      </c>
      <c r="C477" s="122" t="str">
        <f t="shared" si="26"/>
        <v>12-2023</v>
      </c>
      <c r="D477" s="123">
        <f t="shared" si="24"/>
        <v>17.379990264703796</v>
      </c>
      <c r="E477" s="123"/>
      <c r="F477" s="123"/>
      <c r="G477" s="123"/>
      <c r="H477" s="124">
        <f t="shared" si="25"/>
        <v>17.379990264703796</v>
      </c>
      <c r="I477" s="125"/>
      <c r="K477" s="127"/>
    </row>
    <row r="478" spans="2:11" x14ac:dyDescent="0.25">
      <c r="B478" s="121">
        <v>45275</v>
      </c>
      <c r="C478" s="122" t="str">
        <f t="shared" si="26"/>
        <v>12-2023</v>
      </c>
      <c r="D478" s="123">
        <f t="shared" si="24"/>
        <v>17.36652298117399</v>
      </c>
      <c r="E478" s="123"/>
      <c r="F478" s="123"/>
      <c r="G478" s="123"/>
      <c r="H478" s="124">
        <f t="shared" si="25"/>
        <v>17.36652298117399</v>
      </c>
      <c r="I478" s="125"/>
      <c r="K478" s="127"/>
    </row>
    <row r="479" spans="2:11" x14ac:dyDescent="0.25">
      <c r="B479" s="121">
        <v>45276</v>
      </c>
      <c r="C479" s="122" t="str">
        <f t="shared" si="26"/>
        <v>12-2023</v>
      </c>
      <c r="D479" s="123">
        <f t="shared" si="24"/>
        <v>17.353066133077281</v>
      </c>
      <c r="E479" s="123"/>
      <c r="F479" s="123"/>
      <c r="G479" s="123"/>
      <c r="H479" s="124">
        <f t="shared" si="25"/>
        <v>17.353066133077281</v>
      </c>
      <c r="I479" s="125"/>
      <c r="K479" s="127"/>
    </row>
    <row r="480" spans="2:11" x14ac:dyDescent="0.25">
      <c r="B480" s="121">
        <v>45277</v>
      </c>
      <c r="C480" s="122" t="str">
        <f t="shared" si="26"/>
        <v>12-2023</v>
      </c>
      <c r="D480" s="123">
        <f t="shared" si="24"/>
        <v>17.339619712327536</v>
      </c>
      <c r="E480" s="123"/>
      <c r="F480" s="123"/>
      <c r="G480" s="123"/>
      <c r="H480" s="124">
        <f t="shared" si="25"/>
        <v>17.339619712327536</v>
      </c>
      <c r="I480" s="125"/>
      <c r="K480" s="127"/>
    </row>
    <row r="481" spans="1:11" x14ac:dyDescent="0.25">
      <c r="B481" s="121">
        <v>45278</v>
      </c>
      <c r="C481" s="122" t="str">
        <f t="shared" si="26"/>
        <v>12-2023</v>
      </c>
      <c r="D481" s="123">
        <f t="shared" si="24"/>
        <v>17.326183710844887</v>
      </c>
      <c r="E481" s="123"/>
      <c r="F481" s="123"/>
      <c r="G481" s="123"/>
      <c r="H481" s="124">
        <f t="shared" si="25"/>
        <v>17.326183710844887</v>
      </c>
      <c r="I481" s="125"/>
      <c r="K481" s="127"/>
    </row>
    <row r="482" spans="1:11" x14ac:dyDescent="0.25">
      <c r="B482" s="121">
        <v>45279</v>
      </c>
      <c r="C482" s="122" t="str">
        <f t="shared" si="26"/>
        <v>12-2023</v>
      </c>
      <c r="D482" s="123">
        <f t="shared" si="24"/>
        <v>17.312758120555728</v>
      </c>
      <c r="E482" s="123"/>
      <c r="F482" s="123"/>
      <c r="G482" s="123"/>
      <c r="H482" s="124">
        <f t="shared" si="25"/>
        <v>17.312758120555728</v>
      </c>
      <c r="I482" s="125"/>
      <c r="K482" s="127"/>
    </row>
    <row r="483" spans="1:11" x14ac:dyDescent="0.25">
      <c r="B483" s="121">
        <v>45280</v>
      </c>
      <c r="C483" s="122" t="str">
        <f t="shared" si="26"/>
        <v>12-2023</v>
      </c>
      <c r="D483" s="123">
        <f t="shared" si="24"/>
        <v>17.299342933392705</v>
      </c>
      <c r="E483" s="123"/>
      <c r="F483" s="123"/>
      <c r="G483" s="123"/>
      <c r="H483" s="124">
        <f t="shared" si="25"/>
        <v>17.299342933392705</v>
      </c>
      <c r="I483" s="125"/>
      <c r="K483" s="127"/>
    </row>
    <row r="484" spans="1:11" x14ac:dyDescent="0.25">
      <c r="B484" s="121">
        <v>45281</v>
      </c>
      <c r="C484" s="122" t="str">
        <f t="shared" si="26"/>
        <v>12-2023</v>
      </c>
      <c r="D484" s="123">
        <f t="shared" si="24"/>
        <v>17.285938141294718</v>
      </c>
      <c r="E484" s="123"/>
      <c r="F484" s="123"/>
      <c r="G484" s="123"/>
      <c r="H484" s="124">
        <f t="shared" si="25"/>
        <v>17.285938141294718</v>
      </c>
      <c r="I484" s="125"/>
      <c r="K484" s="127"/>
    </row>
    <row r="485" spans="1:11" x14ac:dyDescent="0.25">
      <c r="B485" s="121">
        <v>45282</v>
      </c>
      <c r="C485" s="122" t="str">
        <f t="shared" si="26"/>
        <v>12-2023</v>
      </c>
      <c r="D485" s="123">
        <f t="shared" si="24"/>
        <v>17.272543736206913</v>
      </c>
      <c r="E485" s="123"/>
      <c r="F485" s="123"/>
      <c r="G485" s="123"/>
      <c r="H485" s="124">
        <f t="shared" si="25"/>
        <v>17.272543736206913</v>
      </c>
      <c r="I485" s="125"/>
      <c r="K485" s="127"/>
    </row>
    <row r="486" spans="1:11" x14ac:dyDescent="0.25">
      <c r="B486" s="121">
        <v>45283</v>
      </c>
      <c r="C486" s="122" t="str">
        <f t="shared" si="26"/>
        <v>12-2023</v>
      </c>
      <c r="D486" s="123">
        <f t="shared" si="24"/>
        <v>17.259159710080677</v>
      </c>
      <c r="E486" s="123"/>
      <c r="F486" s="123"/>
      <c r="G486" s="123"/>
      <c r="H486" s="124">
        <f t="shared" si="25"/>
        <v>17.259159710080677</v>
      </c>
      <c r="I486" s="125"/>
      <c r="K486" s="127"/>
    </row>
    <row r="487" spans="1:11" x14ac:dyDescent="0.25">
      <c r="B487" s="121">
        <v>45284</v>
      </c>
      <c r="C487" s="122" t="str">
        <f t="shared" si="26"/>
        <v>12-2023</v>
      </c>
      <c r="D487" s="123">
        <f t="shared" si="24"/>
        <v>17.245786054873637</v>
      </c>
      <c r="E487" s="123"/>
      <c r="F487" s="123"/>
      <c r="G487" s="123"/>
      <c r="H487" s="124">
        <f t="shared" si="25"/>
        <v>17.245786054873637</v>
      </c>
      <c r="I487" s="125"/>
      <c r="K487" s="127"/>
    </row>
    <row r="488" spans="1:11" x14ac:dyDescent="0.25">
      <c r="B488" s="121">
        <v>45285</v>
      </c>
      <c r="C488" s="122" t="str">
        <f t="shared" si="26"/>
        <v>12-2023</v>
      </c>
      <c r="D488" s="123">
        <f t="shared" si="24"/>
        <v>17.232422762549643</v>
      </c>
      <c r="E488" s="123"/>
      <c r="F488" s="123"/>
      <c r="G488" s="123"/>
      <c r="H488" s="124">
        <f t="shared" si="25"/>
        <v>17.232422762549643</v>
      </c>
      <c r="I488" s="125"/>
      <c r="K488" s="127"/>
    </row>
    <row r="489" spans="1:11" x14ac:dyDescent="0.25">
      <c r="B489" s="121">
        <v>45286</v>
      </c>
      <c r="C489" s="122" t="str">
        <f t="shared" si="26"/>
        <v>12-2023</v>
      </c>
      <c r="D489" s="123">
        <f t="shared" si="24"/>
        <v>17.21906982507878</v>
      </c>
      <c r="E489" s="123"/>
      <c r="F489" s="123"/>
      <c r="G489" s="123"/>
      <c r="H489" s="124">
        <f t="shared" si="25"/>
        <v>17.21906982507878</v>
      </c>
      <c r="I489" s="125"/>
      <c r="K489" s="127"/>
    </row>
    <row r="490" spans="1:11" x14ac:dyDescent="0.25">
      <c r="B490" s="121">
        <v>45287</v>
      </c>
      <c r="C490" s="122" t="str">
        <f t="shared" si="26"/>
        <v>12-2023</v>
      </c>
      <c r="D490" s="123">
        <f t="shared" si="24"/>
        <v>17.205727234437354</v>
      </c>
      <c r="E490" s="123"/>
      <c r="F490" s="123"/>
      <c r="G490" s="123"/>
      <c r="H490" s="124">
        <f t="shared" si="25"/>
        <v>17.205727234437354</v>
      </c>
      <c r="I490" s="125"/>
      <c r="K490" s="127"/>
    </row>
    <row r="491" spans="1:11" x14ac:dyDescent="0.25">
      <c r="B491" s="121">
        <v>45288</v>
      </c>
      <c r="C491" s="122" t="str">
        <f t="shared" si="26"/>
        <v>12-2023</v>
      </c>
      <c r="D491" s="123">
        <f t="shared" si="24"/>
        <v>17.192394982607887</v>
      </c>
      <c r="E491" s="123"/>
      <c r="F491" s="123"/>
      <c r="G491" s="123"/>
      <c r="H491" s="124">
        <f t="shared" si="25"/>
        <v>17.192394982607887</v>
      </c>
      <c r="I491" s="125"/>
      <c r="K491" s="127"/>
    </row>
    <row r="492" spans="1:11" x14ac:dyDescent="0.25">
      <c r="B492" s="121">
        <v>45289</v>
      </c>
      <c r="C492" s="122" t="str">
        <f t="shared" si="26"/>
        <v>12-2023</v>
      </c>
      <c r="D492" s="123">
        <f t="shared" si="24"/>
        <v>17.179073061579114</v>
      </c>
      <c r="E492" s="123"/>
      <c r="F492" s="123"/>
      <c r="G492" s="123"/>
      <c r="H492" s="124">
        <f t="shared" si="25"/>
        <v>17.179073061579114</v>
      </c>
      <c r="I492" s="125"/>
      <c r="K492" s="127"/>
    </row>
    <row r="493" spans="1:11" x14ac:dyDescent="0.25">
      <c r="B493" s="121">
        <v>45290</v>
      </c>
      <c r="C493" s="122" t="str">
        <f t="shared" si="26"/>
        <v>12-2023</v>
      </c>
      <c r="D493" s="123">
        <f t="shared" si="24"/>
        <v>17.165761463345977</v>
      </c>
      <c r="E493" s="123"/>
      <c r="F493" s="123"/>
      <c r="G493" s="123"/>
      <c r="H493" s="124">
        <f t="shared" si="25"/>
        <v>17.165761463345977</v>
      </c>
      <c r="I493" s="125"/>
      <c r="K493" s="127"/>
    </row>
    <row r="494" spans="1:11" x14ac:dyDescent="0.25">
      <c r="B494" s="121">
        <v>45291</v>
      </c>
      <c r="C494" s="122" t="str">
        <f t="shared" si="26"/>
        <v>12-2023</v>
      </c>
      <c r="D494" s="123"/>
      <c r="E494" s="123"/>
      <c r="F494" s="123"/>
      <c r="G494" s="123"/>
      <c r="H494" s="124">
        <f t="shared" si="25"/>
        <v>0</v>
      </c>
      <c r="I494" s="125"/>
      <c r="K494" s="127"/>
    </row>
    <row r="495" spans="1:11" x14ac:dyDescent="0.25">
      <c r="A495" s="28"/>
      <c r="B495" s="28"/>
      <c r="C495" s="28"/>
      <c r="D495" s="28"/>
      <c r="E495" s="28"/>
      <c r="F495" s="28"/>
      <c r="G495" s="28"/>
      <c r="H495" s="131">
        <f>SUM(H8:H494)</f>
        <v>10127.518691736794</v>
      </c>
    </row>
    <row r="496" spans="1:11" x14ac:dyDescent="0.25">
      <c r="A496" s="28"/>
      <c r="B496" s="28"/>
      <c r="C496" s="28"/>
      <c r="D496" s="28"/>
      <c r="E496" s="28"/>
      <c r="F496" s="28"/>
      <c r="G496" s="28"/>
    </row>
  </sheetData>
  <mergeCells count="3">
    <mergeCell ref="D6:G6"/>
    <mergeCell ref="B3:D3"/>
    <mergeCell ref="B4:D4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4A98-E376-4E79-BDBE-67F0993EE3AE}">
  <dimension ref="B2:J11"/>
  <sheetViews>
    <sheetView topLeftCell="G4" zoomScale="130" zoomScaleNormal="130" workbookViewId="0">
      <selection activeCell="C6" sqref="C6"/>
    </sheetView>
  </sheetViews>
  <sheetFormatPr defaultColWidth="9.140625" defaultRowHeight="13.5" x14ac:dyDescent="0.25"/>
  <cols>
    <col min="1" max="2" width="9.140625" style="139"/>
    <col min="3" max="3" width="10.140625" style="139" customWidth="1"/>
    <col min="4" max="4" width="10.5703125" style="139" customWidth="1"/>
    <col min="5" max="10" width="8.42578125" style="139" customWidth="1"/>
    <col min="11" max="16384" width="9.140625" style="139"/>
  </cols>
  <sheetData>
    <row r="2" spans="2:10" x14ac:dyDescent="0.25">
      <c r="B2" s="138"/>
      <c r="C2" s="187" t="s">
        <v>27</v>
      </c>
      <c r="D2" s="187"/>
      <c r="E2" s="187"/>
      <c r="F2" s="187"/>
      <c r="G2" s="187" t="s">
        <v>65</v>
      </c>
      <c r="H2" s="187"/>
      <c r="I2" s="187"/>
      <c r="J2" s="187"/>
    </row>
    <row r="3" spans="2:10" x14ac:dyDescent="0.25">
      <c r="B3" s="138"/>
      <c r="C3" s="188" t="s">
        <v>62</v>
      </c>
      <c r="D3" s="188"/>
      <c r="E3" s="187" t="s">
        <v>63</v>
      </c>
      <c r="F3" s="187"/>
      <c r="G3" s="187" t="s">
        <v>62</v>
      </c>
      <c r="H3" s="187"/>
      <c r="I3" s="187" t="s">
        <v>63</v>
      </c>
      <c r="J3" s="187"/>
    </row>
    <row r="4" spans="2:10" x14ac:dyDescent="0.25">
      <c r="B4" s="138"/>
      <c r="C4" s="141" t="s">
        <v>61</v>
      </c>
      <c r="D4" s="141" t="s">
        <v>64</v>
      </c>
      <c r="E4" s="141" t="s">
        <v>61</v>
      </c>
      <c r="F4" s="141" t="s">
        <v>64</v>
      </c>
      <c r="G4" s="141" t="s">
        <v>61</v>
      </c>
      <c r="H4" s="141" t="s">
        <v>64</v>
      </c>
      <c r="I4" s="141" t="s">
        <v>61</v>
      </c>
      <c r="J4" s="141" t="s">
        <v>64</v>
      </c>
    </row>
    <row r="5" spans="2:10" x14ac:dyDescent="0.25">
      <c r="B5" s="141" t="s">
        <v>3</v>
      </c>
      <c r="C5" s="155">
        <v>0.67226900000000001</v>
      </c>
      <c r="D5" s="155">
        <v>0.67226900000000001</v>
      </c>
      <c r="E5" s="140">
        <v>0.15</v>
      </c>
      <c r="F5" s="140">
        <v>0.3</v>
      </c>
      <c r="G5" s="140">
        <v>0.55000000000000004</v>
      </c>
      <c r="H5" s="140">
        <v>0.65</v>
      </c>
      <c r="I5" s="140">
        <v>0.7</v>
      </c>
      <c r="J5" s="140">
        <v>0.8</v>
      </c>
    </row>
    <row r="6" spans="2:10" x14ac:dyDescent="0.25">
      <c r="B6" s="141" t="s">
        <v>4</v>
      </c>
      <c r="C6" s="155">
        <f>1-C5</f>
        <v>0.32773099999999999</v>
      </c>
      <c r="D6" s="155">
        <f>1-D5</f>
        <v>0.32773099999999999</v>
      </c>
      <c r="E6" s="140">
        <f t="shared" ref="E6:J6" si="0">1-E5</f>
        <v>0.85</v>
      </c>
      <c r="F6" s="140">
        <f t="shared" si="0"/>
        <v>0.7</v>
      </c>
      <c r="G6" s="140">
        <f t="shared" si="0"/>
        <v>0.44999999999999996</v>
      </c>
      <c r="H6" s="140">
        <f t="shared" si="0"/>
        <v>0.35</v>
      </c>
      <c r="I6" s="140">
        <f t="shared" si="0"/>
        <v>0.30000000000000004</v>
      </c>
      <c r="J6" s="140">
        <f t="shared" si="0"/>
        <v>0.19999999999999996</v>
      </c>
    </row>
    <row r="9" spans="2:10" x14ac:dyDescent="0.25">
      <c r="B9" s="139" t="s">
        <v>3</v>
      </c>
      <c r="C9" s="139" t="s">
        <v>169</v>
      </c>
    </row>
    <row r="10" spans="2:10" x14ac:dyDescent="0.25">
      <c r="B10" s="139" t="s">
        <v>4</v>
      </c>
      <c r="C10" s="139" t="s">
        <v>170</v>
      </c>
    </row>
    <row r="11" spans="2:10" x14ac:dyDescent="0.25">
      <c r="B11" s="139" t="s">
        <v>171</v>
      </c>
    </row>
  </sheetData>
  <mergeCells count="6">
    <mergeCell ref="C2:F2"/>
    <mergeCell ref="G2:J2"/>
    <mergeCell ref="C3:D3"/>
    <mergeCell ref="E3:F3"/>
    <mergeCell ref="G3:H3"/>
    <mergeCell ref="I3:J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7FB0-7791-48D3-B0A3-AC5A912EEDE3}">
  <sheetPr>
    <tabColor rgb="FFFF0000"/>
  </sheetPr>
  <dimension ref="A1:B29"/>
  <sheetViews>
    <sheetView topLeftCell="A13" workbookViewId="0">
      <selection activeCell="B12" sqref="B12"/>
    </sheetView>
  </sheetViews>
  <sheetFormatPr defaultRowHeight="15" x14ac:dyDescent="0.25"/>
  <cols>
    <col min="1" max="1" width="28.85546875" bestFit="1" customWidth="1"/>
    <col min="2" max="2" width="173.5703125" bestFit="1" customWidth="1"/>
  </cols>
  <sheetData>
    <row r="1" spans="1:2" x14ac:dyDescent="0.25">
      <c r="A1" t="s">
        <v>137</v>
      </c>
    </row>
    <row r="3" spans="1:2" x14ac:dyDescent="0.25">
      <c r="A3" s="152" t="s">
        <v>150</v>
      </c>
      <c r="B3" t="s">
        <v>138</v>
      </c>
    </row>
    <row r="4" spans="1:2" x14ac:dyDescent="0.25">
      <c r="A4" s="152" t="s">
        <v>151</v>
      </c>
      <c r="B4" t="s">
        <v>139</v>
      </c>
    </row>
    <row r="5" spans="1:2" x14ac:dyDescent="0.25">
      <c r="A5" s="152" t="s">
        <v>152</v>
      </c>
      <c r="B5" t="s">
        <v>140</v>
      </c>
    </row>
    <row r="6" spans="1:2" x14ac:dyDescent="0.25">
      <c r="A6" s="152" t="s">
        <v>153</v>
      </c>
      <c r="B6" t="s">
        <v>141</v>
      </c>
    </row>
    <row r="7" spans="1:2" x14ac:dyDescent="0.25">
      <c r="A7" s="152" t="s">
        <v>154</v>
      </c>
      <c r="B7" t="s">
        <v>156</v>
      </c>
    </row>
    <row r="8" spans="1:2" x14ac:dyDescent="0.25">
      <c r="A8" s="152" t="s">
        <v>155</v>
      </c>
      <c r="B8" t="s">
        <v>157</v>
      </c>
    </row>
    <row r="9" spans="1:2" x14ac:dyDescent="0.25">
      <c r="A9" s="153"/>
      <c r="B9" t="s">
        <v>158</v>
      </c>
    </row>
    <row r="10" spans="1:2" x14ac:dyDescent="0.25">
      <c r="A10" s="153"/>
      <c r="B10" t="s">
        <v>161</v>
      </c>
    </row>
    <row r="11" spans="1:2" x14ac:dyDescent="0.25">
      <c r="A11" s="153"/>
      <c r="B11" t="s">
        <v>160</v>
      </c>
    </row>
    <row r="12" spans="1:2" x14ac:dyDescent="0.25">
      <c r="A12" s="153"/>
      <c r="B12" t="s">
        <v>159</v>
      </c>
    </row>
    <row r="13" spans="1:2" x14ac:dyDescent="0.25">
      <c r="A13" s="153"/>
      <c r="B13" t="s">
        <v>163</v>
      </c>
    </row>
    <row r="14" spans="1:2" x14ac:dyDescent="0.25">
      <c r="A14" s="153"/>
      <c r="B14" t="s">
        <v>164</v>
      </c>
    </row>
    <row r="15" spans="1:2" x14ac:dyDescent="0.25">
      <c r="A15" s="153"/>
      <c r="B15" t="s">
        <v>162</v>
      </c>
    </row>
    <row r="16" spans="1:2" x14ac:dyDescent="0.25">
      <c r="A16" s="153"/>
      <c r="B16" t="s">
        <v>168</v>
      </c>
    </row>
    <row r="17" spans="1:2" x14ac:dyDescent="0.25">
      <c r="A17" s="153"/>
    </row>
    <row r="18" spans="1:2" x14ac:dyDescent="0.25">
      <c r="A18" s="153" t="s">
        <v>142</v>
      </c>
      <c r="B18" t="s">
        <v>143</v>
      </c>
    </row>
    <row r="19" spans="1:2" x14ac:dyDescent="0.25">
      <c r="A19" s="153"/>
      <c r="B19" t="s">
        <v>144</v>
      </c>
    </row>
    <row r="20" spans="1:2" x14ac:dyDescent="0.25">
      <c r="A20" s="153"/>
      <c r="B20" t="s">
        <v>145</v>
      </c>
    </row>
    <row r="21" spans="1:2" x14ac:dyDescent="0.25">
      <c r="A21" s="153"/>
      <c r="B21" t="s">
        <v>146</v>
      </c>
    </row>
    <row r="22" spans="1:2" x14ac:dyDescent="0.25">
      <c r="A22" s="153"/>
    </row>
    <row r="23" spans="1:2" x14ac:dyDescent="0.25">
      <c r="A23" s="154" t="s">
        <v>147</v>
      </c>
    </row>
    <row r="24" spans="1:2" x14ac:dyDescent="0.25">
      <c r="A24" t="s">
        <v>145</v>
      </c>
      <c r="B24" t="s">
        <v>148</v>
      </c>
    </row>
    <row r="25" spans="1:2" x14ac:dyDescent="0.25">
      <c r="B25" t="s">
        <v>167</v>
      </c>
    </row>
    <row r="27" spans="1:2" x14ac:dyDescent="0.25">
      <c r="A27" t="s">
        <v>146</v>
      </c>
      <c r="B27" s="189" t="s">
        <v>149</v>
      </c>
    </row>
    <row r="28" spans="1:2" x14ac:dyDescent="0.25">
      <c r="B28" s="189"/>
    </row>
    <row r="29" spans="1:2" x14ac:dyDescent="0.25">
      <c r="A29" t="s">
        <v>165</v>
      </c>
      <c r="B29" t="s">
        <v>166</v>
      </c>
    </row>
  </sheetData>
  <mergeCells count="1">
    <mergeCell ref="B27:B2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AB22-A431-4934-B6D2-E85249E868FF}">
  <dimension ref="A3:G15"/>
  <sheetViews>
    <sheetView workbookViewId="0">
      <selection activeCell="G12" sqref="G12"/>
    </sheetView>
  </sheetViews>
  <sheetFormatPr defaultRowHeight="15" x14ac:dyDescent="0.25"/>
  <cols>
    <col min="1" max="1" width="3.5703125" bestFit="1" customWidth="1"/>
    <col min="2" max="2" width="12.28515625" customWidth="1"/>
    <col min="3" max="3" width="13.28515625" customWidth="1"/>
    <col min="4" max="4" width="15.28515625" bestFit="1" customWidth="1"/>
    <col min="5" max="5" width="14.7109375" bestFit="1" customWidth="1"/>
    <col min="6" max="6" width="32.85546875" customWidth="1"/>
    <col min="7" max="7" width="30" bestFit="1" customWidth="1"/>
  </cols>
  <sheetData>
    <row r="3" spans="1:7" x14ac:dyDescent="0.25">
      <c r="A3" s="156" t="s">
        <v>173</v>
      </c>
      <c r="B3" s="156" t="s">
        <v>174</v>
      </c>
      <c r="C3" s="156" t="s">
        <v>175</v>
      </c>
      <c r="D3" s="156" t="s">
        <v>176</v>
      </c>
      <c r="E3" s="156" t="s">
        <v>177</v>
      </c>
      <c r="F3" s="156" t="s">
        <v>178</v>
      </c>
    </row>
    <row r="4" spans="1:7" ht="30" x14ac:dyDescent="0.25">
      <c r="A4" s="156">
        <v>1</v>
      </c>
      <c r="B4" s="161" t="s">
        <v>179</v>
      </c>
      <c r="C4" s="160" t="s">
        <v>180</v>
      </c>
      <c r="D4" s="156"/>
      <c r="E4" s="156"/>
      <c r="F4" s="159" t="s">
        <v>201</v>
      </c>
      <c r="G4" s="157"/>
    </row>
    <row r="5" spans="1:7" ht="44.25" customHeight="1" x14ac:dyDescent="0.25">
      <c r="A5" s="156">
        <v>2</v>
      </c>
      <c r="B5" s="161" t="s">
        <v>181</v>
      </c>
      <c r="C5" s="160" t="s">
        <v>182</v>
      </c>
      <c r="D5" s="156">
        <v>54</v>
      </c>
      <c r="E5" s="156" t="s">
        <v>183</v>
      </c>
      <c r="F5" s="159" t="s">
        <v>184</v>
      </c>
    </row>
    <row r="6" spans="1:7" ht="30" x14ac:dyDescent="0.25">
      <c r="A6" s="156">
        <v>3</v>
      </c>
      <c r="B6" s="161" t="s">
        <v>185</v>
      </c>
      <c r="C6" s="160" t="s">
        <v>186</v>
      </c>
      <c r="D6" s="156" t="s">
        <v>187</v>
      </c>
      <c r="E6" s="156" t="s">
        <v>188</v>
      </c>
      <c r="F6" s="161" t="s">
        <v>189</v>
      </c>
    </row>
    <row r="7" spans="1:7" ht="30" x14ac:dyDescent="0.25">
      <c r="A7" s="156">
        <v>4</v>
      </c>
      <c r="B7" s="161" t="s">
        <v>181</v>
      </c>
      <c r="C7" s="160" t="s">
        <v>186</v>
      </c>
      <c r="D7" s="156">
        <v>54</v>
      </c>
      <c r="E7" s="158" t="s">
        <v>190</v>
      </c>
      <c r="F7" s="159" t="s">
        <v>191</v>
      </c>
    </row>
    <row r="8" spans="1:7" x14ac:dyDescent="0.25">
      <c r="B8" s="157" t="s">
        <v>192</v>
      </c>
    </row>
    <row r="9" spans="1:7" x14ac:dyDescent="0.25">
      <c r="B9" s="157" t="s">
        <v>193</v>
      </c>
    </row>
    <row r="10" spans="1:7" x14ac:dyDescent="0.25">
      <c r="A10" t="s">
        <v>194</v>
      </c>
    </row>
    <row r="11" spans="1:7" x14ac:dyDescent="0.25">
      <c r="A11">
        <v>1</v>
      </c>
      <c r="B11" t="s">
        <v>195</v>
      </c>
      <c r="D11" t="s">
        <v>196</v>
      </c>
    </row>
    <row r="12" spans="1:7" x14ac:dyDescent="0.25">
      <c r="A12">
        <v>2</v>
      </c>
      <c r="B12" t="s">
        <v>197</v>
      </c>
      <c r="D12" t="s">
        <v>45</v>
      </c>
    </row>
    <row r="13" spans="1:7" x14ac:dyDescent="0.25">
      <c r="A13">
        <v>3</v>
      </c>
      <c r="B13" t="s">
        <v>198</v>
      </c>
    </row>
    <row r="14" spans="1:7" x14ac:dyDescent="0.25">
      <c r="A14">
        <v>4</v>
      </c>
      <c r="B14" t="s">
        <v>199</v>
      </c>
    </row>
    <row r="15" spans="1:7" x14ac:dyDescent="0.25">
      <c r="A15">
        <v>5</v>
      </c>
      <c r="B15" t="s">
        <v>200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81D-5151-4577-9AEB-75228087315C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391C87C3CFB45996FD16B89A7F2AA" ma:contentTypeVersion="14" ma:contentTypeDescription="Create a new document." ma:contentTypeScope="" ma:versionID="e26605bd6fe092d4fd9f44a01dcc4190">
  <xsd:schema xmlns:xsd="http://www.w3.org/2001/XMLSchema" xmlns:xs="http://www.w3.org/2001/XMLSchema" xmlns:p="http://schemas.microsoft.com/office/2006/metadata/properties" xmlns:ns3="b0cae419-c32b-457e-ad90-69e9f28698de" xmlns:ns4="e2bdf515-adda-4f80-a881-6effacee2ccb" targetNamespace="http://schemas.microsoft.com/office/2006/metadata/properties" ma:root="true" ma:fieldsID="07b39fd0d09df5e4754bd311655264e7" ns3:_="" ns4:_="">
    <xsd:import namespace="b0cae419-c32b-457e-ad90-69e9f28698de"/>
    <xsd:import namespace="e2bdf515-adda-4f80-a881-6effacee2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ae419-c32b-457e-ad90-69e9f28698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df515-adda-4f80-a881-6effacee2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B00D3-574F-4D8A-A364-A8229B4637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E3F94-FBCE-4FAB-BB5E-3AF614A60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ae419-c32b-457e-ad90-69e9f28698de"/>
    <ds:schemaRef ds:uri="e2bdf515-adda-4f80-a881-6effacee2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168046-337D-48C5-8B18-F632C85BC2C2}">
  <ds:schemaRefs>
    <ds:schemaRef ds:uri="http://purl.org/dc/elements/1.1/"/>
    <ds:schemaRef ds:uri="http://purl.org/dc/terms/"/>
    <ds:schemaRef ds:uri="http://purl.org/dc/dcmitype/"/>
    <ds:schemaRef ds:uri="e2bdf515-adda-4f80-a881-6effacee2ccb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cae419-c32b-457e-ad90-69e9f28698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Prod Profile</vt:lpstr>
      <vt:lpstr>Split</vt:lpstr>
      <vt:lpstr>Note</vt:lpstr>
      <vt:lpstr>cure criteria</vt:lpstr>
      <vt:lpstr>Sheet1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Imam</dc:creator>
  <cp:lastModifiedBy>Audemars Indonesia</cp:lastModifiedBy>
  <cp:lastPrinted>2022-08-19T06:39:51Z</cp:lastPrinted>
  <dcterms:created xsi:type="dcterms:W3CDTF">2021-04-19T22:33:05Z</dcterms:created>
  <dcterms:modified xsi:type="dcterms:W3CDTF">2022-11-09T04:22:14Z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0x010100AD1391C87C3CFB45996FD16B89A7F2AA</vt:lpwstr>
  </property>
</Properties>
</file>