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charts/chart1.xml" ContentType="application/vnd.openxmlformats-officedocument.drawingml.chart+xml"/>
  <Override PartName="/xl/theme/themeOverride1.xml" ContentType="application/vnd.openxmlformats-officedocument.themeOverride+xml"/>
  <Override PartName="/xl/charts/chartEx1.xml" ContentType="application/vnd.ms-office.chartex+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4.xml" ContentType="application/vnd.openxmlformats-officedocument.spreadsheetml.comments+xml"/>
  <Override PartName="/xl/charts/chart2.xml" ContentType="application/vnd.openxmlformats-officedocument.drawingml.chart+xml"/>
  <Override PartName="/xl/theme/themeOverride3.xml" ContentType="application/vnd.openxmlformats-officedocument.themeOverrid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4.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omments5.xml" ContentType="application/vnd.openxmlformats-officedocument.spreadsheetml.comments+xml"/>
  <Override PartName="/xl/threadedComments/threadedComment1.xml" ContentType="application/vnd.ms-excel.threadedcomments+xml"/>
  <Override PartName="/xl/charts/chart4.xml" ContentType="application/vnd.openxmlformats-officedocument.drawingml.chart+xml"/>
  <Override PartName="/xl/theme/themeOverride4.xml" ContentType="application/vnd.openxmlformats-officedocument.themeOverrid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trlProps/ctrlProp15.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omments6.xml" ContentType="application/vnd.openxmlformats-officedocument.spreadsheetml.comments+xml"/>
  <Override PartName="/xl/charts/chart6.xml" ContentType="application/vnd.openxmlformats-officedocument.drawingml.chart+xml"/>
  <Override PartName="/xl/theme/themeOverride5.xml" ContentType="application/vnd.openxmlformats-officedocument.themeOverride+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trlProps/ctrlProp16.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7.xml" ContentType="application/vnd.openxmlformats-officedocument.spreadsheetml.comments+xml"/>
  <Override PartName="/xl/charts/chart8.xml" ContentType="application/vnd.openxmlformats-officedocument.drawingml.chart+xml"/>
  <Override PartName="/xl/theme/themeOverride6.xml" ContentType="application/vnd.openxmlformats-officedocument.themeOverrid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8.xml" ContentType="application/vnd.openxmlformats-officedocument.spreadsheetml.comments+xml"/>
  <Override PartName="/xl/charts/chart10.xml" ContentType="application/vnd.openxmlformats-officedocument.drawingml.chart+xml"/>
  <Override PartName="/xl/theme/themeOverride7.xml" ContentType="application/vnd.openxmlformats-officedocument.themeOverride+xml"/>
  <Override PartName="/xl/charts/chartEx2.xml" ContentType="application/vnd.ms-office.chartex+xml"/>
  <Override PartName="/xl/charts/style6.xml" ContentType="application/vnd.ms-office.chartstyle+xml"/>
  <Override PartName="/xl/charts/colors6.xml" ContentType="application/vnd.ms-office.chartcolorstyle+xml"/>
  <Override PartName="/xl/theme/themeOverride8.xml" ContentType="application/vnd.openxmlformats-officedocument.themeOverride+xml"/>
  <Override PartName="/xl/drawings/drawing8.xml" ContentType="application/vnd.openxmlformats-officedocument.drawing+xml"/>
  <Override PartName="/xl/ctrlProps/ctrlProp18.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omments9.xml" ContentType="application/vnd.openxmlformats-officedocument.spreadsheetml.comments+xml"/>
  <Override PartName="/xl/charts/chart11.xml" ContentType="application/vnd.openxmlformats-officedocument.drawingml.chart+xml"/>
  <Override PartName="/xl/theme/themeOverride9.xml" ContentType="application/vnd.openxmlformats-officedocument.themeOverride+xml"/>
  <Override PartName="/xl/charts/chart12.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10.xml" ContentType="application/vnd.openxmlformats-officedocument.themeOverride+xml"/>
  <Override PartName="/xl/drawings/drawing9.xml" ContentType="application/vnd.openxmlformats-officedocument.drawing+xml"/>
  <Override PartName="/xl/ctrlProps/ctrlProp19.xml" ContentType="application/vnd.ms-excel.controlproperties+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comments10.xml" ContentType="application/vnd.openxmlformats-officedocument.spreadsheetml.comments+xml"/>
  <Override PartName="/xl/charts/chart13.xml" ContentType="application/vnd.openxmlformats-officedocument.drawingml.chart+xml"/>
  <Override PartName="/xl/theme/themeOverride11.xml" ContentType="application/vnd.openxmlformats-officedocument.themeOverride+xml"/>
  <Override PartName="/xl/charts/chart14.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0.xml" ContentType="application/vnd.openxmlformats-officedocument.drawing+xml"/>
  <Override PartName="/xl/ctrlProps/ctrlProp20.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comments11.xml" ContentType="application/vnd.openxmlformats-officedocument.spreadsheetml.comments+xml"/>
  <Override PartName="/xl/charts/chart15.xml" ContentType="application/vnd.openxmlformats-officedocument.drawingml.chart+xml"/>
  <Override PartName="/xl/theme/themeOverride12.xml" ContentType="application/vnd.openxmlformats-officedocument.themeOverride+xml"/>
  <Override PartName="/xl/charts/chart16.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1.xml" ContentType="application/vnd.openxmlformats-officedocument.drawing+xml"/>
  <Override PartName="/xl/ctrlProps/ctrlProp21.xml" ContentType="application/vnd.ms-excel.controlproperties+xml"/>
  <Override PartName="/xl/comments12.xml" ContentType="application/vnd.openxmlformats-officedocument.spreadsheetml.comments+xml"/>
  <Override PartName="/xl/charts/chart17.xml" ContentType="application/vnd.openxmlformats-officedocument.drawingml.chart+xml"/>
  <Override PartName="/xl/charts/style10.xml" ContentType="application/vnd.ms-office.chartstyle+xml"/>
  <Override PartName="/xl/charts/colors10.xml" ContentType="application/vnd.ms-office.chartcolorstyle+xml"/>
  <Override PartName="/xl/charts/chart18.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xml"/>
  <Override PartName="/xl/ctrlProps/ctrlProp22.xml" ContentType="application/vnd.ms-excel.controlproperties+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comments13.xml" ContentType="application/vnd.openxmlformats-officedocument.spreadsheetml.comments+xml"/>
  <Override PartName="/xl/charts/chart19.xml" ContentType="application/vnd.openxmlformats-officedocument.drawingml.chart+xml"/>
  <Override PartName="/xl/theme/themeOverride13.xml" ContentType="application/vnd.openxmlformats-officedocument.themeOverride+xml"/>
  <Override PartName="/xl/charts/chart20.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3.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34.xml" ContentType="application/vnd.openxmlformats-officedocument.spreadsheetml.table+xml"/>
  <Override PartName="/xl/tables/table35.xml" ContentType="application/vnd.openxmlformats-officedocument.spreadsheetml.table+xml"/>
  <Override PartName="/xl/charts/chart21.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charts/chart22.xml" ContentType="application/vnd.openxmlformats-officedocument.drawingml.chart+xml"/>
  <Override PartName="/xl/drawings/drawing15.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tables/table39.xml" ContentType="application/vnd.openxmlformats-officedocument.spreadsheetml.table+xml"/>
  <Override PartName="/xl/tables/table40.xml" ContentType="application/vnd.openxmlformats-officedocument.spreadsheetml.table+xml"/>
  <Override PartName="/xl/comments14.xml" ContentType="application/vnd.openxmlformats-officedocument.spreadsheetml.comments+xml"/>
  <Override PartName="/xl/charts/chart23.xml" ContentType="application/vnd.openxmlformats-officedocument.drawingml.chart+xml"/>
  <Override PartName="/xl/charts/style13.xml" ContentType="application/vnd.ms-office.chartstyle+xml"/>
  <Override PartName="/xl/charts/colors13.xml" ContentType="application/vnd.ms-office.chartcolorstyle+xml"/>
  <Override PartName="/xl/charts/chart24.xml" ContentType="application/vnd.openxmlformats-officedocument.drawingml.chart+xml"/>
  <Override PartName="/xl/charts/style14.xml" ContentType="application/vnd.ms-office.chartstyle+xml"/>
  <Override PartName="/xl/charts/colors14.xml" ContentType="application/vnd.ms-office.chartcolorstyle+xml"/>
  <Override PartName="/xl/charts/chart25.xml" ContentType="application/vnd.openxmlformats-officedocument.drawingml.chart+xml"/>
  <Override PartName="/xl/charts/style15.xml" ContentType="application/vnd.ms-office.chartstyle+xml"/>
  <Override PartName="/xl/charts/colors15.xml" ContentType="application/vnd.ms-office.chartcolorstyle+xml"/>
  <Override PartName="/xl/theme/themeOverride14.xml" ContentType="application/vnd.openxmlformats-officedocument.themeOverride+xml"/>
  <Override PartName="/xl/charts/chart26.xml" ContentType="application/vnd.openxmlformats-officedocument.drawingml.chart+xml"/>
  <Override PartName="/xl/charts/style16.xml" ContentType="application/vnd.ms-office.chartstyle+xml"/>
  <Override PartName="/xl/charts/colors16.xml" ContentType="application/vnd.ms-office.chartcolorstyle+xml"/>
  <Override PartName="/xl/theme/themeOverride15.xml" ContentType="application/vnd.openxmlformats-officedocument.themeOverride+xml"/>
  <Override PartName="/xl/charts/chart27.xml" ContentType="application/vnd.openxmlformats-officedocument.drawingml.chart+xml"/>
  <Override PartName="/xl/charts/style17.xml" ContentType="application/vnd.ms-office.chartstyle+xml"/>
  <Override PartName="/xl/charts/colors17.xml" ContentType="application/vnd.ms-office.chartcolorstyle+xml"/>
  <Override PartName="/xl/theme/themeOverride16.xml" ContentType="application/vnd.openxmlformats-officedocument.themeOverride+xml"/>
  <Override PartName="/xl/charts/chart28.xml" ContentType="application/vnd.openxmlformats-officedocument.drawingml.chart+xml"/>
  <Override PartName="/xl/charts/style18.xml" ContentType="application/vnd.ms-office.chartstyle+xml"/>
  <Override PartName="/xl/charts/colors18.xml" ContentType="application/vnd.ms-office.chartcolorstyle+xml"/>
  <Override PartName="/xl/theme/themeOverride17.xml" ContentType="application/vnd.openxmlformats-officedocument.themeOverride+xml"/>
  <Override PartName="/xl/drawings/drawing16.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tables/table41.xml" ContentType="application/vnd.openxmlformats-officedocument.spreadsheetml.table+xml"/>
  <Override PartName="/xl/drawings/drawing17.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harts/chart29.xml" ContentType="application/vnd.openxmlformats-officedocument.drawingml.chart+xml"/>
  <Override PartName="/xl/charts/style19.xml" ContentType="application/vnd.ms-office.chartstyle+xml"/>
  <Override PartName="/xl/charts/colors19.xml" ContentType="application/vnd.ms-office.chartcolorstyle+xml"/>
  <Override PartName="/xl/charts/chart3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8.xml" ContentType="application/vnd.openxmlformats-officedocument.drawing+xml"/>
  <Override PartName="/xl/ctrlProps/ctrlProp46.xml" ContentType="application/vnd.ms-excel.controlproperties+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comments15.xml" ContentType="application/vnd.openxmlformats-officedocument.spreadsheetml.comments+xml"/>
  <Override PartName="/xl/threadedComments/threadedComment2.xml" ContentType="application/vnd.ms-excel.threadedcomments+xml"/>
  <Override PartName="/xl/comments16.xml" ContentType="application/vnd.openxmlformats-officedocument.spreadsheetml.comments+xml"/>
  <Override PartName="/xl/threadedComments/threadedComment3.xml" ContentType="application/vnd.ms-excel.threadedcomments+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comments17.xml" ContentType="application/vnd.openxmlformats-officedocument.spreadsheetml.comments+xml"/>
  <Override PartName="/xl/threadedComments/threadedComment4.xml" ContentType="application/vnd.ms-excel.threadedcomments+xml"/>
  <Override PartName="/xl/drawings/drawing19.xml" ContentType="application/vnd.openxmlformats-officedocument.drawing+xml"/>
  <Override PartName="/xl/drawings/drawing20.xml" ContentType="application/vnd.openxmlformats-officedocument.drawing+xml"/>
  <Override PartName="/xl/charts/chart31.xml" ContentType="application/vnd.openxmlformats-officedocument.drawingml.chart+xml"/>
  <Override PartName="/xl/charts/style21.xml" ContentType="application/vnd.ms-office.chartstyle+xml"/>
  <Override PartName="/xl/charts/colors21.xml" ContentType="application/vnd.ms-office.chartcolorstyle+xml"/>
  <Override PartName="/xl/charts/chart32.xml" ContentType="application/vnd.openxmlformats-officedocument.drawingml.chart+xml"/>
  <Override PartName="/xl/charts/style22.xml" ContentType="application/vnd.ms-office.chartstyle+xml"/>
  <Override PartName="/xl/charts/colors22.xml" ContentType="application/vnd.ms-office.chartcolorstyle+xml"/>
  <Override PartName="/xl/charts/chart33.xml" ContentType="application/vnd.openxmlformats-officedocument.drawingml.chart+xml"/>
  <Override PartName="/xl/charts/style23.xml" ContentType="application/vnd.ms-office.chartstyle+xml"/>
  <Override PartName="/xl/charts/colors23.xml" ContentType="application/vnd.ms-office.chartcolorstyle+xml"/>
  <Override PartName="/xl/charts/chart34.xml" ContentType="application/vnd.openxmlformats-officedocument.drawingml.chart+xml"/>
  <Override PartName="/xl/charts/style24.xml" ContentType="application/vnd.ms-office.chartstyle+xml"/>
  <Override PartName="/xl/charts/colors24.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updateLinks="always" codeName="ThisWorkbook" defaultThemeVersion="166925"/>
  <mc:AlternateContent xmlns:mc="http://schemas.openxmlformats.org/markup-compatibility/2006">
    <mc:Choice Requires="x15">
      <x15ac:absPath xmlns:x15ac="http://schemas.microsoft.com/office/spreadsheetml/2010/11/ac" url="/Users/jose/Library/Mobile Documents/com~apple~CloudDocs/Fall 2024/ME 529/Final Project/"/>
    </mc:Choice>
  </mc:AlternateContent>
  <xr:revisionPtr revIDLastSave="0" documentId="13_ncr:1_{E885AE3B-42C0-2B43-828B-648141BAFC93}" xr6:coauthVersionLast="47" xr6:coauthVersionMax="47" xr10:uidLastSave="{00000000-0000-0000-0000-000000000000}"/>
  <bookViews>
    <workbookView xWindow="0" yWindow="660" windowWidth="29400" windowHeight="17140" tabRatio="825" firstSheet="5" activeTab="14" xr2:uid="{00000000-000D-0000-FFFF-FFFF00000000}"/>
  </bookViews>
  <sheets>
    <sheet name="SEA Tool" sheetId="94" r:id="rId1"/>
    <sheet name="Plant Overview" sheetId="81" r:id="rId2"/>
    <sheet name="Unit-100 - GSR Island" sheetId="108" r:id="rId3"/>
    <sheet name="Unit-200 WGS" sheetId="101" r:id="rId4"/>
    <sheet name="Unit-300 N2 Purification" sheetId="80" r:id="rId5"/>
    <sheet name="Unit-100 Reformer Island" sheetId="100" state="hidden" r:id="rId6"/>
    <sheet name="Unit-400 PSA" sheetId="103" r:id="rId7"/>
    <sheet name="Unit-500 - CO2 CPU" sheetId="107" r:id="rId8"/>
    <sheet name="Unit-300 MDEA Absorption" sheetId="102" state="hidden" r:id="rId9"/>
    <sheet name="Unit-600 Synthesis loop" sheetId="99" r:id="rId10"/>
    <sheet name="Unit-700 Refrigeration-Storage" sheetId="104" r:id="rId11"/>
    <sheet name="Unit-800 Steam Cycle &amp; CWT cor" sheetId="105" state="hidden" r:id="rId12"/>
    <sheet name="Unit-800 Steam Cycle &amp; CWT" sheetId="106" r:id="rId13"/>
    <sheet name="Plant CAPEX" sheetId="5" r:id="rId14"/>
    <sheet name="Plant OPEX" sheetId="16" r:id="rId15"/>
    <sheet name="Cash Flow Analysis" sheetId="84" r:id="rId16"/>
    <sheet name="Input to SSM" sheetId="95" r:id="rId17"/>
    <sheet name="Estimate Benchmark" sheetId="83" r:id="rId18"/>
    <sheet name="Unit-X00 Equipment" sheetId="18" r:id="rId19"/>
    <sheet name="Bibliography" sheetId="4" r:id="rId20"/>
    <sheet name="Cost Conversion" sheetId="30" state="hidden" r:id="rId21"/>
    <sheet name="Technology Block Data" sheetId="3" state="hidden" r:id="rId22"/>
    <sheet name="Equipment Data" sheetId="28" state="hidden" r:id="rId23"/>
    <sheet name="Unit X00 - Benchmark" sheetId="32" state="hidden" r:id="rId24"/>
  </sheets>
  <definedNames>
    <definedName name="Axial" localSheetId="2">Tabla20[Turbine]</definedName>
    <definedName name="Axial" localSheetId="5">Tabla20[Turbine]</definedName>
    <definedName name="Axial" localSheetId="3">Tabla20[Turbine]</definedName>
    <definedName name="Axial" localSheetId="8">Tabla20[Turbine]</definedName>
    <definedName name="Axial" localSheetId="4">Tabla20[Turbine]</definedName>
    <definedName name="Axial" localSheetId="6">Tabla20[Turbine]</definedName>
    <definedName name="Axial" localSheetId="7">Tabla20[Turbine]</definedName>
    <definedName name="Axial" localSheetId="9">Tabla20[Turbine]</definedName>
    <definedName name="Axial" localSheetId="10">Tabla20[Turbine]</definedName>
    <definedName name="Axial" localSheetId="12">Tabla20[Turbine]</definedName>
    <definedName name="Axial" localSheetId="11">Tabla20[Turbine]</definedName>
    <definedName name="Blender" localSheetId="2">Tabla2[[Blender ]]</definedName>
    <definedName name="Blender" localSheetId="5">Tabla2[[Blender ]]</definedName>
    <definedName name="Blender" localSheetId="3">Tabla2[[Blender ]]</definedName>
    <definedName name="Blender" localSheetId="8">Tabla2[[Blender ]]</definedName>
    <definedName name="Blender" localSheetId="4">Tabla2[[Blender ]]</definedName>
    <definedName name="Blender" localSheetId="6">Tabla2[[Blender ]]</definedName>
    <definedName name="Blender" localSheetId="7">Tabla2[[Blender ]]</definedName>
    <definedName name="Blender" localSheetId="9">Tabla2[[Blender ]]</definedName>
    <definedName name="Blender" localSheetId="10">Tabla2[[Blender ]]</definedName>
    <definedName name="Blender" localSheetId="12">Tabla2[[Blender ]]</definedName>
    <definedName name="Blender" localSheetId="11">Tabla2[[Blender ]]</definedName>
    <definedName name="Blender_Material" localSheetId="2">Tabla31[Blender_Material]</definedName>
    <definedName name="Blender_Material" localSheetId="5">Tabla31[Blender_Material]</definedName>
    <definedName name="Blender_Material" localSheetId="3">Tabla31[Blender_Material]</definedName>
    <definedName name="Blender_Material" localSheetId="8">Tabla31[Blender_Material]</definedName>
    <definedName name="Blender_Material" localSheetId="4">Tabla31[Blender_Material]</definedName>
    <definedName name="Blender_Material" localSheetId="6">Tabla31[Blender_Material]</definedName>
    <definedName name="Blender_Material" localSheetId="7">Tabla31[Blender_Material]</definedName>
    <definedName name="Blender_Material" localSheetId="9">Tabla31[Blender_Material]</definedName>
    <definedName name="Blender_Material" localSheetId="10">Tabla31[Blender_Material]</definedName>
    <definedName name="Blender_Material" localSheetId="12">Tabla31[Blender_Material]</definedName>
    <definedName name="Blender_Material" localSheetId="11">Tabla31[Blender_Material]</definedName>
    <definedName name="Case" localSheetId="15">Task[Task]</definedName>
    <definedName name="Case" localSheetId="17">Task[Task]</definedName>
    <definedName name="Case" localSheetId="1">Task[Task]</definedName>
    <definedName name="Case" localSheetId="2">Task[Task]</definedName>
    <definedName name="Case" localSheetId="5">Task[Task]</definedName>
    <definedName name="Case" localSheetId="3">Task[Task]</definedName>
    <definedName name="Case" localSheetId="8">Task[Task]</definedName>
    <definedName name="Case" localSheetId="4">Task[Task]</definedName>
    <definedName name="Case" localSheetId="6">Task[Task]</definedName>
    <definedName name="Case" localSheetId="7">Task[Task]</definedName>
    <definedName name="Case" localSheetId="9">Task[Task]</definedName>
    <definedName name="Case" localSheetId="10">Task[Task]</definedName>
    <definedName name="Case" localSheetId="12">Task[Task]</definedName>
    <definedName name="Case" localSheetId="11">Task[Task]</definedName>
    <definedName name="Centrifuge" localSheetId="2">Tabla3[[Centrifuge ]]</definedName>
    <definedName name="Centrifuge" localSheetId="5">Tabla3[[Centrifuge ]]</definedName>
    <definedName name="Centrifuge" localSheetId="3">Tabla3[[Centrifuge ]]</definedName>
    <definedName name="Centrifuge" localSheetId="8">Tabla3[[Centrifuge ]]</definedName>
    <definedName name="Centrifuge" localSheetId="4">Tabla3[[Centrifuge ]]</definedName>
    <definedName name="Centrifuge" localSheetId="6">Tabla3[[Centrifuge ]]</definedName>
    <definedName name="Centrifuge" localSheetId="7">Tabla3[[Centrifuge ]]</definedName>
    <definedName name="Centrifuge" localSheetId="9">Tabla3[[Centrifuge ]]</definedName>
    <definedName name="Centrifuge" localSheetId="10">Tabla3[[Centrifuge ]]</definedName>
    <definedName name="Centrifuge" localSheetId="12">Tabla3[[Centrifuge ]]</definedName>
    <definedName name="Centrifuge" localSheetId="11">Tabla3[[Centrifuge ]]</definedName>
    <definedName name="Centrifuge_Material" localSheetId="2">Tabla32[Centrifuge_Material]</definedName>
    <definedName name="Centrifuge_Material" localSheetId="5">Tabla32[Centrifuge_Material]</definedName>
    <definedName name="Centrifuge_Material" localSheetId="3">Tabla32[Centrifuge_Material]</definedName>
    <definedName name="Centrifuge_Material" localSheetId="8">Tabla32[Centrifuge_Material]</definedName>
    <definedName name="Centrifuge_Material" localSheetId="4">Tabla32[Centrifuge_Material]</definedName>
    <definedName name="Centrifuge_Material" localSheetId="6">Tabla32[Centrifuge_Material]</definedName>
    <definedName name="Centrifuge_Material" localSheetId="7">Tabla32[Centrifuge_Material]</definedName>
    <definedName name="Centrifuge_Material" localSheetId="9">Tabla32[Centrifuge_Material]</definedName>
    <definedName name="Centrifuge_Material" localSheetId="10">Tabla32[Centrifuge_Material]</definedName>
    <definedName name="Centrifuge_Material" localSheetId="12">Tabla32[Centrifuge_Material]</definedName>
    <definedName name="Centrifuge_Material" localSheetId="11">Tabla32[Centrifuge_Material]</definedName>
    <definedName name="Compressor" localSheetId="2">Tabla4[Compressor]</definedName>
    <definedName name="Compressor" localSheetId="5">Tabla4[Compressor]</definedName>
    <definedName name="Compressor" localSheetId="3">Tabla4[Compressor]</definedName>
    <definedName name="Compressor" localSheetId="8">Tabla4[Compressor]</definedName>
    <definedName name="Compressor" localSheetId="4">Tabla4[Compressor]</definedName>
    <definedName name="Compressor" localSheetId="6">Tabla4[Compressor]</definedName>
    <definedName name="Compressor" localSheetId="7">Tabla4[Compressor]</definedName>
    <definedName name="Compressor" localSheetId="9">Tabla4[Compressor]</definedName>
    <definedName name="Compressor" localSheetId="10">Tabla4[Compressor]</definedName>
    <definedName name="Compressor" localSheetId="12">Tabla4[Compressor]</definedName>
    <definedName name="Compressor" localSheetId="11">Tabla4[Compressor]</definedName>
    <definedName name="Compressor_Material" localSheetId="2">Tabla33[Compressor_Material]</definedName>
    <definedName name="Compressor_Material" localSheetId="5">Tabla33[Compressor_Material]</definedName>
    <definedName name="Compressor_Material" localSheetId="3">Tabla33[Compressor_Material]</definedName>
    <definedName name="Compressor_Material" localSheetId="8">Tabla33[Compressor_Material]</definedName>
    <definedName name="Compressor_Material" localSheetId="4">Tabla33[Compressor_Material]</definedName>
    <definedName name="Compressor_Material" localSheetId="6">Tabla33[Compressor_Material]</definedName>
    <definedName name="Compressor_Material" localSheetId="7">Tabla33[Compressor_Material]</definedName>
    <definedName name="Compressor_Material" localSheetId="9">Tabla33[Compressor_Material]</definedName>
    <definedName name="Compressor_Material" localSheetId="10">Tabla33[Compressor_Material]</definedName>
    <definedName name="Compressor_Material" localSheetId="12">Tabla33[Compressor_Material]</definedName>
    <definedName name="Compressor_Material" localSheetId="11">Tabla33[Compressor_Material]</definedName>
    <definedName name="Construction" localSheetId="15">Tabla81[Construction]</definedName>
    <definedName name="Construction" localSheetId="17">Tabla81[Construction]</definedName>
    <definedName name="Construction" localSheetId="1">Tabla81[Construction]</definedName>
    <definedName name="Construction" localSheetId="2">Tabla81[Construction]</definedName>
    <definedName name="Construction" localSheetId="5">Tabla81[Construction]</definedName>
    <definedName name="Construction" localSheetId="3">Tabla81[Construction]</definedName>
    <definedName name="Construction" localSheetId="8">Tabla81[Construction]</definedName>
    <definedName name="Construction" localSheetId="4">Tabla81[Construction]</definedName>
    <definedName name="Construction" localSheetId="6">Tabla81[Construction]</definedName>
    <definedName name="Construction" localSheetId="7">Tabla81[Construction]</definedName>
    <definedName name="Construction" localSheetId="9">Tabla81[Construction]</definedName>
    <definedName name="Construction" localSheetId="10">Tabla81[Construction]</definedName>
    <definedName name="Construction" localSheetId="12">Tabla81[Construction]</definedName>
    <definedName name="Construction" localSheetId="11">Tabla81[Construction]</definedName>
    <definedName name="Conveyor" localSheetId="2">Tabla5[Conveyor]</definedName>
    <definedName name="Conveyor" localSheetId="5">Tabla5[Conveyor]</definedName>
    <definedName name="Conveyor" localSheetId="3">Tabla5[Conveyor]</definedName>
    <definedName name="Conveyor" localSheetId="8">Tabla5[Conveyor]</definedName>
    <definedName name="Conveyor" localSheetId="4">Tabla5[Conveyor]</definedName>
    <definedName name="Conveyor" localSheetId="6">Tabla5[Conveyor]</definedName>
    <definedName name="Conveyor" localSheetId="7">Tabla5[Conveyor]</definedName>
    <definedName name="Conveyor" localSheetId="9">Tabla5[Conveyor]</definedName>
    <definedName name="Conveyor" localSheetId="10">Tabla5[Conveyor]</definedName>
    <definedName name="Conveyor" localSheetId="12">Tabla5[Conveyor]</definedName>
    <definedName name="Conveyor" localSheetId="11">Tabla5[Conveyor]</definedName>
    <definedName name="Conveyor_Material" localSheetId="2">Tabla34[Conveyor_Material]</definedName>
    <definedName name="Conveyor_Material" localSheetId="5">Tabla34[Conveyor_Material]</definedName>
    <definedName name="Conveyor_Material" localSheetId="3">Tabla34[Conveyor_Material]</definedName>
    <definedName name="Conveyor_Material" localSheetId="8">Tabla34[Conveyor_Material]</definedName>
    <definedName name="Conveyor_Material" localSheetId="4">Tabla34[Conveyor_Material]</definedName>
    <definedName name="Conveyor_Material" localSheetId="6">Tabla34[Conveyor_Material]</definedName>
    <definedName name="Conveyor_Material" localSheetId="7">Tabla34[Conveyor_Material]</definedName>
    <definedName name="Conveyor_Material" localSheetId="9">Tabla34[Conveyor_Material]</definedName>
    <definedName name="Conveyor_Material" localSheetId="10">Tabla34[Conveyor_Material]</definedName>
    <definedName name="Conveyor_Material" localSheetId="12">Tabla34[Conveyor_Material]</definedName>
    <definedName name="Conveyor_Material" localSheetId="11">Tabla34[Conveyor_Material]</definedName>
    <definedName name="Crystallizer" localSheetId="2">Tabla6[[Crystallizer ]]</definedName>
    <definedName name="Crystallizer" localSheetId="5">Tabla6[[Crystallizer ]]</definedName>
    <definedName name="Crystallizer" localSheetId="3">Tabla6[[Crystallizer ]]</definedName>
    <definedName name="Crystallizer" localSheetId="8">Tabla6[[Crystallizer ]]</definedName>
    <definedName name="Crystallizer" localSheetId="4">Tabla6[[Crystallizer ]]</definedName>
    <definedName name="Crystallizer" localSheetId="6">Tabla6[[Crystallizer ]]</definedName>
    <definedName name="Crystallizer" localSheetId="7">Tabla6[[Crystallizer ]]</definedName>
    <definedName name="Crystallizer" localSheetId="9">Tabla6[[Crystallizer ]]</definedName>
    <definedName name="Crystallizer" localSheetId="10">Tabla6[[Crystallizer ]]</definedName>
    <definedName name="Crystallizer" localSheetId="12">Tabla6[[Crystallizer ]]</definedName>
    <definedName name="Crystallizer" localSheetId="11">Tabla6[[Crystallizer ]]</definedName>
    <definedName name="Crystallizer_Material" localSheetId="2">Tabla35[Crystallizer_Material]</definedName>
    <definedName name="Crystallizer_Material" localSheetId="5">Tabla35[Crystallizer_Material]</definedName>
    <definedName name="Crystallizer_Material" localSheetId="3">Tabla35[Crystallizer_Material]</definedName>
    <definedName name="Crystallizer_Material" localSheetId="8">Tabla35[Crystallizer_Material]</definedName>
    <definedName name="Crystallizer_Material" localSheetId="4">Tabla35[Crystallizer_Material]</definedName>
    <definedName name="Crystallizer_Material" localSheetId="6">Tabla35[Crystallizer_Material]</definedName>
    <definedName name="Crystallizer_Material" localSheetId="7">Tabla35[Crystallizer_Material]</definedName>
    <definedName name="Crystallizer_Material" localSheetId="9">Tabla35[Crystallizer_Material]</definedName>
    <definedName name="Crystallizer_Material" localSheetId="10">Tabla35[Crystallizer_Material]</definedName>
    <definedName name="Crystallizer_Material" localSheetId="12">Tabla35[Crystallizer_Material]</definedName>
    <definedName name="Crystallizer_Material" localSheetId="11">Tabla35[Crystallizer_Material]</definedName>
    <definedName name="Currency" localSheetId="15">Tabla56[Currency]</definedName>
    <definedName name="Currency" localSheetId="17">Tabla56[Currency]</definedName>
    <definedName name="Currency" localSheetId="1">Tabla56[Currency]</definedName>
    <definedName name="Currency" localSheetId="2">Tabla56[Currency]</definedName>
    <definedName name="Currency" localSheetId="5">Tabla56[Currency]</definedName>
    <definedName name="Currency" localSheetId="3">Tabla56[Currency]</definedName>
    <definedName name="Currency" localSheetId="8">Tabla56[Currency]</definedName>
    <definedName name="Currency" localSheetId="4">Tabla56[Currency]</definedName>
    <definedName name="Currency" localSheetId="6">Tabla56[Currency]</definedName>
    <definedName name="Currency" localSheetId="7">Tabla56[Currency]</definedName>
    <definedName name="Currency" localSheetId="9">Tabla56[Currency]</definedName>
    <definedName name="Currency" localSheetId="10">Tabla56[Currency]</definedName>
    <definedName name="Currency" localSheetId="12">Tabla56[Currency]</definedName>
    <definedName name="Currency" localSheetId="11">Tabla56[Currency]</definedName>
    <definedName name="Dirve_Material" localSheetId="2">Tabla36[Drive_Material]</definedName>
    <definedName name="Dirve_Material" localSheetId="5">Tabla36[Drive_Material]</definedName>
    <definedName name="Dirve_Material" localSheetId="3">Tabla36[Drive_Material]</definedName>
    <definedName name="Dirve_Material" localSheetId="8">Tabla36[Drive_Material]</definedName>
    <definedName name="Dirve_Material" localSheetId="4">Tabla36[Drive_Material]</definedName>
    <definedName name="Dirve_Material" localSheetId="6">Tabla36[Drive_Material]</definedName>
    <definedName name="Dirve_Material" localSheetId="7">Tabla36[Drive_Material]</definedName>
    <definedName name="Dirve_Material" localSheetId="9">Tabla36[Drive_Material]</definedName>
    <definedName name="Dirve_Material" localSheetId="10">Tabla36[Drive_Material]</definedName>
    <definedName name="Dirve_Material" localSheetId="12">Tabla36[Drive_Material]</definedName>
    <definedName name="Dirve_Material" localSheetId="11">Tabla36[Drive_Material]</definedName>
    <definedName name="Drive" localSheetId="2">Tabla7[[Drive ]]</definedName>
    <definedName name="Drive" localSheetId="5">Tabla7[[Drive ]]</definedName>
    <definedName name="Drive" localSheetId="3">Tabla7[[Drive ]]</definedName>
    <definedName name="Drive" localSheetId="8">Tabla7[[Drive ]]</definedName>
    <definedName name="Drive" localSheetId="4">Tabla7[[Drive ]]</definedName>
    <definedName name="Drive" localSheetId="6">Tabla7[[Drive ]]</definedName>
    <definedName name="Drive" localSheetId="7">Tabla7[[Drive ]]</definedName>
    <definedName name="Drive" localSheetId="9">Tabla7[[Drive ]]</definedName>
    <definedName name="Drive" localSheetId="10">Tabla7[[Drive ]]</definedName>
    <definedName name="Drive" localSheetId="12">Tabla7[[Drive ]]</definedName>
    <definedName name="Drive" localSheetId="11">Tabla7[[Drive ]]</definedName>
    <definedName name="Drive_Material" localSheetId="2">Tabla36[Drive_Material]</definedName>
    <definedName name="Drive_Material" localSheetId="5">Tabla36[Drive_Material]</definedName>
    <definedName name="Drive_Material" localSheetId="3">Tabla36[Drive_Material]</definedName>
    <definedName name="Drive_Material" localSheetId="8">Tabla36[Drive_Material]</definedName>
    <definedName name="Drive_Material" localSheetId="4">Tabla36[Drive_Material]</definedName>
    <definedName name="Drive_Material" localSheetId="6">Tabla36[Drive_Material]</definedName>
    <definedName name="Drive_Material" localSheetId="7">Tabla36[Drive_Material]</definedName>
    <definedName name="Drive_Material" localSheetId="9">Tabla36[Drive_Material]</definedName>
    <definedName name="Drive_Material" localSheetId="10">Tabla36[Drive_Material]</definedName>
    <definedName name="Drive_Material" localSheetId="12">Tabla36[Drive_Material]</definedName>
    <definedName name="Drive_Material" localSheetId="11">Tabla36[Drive_Material]</definedName>
    <definedName name="Dryer" localSheetId="2">Tabla8[Dryer]</definedName>
    <definedName name="Dryer" localSheetId="5">Tabla8[Dryer]</definedName>
    <definedName name="Dryer" localSheetId="3">Tabla8[Dryer]</definedName>
    <definedName name="Dryer" localSheetId="8">Tabla8[Dryer]</definedName>
    <definedName name="Dryer" localSheetId="4">Tabla8[Dryer]</definedName>
    <definedName name="Dryer" localSheetId="6">Tabla8[Dryer]</definedName>
    <definedName name="Dryer" localSheetId="7">Tabla8[Dryer]</definedName>
    <definedName name="Dryer" localSheetId="9">Tabla8[Dryer]</definedName>
    <definedName name="Dryer" localSheetId="10">Tabla8[Dryer]</definedName>
    <definedName name="Dryer" localSheetId="12">Tabla8[Dryer]</definedName>
    <definedName name="Dryer" localSheetId="11">Tabla8[Dryer]</definedName>
    <definedName name="Dryer_Material" localSheetId="2">Tabla37[Dryer_Material]</definedName>
    <definedName name="Dryer_Material" localSheetId="5">Tabla37[Dryer_Material]</definedName>
    <definedName name="Dryer_Material" localSheetId="3">Tabla37[Dryer_Material]</definedName>
    <definedName name="Dryer_Material" localSheetId="8">Tabla37[Dryer_Material]</definedName>
    <definedName name="Dryer_Material" localSheetId="4">Tabla37[Dryer_Material]</definedName>
    <definedName name="Dryer_Material" localSheetId="6">Tabla37[Dryer_Material]</definedName>
    <definedName name="Dryer_Material" localSheetId="7">Tabla37[Dryer_Material]</definedName>
    <definedName name="Dryer_Material" localSheetId="9">Tabla37[Dryer_Material]</definedName>
    <definedName name="Dryer_Material" localSheetId="10">Tabla37[Dryer_Material]</definedName>
    <definedName name="Dryer_Material" localSheetId="12">Tabla37[Dryer_Material]</definedName>
    <definedName name="Dryer_Material" localSheetId="11">Tabla37[Dryer_Material]</definedName>
    <definedName name="DustCollectors" localSheetId="2">Tabla9[[Dust Collectors ]]</definedName>
    <definedName name="DustCollectors" localSheetId="5">Tabla9[[Dust Collectors ]]</definedName>
    <definedName name="DustCollectors" localSheetId="3">Tabla9[[Dust Collectors ]]</definedName>
    <definedName name="DustCollectors" localSheetId="8">Tabla9[[Dust Collectors ]]</definedName>
    <definedName name="DustCollectors" localSheetId="4">Tabla9[[Dust Collectors ]]</definedName>
    <definedName name="DustCollectors" localSheetId="6">Tabla9[[Dust Collectors ]]</definedName>
    <definedName name="DustCollectors" localSheetId="7">Tabla9[[Dust Collectors ]]</definedName>
    <definedName name="DustCollectors" localSheetId="9">Tabla9[[Dust Collectors ]]</definedName>
    <definedName name="DustCollectors" localSheetId="10">Tabla9[[Dust Collectors ]]</definedName>
    <definedName name="DustCollectors" localSheetId="12">Tabla9[[Dust Collectors ]]</definedName>
    <definedName name="DustCollectors" localSheetId="11">Tabla9[[Dust Collectors ]]</definedName>
    <definedName name="DustCollectors_Material" localSheetId="2">Tabla38[DustCollectors_Material]</definedName>
    <definedName name="DustCollectors_Material" localSheetId="5">Tabla38[DustCollectors_Material]</definedName>
    <definedName name="DustCollectors_Material" localSheetId="3">Tabla38[DustCollectors_Material]</definedName>
    <definedName name="DustCollectors_Material" localSheetId="8">Tabla38[DustCollectors_Material]</definedName>
    <definedName name="DustCollectors_Material" localSheetId="4">Tabla38[DustCollectors_Material]</definedName>
    <definedName name="DustCollectors_Material" localSheetId="6">Tabla38[DustCollectors_Material]</definedName>
    <definedName name="DustCollectors_Material" localSheetId="7">Tabla38[DustCollectors_Material]</definedName>
    <definedName name="DustCollectors_Material" localSheetId="9">Tabla38[DustCollectors_Material]</definedName>
    <definedName name="DustCollectors_Material" localSheetId="10">Tabla38[DustCollectors_Material]</definedName>
    <definedName name="DustCollectors_Material" localSheetId="12">Tabla38[DustCollectors_Material]</definedName>
    <definedName name="DustCollectors_Material" localSheetId="11">Tabla38[DustCollectors_Material]</definedName>
    <definedName name="Equipment" localSheetId="2">Tabla1[Equipment]</definedName>
    <definedName name="Equipment" localSheetId="5">Tabla1[Equipment]</definedName>
    <definedName name="Equipment" localSheetId="3">Tabla1[Equipment]</definedName>
    <definedName name="Equipment" localSheetId="8">Tabla1[Equipment]</definedName>
    <definedName name="Equipment" localSheetId="4">Tabla1[Equipment]</definedName>
    <definedName name="Equipment" localSheetId="6">Tabla1[Equipment]</definedName>
    <definedName name="Equipment" localSheetId="7">Tabla1[Equipment]</definedName>
    <definedName name="Equipment" localSheetId="9">Tabla1[Equipment]</definedName>
    <definedName name="Equipment" localSheetId="10">Tabla1[Equipment]</definedName>
    <definedName name="Equipment" localSheetId="12">Tabla1[Equipment]</definedName>
    <definedName name="Equipment" localSheetId="11">Tabla1[Equipment]</definedName>
    <definedName name="Evaporator" localSheetId="2">Tabla13[[Evaporator ]]</definedName>
    <definedName name="Evaporator" localSheetId="5">Tabla13[[Evaporator ]]</definedName>
    <definedName name="Evaporator" localSheetId="3">Tabla13[[Evaporator ]]</definedName>
    <definedName name="Evaporator" localSheetId="8">Tabla13[[Evaporator ]]</definedName>
    <definedName name="Evaporator" localSheetId="4">Tabla13[[Evaporator ]]</definedName>
    <definedName name="Evaporator" localSheetId="6">Tabla13[[Evaporator ]]</definedName>
    <definedName name="Evaporator" localSheetId="7">Tabla13[[Evaporator ]]</definedName>
    <definedName name="Evaporator" localSheetId="9">Tabla13[[Evaporator ]]</definedName>
    <definedName name="Evaporator" localSheetId="10">Tabla13[[Evaporator ]]</definedName>
    <definedName name="Evaporator" localSheetId="12">Tabla13[[Evaporator ]]</definedName>
    <definedName name="Evaporator" localSheetId="11">Tabla13[[Evaporator ]]</definedName>
    <definedName name="Evaporator_Material" localSheetId="2">Tabla42[Evaporator_Material]</definedName>
    <definedName name="Evaporator_Material" localSheetId="5">Tabla42[Evaporator_Material]</definedName>
    <definedName name="Evaporator_Material" localSheetId="3">Tabla42[Evaporator_Material]</definedName>
    <definedName name="Evaporator_Material" localSheetId="8">Tabla42[Evaporator_Material]</definedName>
    <definedName name="Evaporator_Material" localSheetId="4">Tabla42[Evaporator_Material]</definedName>
    <definedName name="Evaporator_Material" localSheetId="6">Tabla42[Evaporator_Material]</definedName>
    <definedName name="Evaporator_Material" localSheetId="7">Tabla42[Evaporator_Material]</definedName>
    <definedName name="Evaporator_Material" localSheetId="9">Tabla42[Evaporator_Material]</definedName>
    <definedName name="Evaporator_Material" localSheetId="10">Tabla42[Evaporator_Material]</definedName>
    <definedName name="Evaporator_Material" localSheetId="12">Tabla42[Evaporator_Material]</definedName>
    <definedName name="Evaporator_Material" localSheetId="11">Tabla42[Evaporator_Material]</definedName>
    <definedName name="Fan" localSheetId="2">Tabla10[Fan]</definedName>
    <definedName name="Fan" localSheetId="5">Tabla10[Fan]</definedName>
    <definedName name="Fan" localSheetId="3">Tabla10[Fan]</definedName>
    <definedName name="Fan" localSheetId="8">Tabla10[Fan]</definedName>
    <definedName name="Fan" localSheetId="4">Tabla10[Fan]</definedName>
    <definedName name="Fan" localSheetId="6">Tabla10[Fan]</definedName>
    <definedName name="Fan" localSheetId="7">Tabla10[Fan]</definedName>
    <definedName name="Fan" localSheetId="9">Tabla10[Fan]</definedName>
    <definedName name="Fan" localSheetId="10">Tabla10[Fan]</definedName>
    <definedName name="Fan" localSheetId="12">Tabla10[Fan]</definedName>
    <definedName name="Fan" localSheetId="11">Tabla10[Fan]</definedName>
    <definedName name="Fan_Material" localSheetId="2">Tabla39[Fan_Material]</definedName>
    <definedName name="Fan_Material" localSheetId="5">Tabla39[Fan_Material]</definedName>
    <definedName name="Fan_Material" localSheetId="3">Tabla39[Fan_Material]</definedName>
    <definedName name="Fan_Material" localSheetId="8">Tabla39[Fan_Material]</definedName>
    <definedName name="Fan_Material" localSheetId="4">Tabla39[Fan_Material]</definedName>
    <definedName name="Fan_Material" localSheetId="6">Tabla39[Fan_Material]</definedName>
    <definedName name="Fan_Material" localSheetId="7">Tabla39[Fan_Material]</definedName>
    <definedName name="Fan_Material" localSheetId="9">Tabla39[Fan_Material]</definedName>
    <definedName name="Fan_Material" localSheetId="10">Tabla39[Fan_Material]</definedName>
    <definedName name="Fan_Material" localSheetId="12">Tabla39[Fan_Material]</definedName>
    <definedName name="Fan_Material" localSheetId="11">Tabla39[Fan_Material]</definedName>
    <definedName name="Filter" localSheetId="2">Tabla11[[Filter ]]</definedName>
    <definedName name="Filter" localSheetId="5">Tabla11[[Filter ]]</definedName>
    <definedName name="Filter" localSheetId="3">Tabla11[[Filter ]]</definedName>
    <definedName name="Filter" localSheetId="8">Tabla11[[Filter ]]</definedName>
    <definedName name="Filter" localSheetId="4">Tabla11[[Filter ]]</definedName>
    <definedName name="Filter" localSheetId="6">Tabla11[[Filter ]]</definedName>
    <definedName name="Filter" localSheetId="7">Tabla11[[Filter ]]</definedName>
    <definedName name="Filter" localSheetId="9">Tabla11[[Filter ]]</definedName>
    <definedName name="Filter" localSheetId="10">Tabla11[[Filter ]]</definedName>
    <definedName name="Filter" localSheetId="12">Tabla11[[Filter ]]</definedName>
    <definedName name="Filter" localSheetId="11">Tabla11[[Filter ]]</definedName>
    <definedName name="Filter_Material" localSheetId="2">Tabla40[Filter_Material]</definedName>
    <definedName name="Filter_Material" localSheetId="5">Tabla40[Filter_Material]</definedName>
    <definedName name="Filter_Material" localSheetId="3">Tabla40[Filter_Material]</definedName>
    <definedName name="Filter_Material" localSheetId="8">Tabla40[Filter_Material]</definedName>
    <definedName name="Filter_Material" localSheetId="4">Tabla40[Filter_Material]</definedName>
    <definedName name="Filter_Material" localSheetId="6">Tabla40[Filter_Material]</definedName>
    <definedName name="Filter_Material" localSheetId="7">Tabla40[Filter_Material]</definedName>
    <definedName name="Filter_Material" localSheetId="9">Tabla40[Filter_Material]</definedName>
    <definedName name="Filter_Material" localSheetId="10">Tabla40[Filter_Material]</definedName>
    <definedName name="Filter_Material" localSheetId="12">Tabla40[Filter_Material]</definedName>
    <definedName name="Filter_Material" localSheetId="11">Tabla40[Filter_Material]</definedName>
    <definedName name="FiredHeater" localSheetId="2">Tabla12[[Fired Heater ]]</definedName>
    <definedName name="FiredHeater" localSheetId="5">Tabla12[[Fired Heater ]]</definedName>
    <definedName name="FiredHeater" localSheetId="3">Tabla12[[Fired Heater ]]</definedName>
    <definedName name="FiredHeater" localSheetId="8">Tabla12[[Fired Heater ]]</definedName>
    <definedName name="FiredHeater" localSheetId="4">Tabla12[[Fired Heater ]]</definedName>
    <definedName name="FiredHeater" localSheetId="6">Tabla12[[Fired Heater ]]</definedName>
    <definedName name="FiredHeater" localSheetId="7">Tabla12[[Fired Heater ]]</definedName>
    <definedName name="FiredHeater" localSheetId="9">Tabla12[[Fired Heater ]]</definedName>
    <definedName name="FiredHeater" localSheetId="10">Tabla12[[Fired Heater ]]</definedName>
    <definedName name="FiredHeater" localSheetId="12">Tabla12[[Fired Heater ]]</definedName>
    <definedName name="FiredHeater" localSheetId="11">Tabla12[[Fired Heater ]]</definedName>
    <definedName name="FiredHeater_Material" localSheetId="2">Tabla41[FiredHeater_Material]</definedName>
    <definedName name="FiredHeater_Material" localSheetId="5">Tabla41[FiredHeater_Material]</definedName>
    <definedName name="FiredHeater_Material" localSheetId="3">Tabla41[FiredHeater_Material]</definedName>
    <definedName name="FiredHeater_Material" localSheetId="8">Tabla41[FiredHeater_Material]</definedName>
    <definedName name="FiredHeater_Material" localSheetId="4">Tabla41[FiredHeater_Material]</definedName>
    <definedName name="FiredHeater_Material" localSheetId="6">Tabla41[FiredHeater_Material]</definedName>
    <definedName name="FiredHeater_Material" localSheetId="7">Tabla41[FiredHeater_Material]</definedName>
    <definedName name="FiredHeater_Material" localSheetId="9">Tabla41[FiredHeater_Material]</definedName>
    <definedName name="FiredHeater_Material" localSheetId="10">Tabla41[FiredHeater_Material]</definedName>
    <definedName name="FiredHeater_Material" localSheetId="12">Tabla41[FiredHeater_Material]</definedName>
    <definedName name="FiredHeater_Material" localSheetId="11">Tabla41[FiredHeater_Material]</definedName>
    <definedName name="HeatExchanger" localSheetId="2">Tabla14[Heat Exchanger]</definedName>
    <definedName name="HeatExchanger" localSheetId="5">Tabla14[Heat Exchanger]</definedName>
    <definedName name="HeatExchanger" localSheetId="3">Tabla14[Heat Exchanger]</definedName>
    <definedName name="HeatExchanger" localSheetId="8">Tabla14[Heat Exchanger]</definedName>
    <definedName name="HeatExchanger" localSheetId="4">Tabla14[Heat Exchanger]</definedName>
    <definedName name="HeatExchanger" localSheetId="6">Tabla14[Heat Exchanger]</definedName>
    <definedName name="HeatExchanger" localSheetId="7">Tabla14[Heat Exchanger]</definedName>
    <definedName name="HeatExchanger" localSheetId="9">Tabla14[Heat Exchanger]</definedName>
    <definedName name="HeatExchanger" localSheetId="10">Tabla14[Heat Exchanger]</definedName>
    <definedName name="HeatExchanger" localSheetId="12">Tabla14[Heat Exchanger]</definedName>
    <definedName name="HeatExchanger" localSheetId="11">Tabla14[Heat Exchanger]</definedName>
    <definedName name="HeatExchanger_AirCooler_Material" localSheetId="2">Tabla79[HeatExchanger_AirCooler_Material]</definedName>
    <definedName name="HeatExchanger_AirCooler_Material" localSheetId="5">Tabla79[HeatExchanger_AirCooler_Material]</definedName>
    <definedName name="HeatExchanger_AirCooler_Material" localSheetId="3">Tabla79[HeatExchanger_AirCooler_Material]</definedName>
    <definedName name="HeatExchanger_AirCooler_Material" localSheetId="8">Tabla79[HeatExchanger_AirCooler_Material]</definedName>
    <definedName name="HeatExchanger_AirCooler_Material" localSheetId="4">Tabla79[HeatExchanger_AirCooler_Material]</definedName>
    <definedName name="HeatExchanger_AirCooler_Material" localSheetId="6">Tabla79[HeatExchanger_AirCooler_Material]</definedName>
    <definedName name="HeatExchanger_AirCooler_Material" localSheetId="7">Tabla79[HeatExchanger_AirCooler_Material]</definedName>
    <definedName name="HeatExchanger_AirCooler_Material" localSheetId="9">Tabla79[HeatExchanger_AirCooler_Material]</definedName>
    <definedName name="HeatExchanger_AirCooler_Material" localSheetId="10">Tabla79[HeatExchanger_AirCooler_Material]</definedName>
    <definedName name="HeatExchanger_AirCooler_Material" localSheetId="12">Tabla79[HeatExchanger_AirCooler_Material]</definedName>
    <definedName name="HeatExchanger_Bayonet_Material" localSheetId="2">Tabla70[HeatExchanger_Bayonet_Material]</definedName>
    <definedName name="HeatExchanger_Bayonet_Material" localSheetId="5">Tabla70[HeatExchanger_Bayonet_Material]</definedName>
    <definedName name="HeatExchanger_Bayonet_Material" localSheetId="3">Tabla70[HeatExchanger_Bayonet_Material]</definedName>
    <definedName name="HeatExchanger_Bayonet_Material" localSheetId="8">Tabla70[HeatExchanger_Bayonet_Material]</definedName>
    <definedName name="HeatExchanger_Bayonet_Material" localSheetId="4">Tabla70[HeatExchanger_Bayonet_Material]</definedName>
    <definedName name="HeatExchanger_Bayonet_Material" localSheetId="6">Tabla70[HeatExchanger_Bayonet_Material]</definedName>
    <definedName name="HeatExchanger_Bayonet_Material" localSheetId="7">Tabla70[HeatExchanger_Bayonet_Material]</definedName>
    <definedName name="HeatExchanger_Bayonet_Material" localSheetId="9">Tabla70[HeatExchanger_Bayonet_Material]</definedName>
    <definedName name="HeatExchanger_Bayonet_Material" localSheetId="10">Tabla70[HeatExchanger_Bayonet_Material]</definedName>
    <definedName name="HeatExchanger_Bayonet_Material" localSheetId="12">Tabla70[HeatExchanger_Bayonet_Material]</definedName>
    <definedName name="HeatExchanger_DoublePipe_Material" localSheetId="2">Tabla66[HeatExchanger_DoublePipe_Material]</definedName>
    <definedName name="HeatExchanger_DoublePipe_Material" localSheetId="5">Tabla66[HeatExchanger_DoublePipe_Material]</definedName>
    <definedName name="HeatExchanger_DoublePipe_Material" localSheetId="3">Tabla66[HeatExchanger_DoublePipe_Material]</definedName>
    <definedName name="HeatExchanger_DoublePipe_Material" localSheetId="8">Tabla66[HeatExchanger_DoublePipe_Material]</definedName>
    <definedName name="HeatExchanger_DoublePipe_Material" localSheetId="4">Tabla66[HeatExchanger_DoublePipe_Material]</definedName>
    <definedName name="HeatExchanger_DoublePipe_Material" localSheetId="6">Tabla66[HeatExchanger_DoublePipe_Material]</definedName>
    <definedName name="HeatExchanger_DoublePipe_Material" localSheetId="7">Tabla66[HeatExchanger_DoublePipe_Material]</definedName>
    <definedName name="HeatExchanger_DoublePipe_Material" localSheetId="9">Tabla66[HeatExchanger_DoublePipe_Material]</definedName>
    <definedName name="HeatExchanger_DoublePipe_Material" localSheetId="10">Tabla66[HeatExchanger_DoublePipe_Material]</definedName>
    <definedName name="HeatExchanger_DoublePipe_Material" localSheetId="12">Tabla66[HeatExchanger_DoublePipe_Material]</definedName>
    <definedName name="HeatExchanger_FixedtubesheetorUtube_Material" localSheetId="2">Tabla68[HeatExchanger_FixedtubesheetorUtube_Material]</definedName>
    <definedName name="HeatExchanger_FixedtubesheetorUtube_Material" localSheetId="5">Tabla68[HeatExchanger_FixedtubesheetorUtube_Material]</definedName>
    <definedName name="HeatExchanger_FixedtubesheetorUtube_Material" localSheetId="3">Tabla68[HeatExchanger_FixedtubesheetorUtube_Material]</definedName>
    <definedName name="HeatExchanger_FixedtubesheetorUtube_Material" localSheetId="8">Tabla68[HeatExchanger_FixedtubesheetorUtube_Material]</definedName>
    <definedName name="HeatExchanger_FixedtubesheetorUtube_Material" localSheetId="4">Tabla68[HeatExchanger_FixedtubesheetorUtube_Material]</definedName>
    <definedName name="HeatExchanger_FixedtubesheetorUtube_Material" localSheetId="6">Tabla68[HeatExchanger_FixedtubesheetorUtube_Material]</definedName>
    <definedName name="HeatExchanger_FixedtubesheetorUtube_Material" localSheetId="7">Tabla68[HeatExchanger_FixedtubesheetorUtube_Material]</definedName>
    <definedName name="HeatExchanger_FixedtubesheetorUtube_Material" localSheetId="9">Tabla68[HeatExchanger_FixedtubesheetorUtube_Material]</definedName>
    <definedName name="HeatExchanger_FixedtubesheetorUtube_Material" localSheetId="10">Tabla68[HeatExchanger_FixedtubesheetorUtube_Material]</definedName>
    <definedName name="HeatExchanger_FixedtubesheetorUtube_Material" localSheetId="12">Tabla68[HeatExchanger_FixedtubesheetorUtube_Material]</definedName>
    <definedName name="HeatExchanger_FlatPlate_Material" localSheetId="2">Tabla78[HeatExchanger_FlatPlate_Material]</definedName>
    <definedName name="HeatExchanger_FlatPlate_Material" localSheetId="5">Tabla78[HeatExchanger_FlatPlate_Material]</definedName>
    <definedName name="HeatExchanger_FlatPlate_Material" localSheetId="3">Tabla78[HeatExchanger_FlatPlate_Material]</definedName>
    <definedName name="HeatExchanger_FlatPlate_Material" localSheetId="8">Tabla78[HeatExchanger_FlatPlate_Material]</definedName>
    <definedName name="HeatExchanger_FlatPlate_Material" localSheetId="4">Tabla78[HeatExchanger_FlatPlate_Material]</definedName>
    <definedName name="HeatExchanger_FlatPlate_Material" localSheetId="6">Tabla78[HeatExchanger_FlatPlate_Material]</definedName>
    <definedName name="HeatExchanger_FlatPlate_Material" localSheetId="7">Tabla78[HeatExchanger_FlatPlate_Material]</definedName>
    <definedName name="HeatExchanger_FlatPlate_Material" localSheetId="9">Tabla78[HeatExchanger_FlatPlate_Material]</definedName>
    <definedName name="HeatExchanger_FlatPlate_Material" localSheetId="10">Tabla78[HeatExchanger_FlatPlate_Material]</definedName>
    <definedName name="HeatExchanger_FlatPlate_Material" localSheetId="12">Tabla78[HeatExchanger_FlatPlate_Material]</definedName>
    <definedName name="HeatExchanger_FloatingHead_Material" localSheetId="2">Tabla69[HeatExchanger_FloatingHead_Material]</definedName>
    <definedName name="HeatExchanger_FloatingHead_Material" localSheetId="5">Tabla69[HeatExchanger_FloatingHead_Material]</definedName>
    <definedName name="HeatExchanger_FloatingHead_Material" localSheetId="3">Tabla69[HeatExchanger_FloatingHead_Material]</definedName>
    <definedName name="HeatExchanger_FloatingHead_Material" localSheetId="8">Tabla69[HeatExchanger_FloatingHead_Material]</definedName>
    <definedName name="HeatExchanger_FloatingHead_Material" localSheetId="4">Tabla69[HeatExchanger_FloatingHead_Material]</definedName>
    <definedName name="HeatExchanger_FloatingHead_Material" localSheetId="6">Tabla69[HeatExchanger_FloatingHead_Material]</definedName>
    <definedName name="HeatExchanger_FloatingHead_Material" localSheetId="7">Tabla69[HeatExchanger_FloatingHead_Material]</definedName>
    <definedName name="HeatExchanger_FloatingHead_Material" localSheetId="9">Tabla69[HeatExchanger_FloatingHead_Material]</definedName>
    <definedName name="HeatExchanger_FloatingHead_Material" localSheetId="10">Tabla69[HeatExchanger_FloatingHead_Material]</definedName>
    <definedName name="HeatExchanger_FloatingHead_Material" localSheetId="12">Tabla69[HeatExchanger_FloatingHead_Material]</definedName>
    <definedName name="HeatExchanger_KettleReboiler_Material" localSheetId="2">Tabla73[HeatExchanger_KettleReboiler_Material]</definedName>
    <definedName name="HeatExchanger_KettleReboiler_Material" localSheetId="5">Tabla73[HeatExchanger_KettleReboiler_Material]</definedName>
    <definedName name="HeatExchanger_KettleReboiler_Material" localSheetId="3">Tabla73[HeatExchanger_KettleReboiler_Material]</definedName>
    <definedName name="HeatExchanger_KettleReboiler_Material" localSheetId="8">Tabla73[HeatExchanger_KettleReboiler_Material]</definedName>
    <definedName name="HeatExchanger_KettleReboiler_Material" localSheetId="4">Tabla73[HeatExchanger_KettleReboiler_Material]</definedName>
    <definedName name="HeatExchanger_KettleReboiler_Material" localSheetId="6">Tabla73[HeatExchanger_KettleReboiler_Material]</definedName>
    <definedName name="HeatExchanger_KettleReboiler_Material" localSheetId="7">Tabla73[HeatExchanger_KettleReboiler_Material]</definedName>
    <definedName name="HeatExchanger_KettleReboiler_Material" localSheetId="9">Tabla73[HeatExchanger_KettleReboiler_Material]</definedName>
    <definedName name="HeatExchanger_KettleReboiler_Material" localSheetId="10">Tabla73[HeatExchanger_KettleReboiler_Material]</definedName>
    <definedName name="HeatExchanger_KettleReboiler_Material" localSheetId="12">Tabla73[HeatExchanger_KettleReboiler_Material]</definedName>
    <definedName name="HeatExchanger_Material" localSheetId="2">Tabla43[HeatExchanger_Material]</definedName>
    <definedName name="HeatExchanger_Material" localSheetId="5">Tabla43[HeatExchanger_Material]</definedName>
    <definedName name="HeatExchanger_Material" localSheetId="3">Tabla43[HeatExchanger_Material]</definedName>
    <definedName name="HeatExchanger_Material" localSheetId="8">Tabla43[HeatExchanger_Material]</definedName>
    <definedName name="HeatExchanger_Material" localSheetId="4">Tabla43[HeatExchanger_Material]</definedName>
    <definedName name="HeatExchanger_Material" localSheetId="6">Tabla43[HeatExchanger_Material]</definedName>
    <definedName name="HeatExchanger_Material" localSheetId="7">Tabla43[HeatExchanger_Material]</definedName>
    <definedName name="HeatExchanger_Material" localSheetId="9">Tabla43[HeatExchanger_Material]</definedName>
    <definedName name="HeatExchanger_Material" localSheetId="10">Tabla43[HeatExchanger_Material]</definedName>
    <definedName name="HeatExchanger_Material" localSheetId="12">Tabla43[HeatExchanger_Material]</definedName>
    <definedName name="HeatExchanger_Material" localSheetId="11">Tabla43[HeatExchanger_Material]</definedName>
    <definedName name="HeatExchanger_MultiplePipe_Material" localSheetId="2">Tabla67[HeatExchanger_MultiplePipe_Material]</definedName>
    <definedName name="HeatExchanger_MultiplePipe_Material" localSheetId="5">Tabla67[HeatExchanger_MultiplePipe_Material]</definedName>
    <definedName name="HeatExchanger_MultiplePipe_Material" localSheetId="3">Tabla67[HeatExchanger_MultiplePipe_Material]</definedName>
    <definedName name="HeatExchanger_MultiplePipe_Material" localSheetId="8">Tabla67[HeatExchanger_MultiplePipe_Material]</definedName>
    <definedName name="HeatExchanger_MultiplePipe_Material" localSheetId="4">Tabla67[HeatExchanger_MultiplePipe_Material]</definedName>
    <definedName name="HeatExchanger_MultiplePipe_Material" localSheetId="6">Tabla67[HeatExchanger_MultiplePipe_Material]</definedName>
    <definedName name="HeatExchanger_MultiplePipe_Material" localSheetId="7">Tabla67[HeatExchanger_MultiplePipe_Material]</definedName>
    <definedName name="HeatExchanger_MultiplePipe_Material" localSheetId="9">Tabla67[HeatExchanger_MultiplePipe_Material]</definedName>
    <definedName name="HeatExchanger_MultiplePipe_Material" localSheetId="10">Tabla67[HeatExchanger_MultiplePipe_Material]</definedName>
    <definedName name="HeatExchanger_MultiplePipe_Material" localSheetId="12">Tabla67[HeatExchanger_MultiplePipe_Material]</definedName>
    <definedName name="HeatExchanger_ScrapedWall_Material" localSheetId="2">Tabla74[HeatExchanger_ScrapedWall_Material]</definedName>
    <definedName name="HeatExchanger_ScrapedWall_Material" localSheetId="5">Tabla74[HeatExchanger_ScrapedWall_Material]</definedName>
    <definedName name="HeatExchanger_ScrapedWall_Material" localSheetId="3">Tabla74[HeatExchanger_ScrapedWall_Material]</definedName>
    <definedName name="HeatExchanger_ScrapedWall_Material" localSheetId="8">Tabla74[HeatExchanger_ScrapedWall_Material]</definedName>
    <definedName name="HeatExchanger_ScrapedWall_Material" localSheetId="4">Tabla74[HeatExchanger_ScrapedWall_Material]</definedName>
    <definedName name="HeatExchanger_ScrapedWall_Material" localSheetId="6">Tabla74[HeatExchanger_ScrapedWall_Material]</definedName>
    <definedName name="HeatExchanger_ScrapedWall_Material" localSheetId="7">Tabla74[HeatExchanger_ScrapedWall_Material]</definedName>
    <definedName name="HeatExchanger_ScrapedWall_Material" localSheetId="9">Tabla74[HeatExchanger_ScrapedWall_Material]</definedName>
    <definedName name="HeatExchanger_ScrapedWall_Material" localSheetId="10">Tabla74[HeatExchanger_ScrapedWall_Material]</definedName>
    <definedName name="HeatExchanger_ScrapedWall_Material" localSheetId="12">Tabla74[HeatExchanger_ScrapedWall_Material]</definedName>
    <definedName name="HeatExchanger_SpiralPlate_Material" localSheetId="2">Tabla77[HeatExchanger_SpiralPlate_Material]</definedName>
    <definedName name="HeatExchanger_SpiralPlate_Material" localSheetId="5">Tabla77[HeatExchanger_SpiralPlate_Material]</definedName>
    <definedName name="HeatExchanger_SpiralPlate_Material" localSheetId="3">Tabla77[HeatExchanger_SpiralPlate_Material]</definedName>
    <definedName name="HeatExchanger_SpiralPlate_Material" localSheetId="8">Tabla77[HeatExchanger_SpiralPlate_Material]</definedName>
    <definedName name="HeatExchanger_SpiralPlate_Material" localSheetId="4">Tabla77[HeatExchanger_SpiralPlate_Material]</definedName>
    <definedName name="HeatExchanger_SpiralPlate_Material" localSheetId="6">Tabla77[HeatExchanger_SpiralPlate_Material]</definedName>
    <definedName name="HeatExchanger_SpiralPlate_Material" localSheetId="7">Tabla77[HeatExchanger_SpiralPlate_Material]</definedName>
    <definedName name="HeatExchanger_SpiralPlate_Material" localSheetId="9">Tabla77[HeatExchanger_SpiralPlate_Material]</definedName>
    <definedName name="HeatExchanger_SpiralPlate_Material" localSheetId="10">Tabla77[HeatExchanger_SpiralPlate_Material]</definedName>
    <definedName name="HeatExchanger_SpiralPlate_Material" localSheetId="12">Tabla77[HeatExchanger_SpiralPlate_Material]</definedName>
    <definedName name="HeatExchanger_SpiralTube_Material" localSheetId="2">Tabla75[HeatExchanger_SpiralTube_Material]</definedName>
    <definedName name="HeatExchanger_SpiralTube_Material" localSheetId="5">Tabla75[HeatExchanger_SpiralTube_Material]</definedName>
    <definedName name="HeatExchanger_SpiralTube_Material" localSheetId="3">Tabla75[HeatExchanger_SpiralTube_Material]</definedName>
    <definedName name="HeatExchanger_SpiralTube_Material" localSheetId="8">Tabla75[HeatExchanger_SpiralTube_Material]</definedName>
    <definedName name="HeatExchanger_SpiralTube_Material" localSheetId="4">Tabla75[HeatExchanger_SpiralTube_Material]</definedName>
    <definedName name="HeatExchanger_SpiralTube_Material" localSheetId="6">Tabla75[HeatExchanger_SpiralTube_Material]</definedName>
    <definedName name="HeatExchanger_SpiralTube_Material" localSheetId="7">Tabla75[HeatExchanger_SpiralTube_Material]</definedName>
    <definedName name="HeatExchanger_SpiralTube_Material" localSheetId="9">Tabla75[HeatExchanger_SpiralTube_Material]</definedName>
    <definedName name="HeatExchanger_SpiralTube_Material" localSheetId="10">Tabla75[HeatExchanger_SpiralTube_Material]</definedName>
    <definedName name="HeatExchanger_SpiralTube_Material" localSheetId="12">Tabla75[HeatExchanger_SpiralTube_Material]</definedName>
    <definedName name="HeatExchanger_TeflonTubeExchanger_Material" localSheetId="2">Tabla76[HeatExchanger_TeflonTubeExchanger_Material]</definedName>
    <definedName name="HeatExchanger_TeflonTubeExchanger_Material" localSheetId="5">Tabla76[HeatExchanger_TeflonTubeExchanger_Material]</definedName>
    <definedName name="HeatExchanger_TeflonTubeExchanger_Material" localSheetId="3">Tabla76[HeatExchanger_TeflonTubeExchanger_Material]</definedName>
    <definedName name="HeatExchanger_TeflonTubeExchanger_Material" localSheetId="8">Tabla76[HeatExchanger_TeflonTubeExchanger_Material]</definedName>
    <definedName name="HeatExchanger_TeflonTubeExchanger_Material" localSheetId="4">Tabla76[HeatExchanger_TeflonTubeExchanger_Material]</definedName>
    <definedName name="HeatExchanger_TeflonTubeExchanger_Material" localSheetId="6">Tabla76[HeatExchanger_TeflonTubeExchanger_Material]</definedName>
    <definedName name="HeatExchanger_TeflonTubeExchanger_Material" localSheetId="7">Tabla76[HeatExchanger_TeflonTubeExchanger_Material]</definedName>
    <definedName name="HeatExchanger_TeflonTubeExchanger_Material" localSheetId="9">Tabla76[HeatExchanger_TeflonTubeExchanger_Material]</definedName>
    <definedName name="HeatExchanger_TeflonTubeExchanger_Material" localSheetId="10">Tabla76[HeatExchanger_TeflonTubeExchanger_Material]</definedName>
    <definedName name="HeatExchanger_TeflonTubeExchanger_Material" localSheetId="12">Tabla76[HeatExchanger_TeflonTubeExchanger_Material]</definedName>
    <definedName name="Indicator" localSheetId="15">Table25[Indicator]</definedName>
    <definedName name="Lifetime" localSheetId="15">Tabla82[Lifetime]</definedName>
    <definedName name="Lifetime" localSheetId="17">Tabla82[Lifetime]</definedName>
    <definedName name="Lifetime" localSheetId="1">Tabla82[Lifetime]</definedName>
    <definedName name="Lifetime" localSheetId="2">Tabla82[Lifetime]</definedName>
    <definedName name="Lifetime" localSheetId="5">Tabla82[Lifetime]</definedName>
    <definedName name="Lifetime" localSheetId="3">Tabla82[Lifetime]</definedName>
    <definedName name="Lifetime" localSheetId="8">Tabla82[Lifetime]</definedName>
    <definedName name="Lifetime" localSheetId="4">Tabla82[Lifetime]</definedName>
    <definedName name="Lifetime" localSheetId="6">Tabla82[Lifetime]</definedName>
    <definedName name="Lifetime" localSheetId="7">Tabla82[Lifetime]</definedName>
    <definedName name="Lifetime" localSheetId="9">Tabla82[Lifetime]</definedName>
    <definedName name="Lifetime" localSheetId="10">Tabla82[Lifetime]</definedName>
    <definedName name="Lifetime" localSheetId="12">Tabla82[Lifetime]</definedName>
    <definedName name="Lifetime" localSheetId="11">Tabla82[Lifetime]</definedName>
    <definedName name="Location" localSheetId="15">Tabla55[Location]</definedName>
    <definedName name="Location" localSheetId="17">Tabla55[Location]</definedName>
    <definedName name="Location" localSheetId="1">Tabla55[Location]</definedName>
    <definedName name="Location" localSheetId="2">Tabla55[Location]</definedName>
    <definedName name="Location" localSheetId="5">Tabla55[Location]</definedName>
    <definedName name="Location" localSheetId="3">Tabla55[Location]</definedName>
    <definedName name="Location" localSheetId="8">Tabla55[Location]</definedName>
    <definedName name="Location" localSheetId="4">Tabla55[Location]</definedName>
    <definedName name="Location" localSheetId="6">Tabla55[Location]</definedName>
    <definedName name="Location" localSheetId="7">Tabla55[Location]</definedName>
    <definedName name="Location" localSheetId="9">Tabla55[Location]</definedName>
    <definedName name="Location" localSheetId="10">Tabla55[Location]</definedName>
    <definedName name="Location" localSheetId="12">Tabla55[Location]</definedName>
    <definedName name="Location" localSheetId="11">Tabla55[Location]</definedName>
    <definedName name="Mixer" localSheetId="2">Tabla15[[Mixer ]]</definedName>
    <definedName name="Mixer" localSheetId="5">Tabla15[[Mixer ]]</definedName>
    <definedName name="Mixer" localSheetId="3">Tabla15[[Mixer ]]</definedName>
    <definedName name="Mixer" localSheetId="8">Tabla15[[Mixer ]]</definedName>
    <definedName name="Mixer" localSheetId="4">Tabla15[[Mixer ]]</definedName>
    <definedName name="Mixer" localSheetId="6">Tabla15[[Mixer ]]</definedName>
    <definedName name="Mixer" localSheetId="7">Tabla15[[Mixer ]]</definedName>
    <definedName name="Mixer" localSheetId="9">Tabla15[[Mixer ]]</definedName>
    <definedName name="Mixer" localSheetId="10">Tabla15[[Mixer ]]</definedName>
    <definedName name="Mixer" localSheetId="12">Tabla15[[Mixer ]]</definedName>
    <definedName name="Mixer" localSheetId="11">Tabla15[[Mixer ]]</definedName>
    <definedName name="Mixer_Material" localSheetId="2">Tabla44[Mixer_Material]</definedName>
    <definedName name="Mixer_Material" localSheetId="5">Tabla44[Mixer_Material]</definedName>
    <definedName name="Mixer_Material" localSheetId="3">Tabla44[Mixer_Material]</definedName>
    <definedName name="Mixer_Material" localSheetId="8">Tabla44[Mixer_Material]</definedName>
    <definedName name="Mixer_Material" localSheetId="4">Tabla44[Mixer_Material]</definedName>
    <definedName name="Mixer_Material" localSheetId="6">Tabla44[Mixer_Material]</definedName>
    <definedName name="Mixer_Material" localSheetId="7">Tabla44[Mixer_Material]</definedName>
    <definedName name="Mixer_Material" localSheetId="9">Tabla44[Mixer_Material]</definedName>
    <definedName name="Mixer_Material" localSheetId="10">Tabla44[Mixer_Material]</definedName>
    <definedName name="Mixer_Material" localSheetId="12">Tabla44[Mixer_Material]</definedName>
    <definedName name="Mixer_Material" localSheetId="11">Tabla44[Mixer_Material]</definedName>
    <definedName name="Pump" localSheetId="2">Tabla16[[Pump ]]</definedName>
    <definedName name="Pump" localSheetId="5">Tabla16[[Pump ]]</definedName>
    <definedName name="Pump" localSheetId="3">Tabla16[[Pump ]]</definedName>
    <definedName name="Pump" localSheetId="8">Tabla16[[Pump ]]</definedName>
    <definedName name="Pump" localSheetId="4">Tabla16[[Pump ]]</definedName>
    <definedName name="Pump" localSheetId="6">Tabla16[[Pump ]]</definedName>
    <definedName name="Pump" localSheetId="7">Tabla16[[Pump ]]</definedName>
    <definedName name="Pump" localSheetId="9">Tabla16[[Pump ]]</definedName>
    <definedName name="Pump" localSheetId="10">Tabla16[[Pump ]]</definedName>
    <definedName name="Pump" localSheetId="12">Tabla16[[Pump ]]</definedName>
    <definedName name="Pump" localSheetId="11">Tabla16[[Pump ]]</definedName>
    <definedName name="Pump_Material" localSheetId="2">Tabla45[Pump_Material]</definedName>
    <definedName name="Pump_Material" localSheetId="5">Tabla45[Pump_Material]</definedName>
    <definedName name="Pump_Material" localSheetId="3">Tabla45[Pump_Material]</definedName>
    <definedName name="Pump_Material" localSheetId="8">Tabla45[Pump_Material]</definedName>
    <definedName name="Pump_Material" localSheetId="4">Tabla45[Pump_Material]</definedName>
    <definedName name="Pump_Material" localSheetId="6">Tabla45[Pump_Material]</definedName>
    <definedName name="Pump_Material" localSheetId="7">Tabla45[Pump_Material]</definedName>
    <definedName name="Pump_Material" localSheetId="9">Tabla45[Pump_Material]</definedName>
    <definedName name="Pump_Material" localSheetId="10">Tabla45[Pump_Material]</definedName>
    <definedName name="Pump_Material" localSheetId="12">Tabla45[Pump_Material]</definedName>
    <definedName name="Pump_Material" localSheetId="11">Tabla45[Pump_Material]</definedName>
    <definedName name="Reactor" localSheetId="2">Tabla17[[Reactor ]]</definedName>
    <definedName name="Reactor" localSheetId="5">Tabla17[[Reactor ]]</definedName>
    <definedName name="Reactor" localSheetId="3">Tabla17[[Reactor ]]</definedName>
    <definedName name="Reactor" localSheetId="8">Tabla17[[Reactor ]]</definedName>
    <definedName name="Reactor" localSheetId="4">Tabla17[[Reactor ]]</definedName>
    <definedName name="Reactor" localSheetId="6">Tabla17[[Reactor ]]</definedName>
    <definedName name="Reactor" localSheetId="7">Tabla17[[Reactor ]]</definedName>
    <definedName name="Reactor" localSheetId="9">Tabla17[[Reactor ]]</definedName>
    <definedName name="Reactor" localSheetId="10">Tabla17[[Reactor ]]</definedName>
    <definedName name="Reactor" localSheetId="12">Tabla17[[Reactor ]]</definedName>
    <definedName name="Reactor" localSheetId="11">Tabla17[[Reactor ]]</definedName>
    <definedName name="Reactor_Material" localSheetId="2">Tabla46[Reactor_Material]</definedName>
    <definedName name="Reactor_Material" localSheetId="5">Tabla46[Reactor_Material]</definedName>
    <definedName name="Reactor_Material" localSheetId="3">Tabla46[Reactor_Material]</definedName>
    <definedName name="Reactor_Material" localSheetId="8">Tabla46[Reactor_Material]</definedName>
    <definedName name="Reactor_Material" localSheetId="4">Tabla46[Reactor_Material]</definedName>
    <definedName name="Reactor_Material" localSheetId="6">Tabla46[Reactor_Material]</definedName>
    <definedName name="Reactor_Material" localSheetId="7">Tabla46[Reactor_Material]</definedName>
    <definedName name="Reactor_Material" localSheetId="9">Tabla46[Reactor_Material]</definedName>
    <definedName name="Reactor_Material" localSheetId="10">Tabla46[Reactor_Material]</definedName>
    <definedName name="Reactor_Material" localSheetId="12">Tabla46[Reactor_Material]</definedName>
    <definedName name="Reactor_Material" localSheetId="11">Tabla46[Reactor_Material]</definedName>
    <definedName name="Screen" localSheetId="2">Tabla18[[Screen ]]</definedName>
    <definedName name="Screen" localSheetId="5">Tabla18[[Screen ]]</definedName>
    <definedName name="Screen" localSheetId="3">Tabla18[[Screen ]]</definedName>
    <definedName name="Screen" localSheetId="8">Tabla18[[Screen ]]</definedName>
    <definedName name="Screen" localSheetId="4">Tabla18[[Screen ]]</definedName>
    <definedName name="Screen" localSheetId="6">Tabla18[[Screen ]]</definedName>
    <definedName name="Screen" localSheetId="7">Tabla18[[Screen ]]</definedName>
    <definedName name="Screen" localSheetId="9">Tabla18[[Screen ]]</definedName>
    <definedName name="Screen" localSheetId="10">Tabla18[[Screen ]]</definedName>
    <definedName name="Screen" localSheetId="12">Tabla18[[Screen ]]</definedName>
    <definedName name="Screen" localSheetId="11">Tabla18[[Screen ]]</definedName>
    <definedName name="Screen_Material" localSheetId="2">Tabla47[Screen_Material]</definedName>
    <definedName name="Screen_Material" localSheetId="5">Tabla47[Screen_Material]</definedName>
    <definedName name="Screen_Material" localSheetId="3">Tabla47[Screen_Material]</definedName>
    <definedName name="Screen_Material" localSheetId="8">Tabla47[Screen_Material]</definedName>
    <definedName name="Screen_Material" localSheetId="4">Tabla47[Screen_Material]</definedName>
    <definedName name="Screen_Material" localSheetId="6">Tabla47[Screen_Material]</definedName>
    <definedName name="Screen_Material" localSheetId="7">Tabla47[Screen_Material]</definedName>
    <definedName name="Screen_Material" localSheetId="9">Tabla47[Screen_Material]</definedName>
    <definedName name="Screen_Material" localSheetId="10">Tabla47[Screen_Material]</definedName>
    <definedName name="Screen_Material" localSheetId="12">Tabla47[Screen_Material]</definedName>
    <definedName name="Screen_Material" localSheetId="11">Tabla47[Screen_Material]</definedName>
    <definedName name="Tank" localSheetId="2">Tabla19[Tank]</definedName>
    <definedName name="Tank" localSheetId="5">Tabla19[Tank]</definedName>
    <definedName name="Tank" localSheetId="3">Tabla19[Tank]</definedName>
    <definedName name="Tank" localSheetId="8">Tabla19[Tank]</definedName>
    <definedName name="Tank" localSheetId="4">Tabla19[Tank]</definedName>
    <definedName name="Tank" localSheetId="6">Tabla19[Tank]</definedName>
    <definedName name="Tank" localSheetId="7">Tabla19[Tank]</definedName>
    <definedName name="Tank" localSheetId="9">Tabla19[Tank]</definedName>
    <definedName name="Tank" localSheetId="10">Tabla19[Tank]</definedName>
    <definedName name="Tank" localSheetId="12">Tabla19[Tank]</definedName>
    <definedName name="Tank" localSheetId="11">Tabla19[Tank]</definedName>
    <definedName name="Tank_Material" localSheetId="2">Tabla48[Tank_Material]</definedName>
    <definedName name="Tank_Material" localSheetId="5">Tabla48[Tank_Material]</definedName>
    <definedName name="Tank_Material" localSheetId="3">Tabla48[Tank_Material]</definedName>
    <definedName name="Tank_Material" localSheetId="8">Tabla48[Tank_Material]</definedName>
    <definedName name="Tank_Material" localSheetId="4">Tabla48[Tank_Material]</definedName>
    <definedName name="Tank_Material" localSheetId="6">Tabla48[Tank_Material]</definedName>
    <definedName name="Tank_Material" localSheetId="7">Tabla48[Tank_Material]</definedName>
    <definedName name="Tank_Material" localSheetId="9">Tabla48[Tank_Material]</definedName>
    <definedName name="Tank_Material" localSheetId="10">Tabla48[Tank_Material]</definedName>
    <definedName name="Tank_Material" localSheetId="12">Tabla48[Tank_Material]</definedName>
    <definedName name="Tank_Material" localSheetId="11">Tabla48[Tank_Material]</definedName>
    <definedName name="test" localSheetId="2">Tabla20[Turbine]</definedName>
    <definedName name="test" localSheetId="5">Tabla20[Turbine]</definedName>
    <definedName name="test" localSheetId="3">Tabla20[Turbine]</definedName>
    <definedName name="test" localSheetId="8">Tabla20[Turbine]</definedName>
    <definedName name="test" localSheetId="4">Tabla20[Turbine]</definedName>
    <definedName name="test" localSheetId="6">Tabla20[Turbine]</definedName>
    <definedName name="test" localSheetId="7">Tabla20[Turbine]</definedName>
    <definedName name="test" localSheetId="9">Tabla20[Turbine]</definedName>
    <definedName name="test" localSheetId="10">Tabla20[Turbine]</definedName>
    <definedName name="test" localSheetId="12">Tabla20[Turbine]</definedName>
    <definedName name="TowerPacking" localSheetId="2">Tabla24[Tower Packing]</definedName>
    <definedName name="TowerPacking" localSheetId="5">Tabla24[Tower Packing]</definedName>
    <definedName name="TowerPacking" localSheetId="3">Tabla24[Tower Packing]</definedName>
    <definedName name="TowerPacking" localSheetId="8">Tabla24[Tower Packing]</definedName>
    <definedName name="TowerPacking" localSheetId="4">Tabla24[Tower Packing]</definedName>
    <definedName name="TowerPacking" localSheetId="6">Tabla24[Tower Packing]</definedName>
    <definedName name="TowerPacking" localSheetId="7">Tabla24[Tower Packing]</definedName>
    <definedName name="TowerPacking" localSheetId="9">Tabla24[Tower Packing]</definedName>
    <definedName name="TowerPacking" localSheetId="10">Tabla24[Tower Packing]</definedName>
    <definedName name="TowerPacking" localSheetId="12">Tabla24[Tower Packing]</definedName>
    <definedName name="TowerPacking" localSheetId="11">Tabla24[Tower Packing]</definedName>
    <definedName name="TowerPacking_Material" localSheetId="2">Tabla53[TowerPacking_Material]</definedName>
    <definedName name="TowerPacking_Material" localSheetId="5">Tabla53[TowerPacking_Material]</definedName>
    <definedName name="TowerPacking_Material" localSheetId="3">Tabla53[TowerPacking_Material]</definedName>
    <definedName name="TowerPacking_Material" localSheetId="8">Tabla53[TowerPacking_Material]</definedName>
    <definedName name="TowerPacking_Material" localSheetId="4">Tabla53[TowerPacking_Material]</definedName>
    <definedName name="TowerPacking_Material" localSheetId="6">Tabla53[TowerPacking_Material]</definedName>
    <definedName name="TowerPacking_Material" localSheetId="7">Tabla53[TowerPacking_Material]</definedName>
    <definedName name="TowerPacking_Material" localSheetId="9">Tabla53[TowerPacking_Material]</definedName>
    <definedName name="TowerPacking_Material" localSheetId="10">Tabla53[TowerPacking_Material]</definedName>
    <definedName name="TowerPacking_Material" localSheetId="12">Tabla53[TowerPacking_Material]</definedName>
    <definedName name="TowerPacking_Material" localSheetId="11">Tabla53[TowerPacking_Material]</definedName>
    <definedName name="TowerTrays" localSheetId="2">Tabla23[Tower Trays]</definedName>
    <definedName name="TowerTrays" localSheetId="5">Tabla23[Tower Trays]</definedName>
    <definedName name="TowerTrays" localSheetId="3">Tabla23[Tower Trays]</definedName>
    <definedName name="TowerTrays" localSheetId="8">Tabla23[Tower Trays]</definedName>
    <definedName name="TowerTrays" localSheetId="4">Tabla23[Tower Trays]</definedName>
    <definedName name="TowerTrays" localSheetId="6">Tabla23[Tower Trays]</definedName>
    <definedName name="TowerTrays" localSheetId="7">Tabla23[Tower Trays]</definedName>
    <definedName name="TowerTrays" localSheetId="9">Tabla23[Tower Trays]</definedName>
    <definedName name="TowerTrays" localSheetId="10">Tabla23[Tower Trays]</definedName>
    <definedName name="TowerTrays" localSheetId="12">Tabla23[Tower Trays]</definedName>
    <definedName name="TowerTrays" localSheetId="11">Tabla23[Tower Trays]</definedName>
    <definedName name="TowerTrays_Material" localSheetId="2">Tabla52[TowerTrays_Material]</definedName>
    <definedName name="TowerTrays_Material" localSheetId="5">Tabla52[TowerTrays_Material]</definedName>
    <definedName name="TowerTrays_Material" localSheetId="3">Tabla52[TowerTrays_Material]</definedName>
    <definedName name="TowerTrays_Material" localSheetId="8">Tabla52[TowerTrays_Material]</definedName>
    <definedName name="TowerTrays_Material" localSheetId="4">Tabla52[TowerTrays_Material]</definedName>
    <definedName name="TowerTrays_Material" localSheetId="6">Tabla52[TowerTrays_Material]</definedName>
    <definedName name="TowerTrays_Material" localSheetId="7">Tabla52[TowerTrays_Material]</definedName>
    <definedName name="TowerTrays_Material" localSheetId="9">Tabla52[TowerTrays_Material]</definedName>
    <definedName name="TowerTrays_Material" localSheetId="10">Tabla52[TowerTrays_Material]</definedName>
    <definedName name="TowerTrays_Material" localSheetId="12">Tabla52[TowerTrays_Material]</definedName>
    <definedName name="TowerTrays_Material" localSheetId="11">Tabla52[TowerTrays_Material]</definedName>
    <definedName name="Turbine" localSheetId="2">Tabla20[Turbine]</definedName>
    <definedName name="Turbine" localSheetId="5">Tabla20[Turbine]</definedName>
    <definedName name="Turbine" localSheetId="3">Tabla20[Turbine]</definedName>
    <definedName name="Turbine" localSheetId="8">Tabla20[Turbine]</definedName>
    <definedName name="Turbine" localSheetId="4">Tabla20[Turbine]</definedName>
    <definedName name="Turbine" localSheetId="6">Tabla20[Turbine]</definedName>
    <definedName name="Turbine" localSheetId="7">Tabla20[Turbine]</definedName>
    <definedName name="Turbine" localSheetId="9">Tabla20[Turbine]</definedName>
    <definedName name="Turbine" localSheetId="10">Tabla20[Turbine]</definedName>
    <definedName name="Turbine" localSheetId="12">Tabla20[Turbine]</definedName>
    <definedName name="Turbine" localSheetId="11">Tabla20[Turbine]</definedName>
    <definedName name="Turbine_Material" localSheetId="2">Tabla49[Turbine_Material]</definedName>
    <definedName name="Turbine_Material" localSheetId="5">Tabla49[Turbine_Material]</definedName>
    <definedName name="Turbine_Material" localSheetId="3">Tabla49[Turbine_Material]</definedName>
    <definedName name="Turbine_Material" localSheetId="8">Tabla49[Turbine_Material]</definedName>
    <definedName name="Turbine_Material" localSheetId="4">Tabla49[Turbine_Material]</definedName>
    <definedName name="Turbine_Material" localSheetId="6">Tabla49[Turbine_Material]</definedName>
    <definedName name="Turbine_Material" localSheetId="7">Tabla49[Turbine_Material]</definedName>
    <definedName name="Turbine_Material" localSheetId="9">Tabla49[Turbine_Material]</definedName>
    <definedName name="Turbine_Material" localSheetId="10">Tabla49[Turbine_Material]</definedName>
    <definedName name="Turbine_Material" localSheetId="12">Tabla49[Turbine_Material]</definedName>
    <definedName name="Turbine_Material" localSheetId="11">Tabla49[Turbine_Material]</definedName>
    <definedName name="Vaporizer" localSheetId="2">Tabla21[Vaporizer]</definedName>
    <definedName name="Vaporizer" localSheetId="5">Tabla21[Vaporizer]</definedName>
    <definedName name="Vaporizer" localSheetId="3">Tabla21[Vaporizer]</definedName>
    <definedName name="Vaporizer" localSheetId="8">Tabla21[Vaporizer]</definedName>
    <definedName name="Vaporizer" localSheetId="4">Tabla21[Vaporizer]</definedName>
    <definedName name="Vaporizer" localSheetId="6">Tabla21[Vaporizer]</definedName>
    <definedName name="Vaporizer" localSheetId="7">Tabla21[Vaporizer]</definedName>
    <definedName name="Vaporizer" localSheetId="9">Tabla21[Vaporizer]</definedName>
    <definedName name="Vaporizer" localSheetId="10">Tabla21[Vaporizer]</definedName>
    <definedName name="Vaporizer" localSheetId="12">Tabla21[Vaporizer]</definedName>
    <definedName name="Vaporizer" localSheetId="11">Tabla21[Vaporizer]</definedName>
    <definedName name="Vaporizer_Material" localSheetId="2">Tabla50[Vaporizer_Material]</definedName>
    <definedName name="Vaporizer_Material" localSheetId="5">Tabla50[Vaporizer_Material]</definedName>
    <definedName name="Vaporizer_Material" localSheetId="3">Tabla50[Vaporizer_Material]</definedName>
    <definedName name="Vaporizer_Material" localSheetId="8">Tabla50[Vaporizer_Material]</definedName>
    <definedName name="Vaporizer_Material" localSheetId="4">Tabla50[Vaporizer_Material]</definedName>
    <definedName name="Vaporizer_Material" localSheetId="6">Tabla50[Vaporizer_Material]</definedName>
    <definedName name="Vaporizer_Material" localSheetId="7">Tabla50[Vaporizer_Material]</definedName>
    <definedName name="Vaporizer_Material" localSheetId="9">Tabla50[Vaporizer_Material]</definedName>
    <definedName name="Vaporizer_Material" localSheetId="10">Tabla50[Vaporizer_Material]</definedName>
    <definedName name="Vaporizer_Material" localSheetId="12">Tabla50[Vaporizer_Material]</definedName>
    <definedName name="Vaporizer_Material" localSheetId="11">Tabla50[Vaporizer_Material]</definedName>
    <definedName name="Vessel" localSheetId="2">Tabla22[Vessel]</definedName>
    <definedName name="Vessel" localSheetId="5">Tabla22[Vessel]</definedName>
    <definedName name="Vessel" localSheetId="3">Tabla22[Vessel]</definedName>
    <definedName name="Vessel" localSheetId="8">Tabla22[Vessel]</definedName>
    <definedName name="Vessel" localSheetId="4">Tabla22[Vessel]</definedName>
    <definedName name="Vessel" localSheetId="6">Tabla22[Vessel]</definedName>
    <definedName name="Vessel" localSheetId="7">Tabla22[Vessel]</definedName>
    <definedName name="Vessel" localSheetId="9">Tabla22[Vessel]</definedName>
    <definedName name="Vessel" localSheetId="10">Tabla22[Vessel]</definedName>
    <definedName name="Vessel" localSheetId="12">Tabla22[Vessel]</definedName>
    <definedName name="Vessel" localSheetId="11">Tabla22[Vessel]</definedName>
    <definedName name="Vessel_Material" localSheetId="2">Tabla51[Vessel_Material]</definedName>
    <definedName name="Vessel_Material" localSheetId="5">Tabla51[Vessel_Material]</definedName>
    <definedName name="Vessel_Material" localSheetId="3">Tabla51[Vessel_Material]</definedName>
    <definedName name="Vessel_Material" localSheetId="8">Tabla51[Vessel_Material]</definedName>
    <definedName name="Vessel_Material" localSheetId="4">Tabla51[Vessel_Material]</definedName>
    <definedName name="Vessel_Material" localSheetId="6">Tabla51[Vessel_Material]</definedName>
    <definedName name="Vessel_Material" localSheetId="7">Tabla51[Vessel_Material]</definedName>
    <definedName name="Vessel_Material" localSheetId="9">Tabla51[Vessel_Material]</definedName>
    <definedName name="Vessel_Material" localSheetId="10">Tabla51[Vessel_Material]</definedName>
    <definedName name="Vessel_Material" localSheetId="12">Tabla51[Vessel_Material]</definedName>
    <definedName name="Vessel_Material" localSheetId="11">Tabla51[Vessel_Material]</definedName>
    <definedName name="Year" localSheetId="15">Tabla80[Year]</definedName>
    <definedName name="Year" localSheetId="17">Tabla80[Year]</definedName>
    <definedName name="Year" localSheetId="1">Tabla80[Year]</definedName>
    <definedName name="Year" localSheetId="2">Tabla80[Year]</definedName>
    <definedName name="Year" localSheetId="5">Tabla80[Year]</definedName>
    <definedName name="Year" localSheetId="3">Tabla80[Year]</definedName>
    <definedName name="Year" localSheetId="8">Tabla80[Year]</definedName>
    <definedName name="Year" localSheetId="4">Tabla80[Year]</definedName>
    <definedName name="Year" localSheetId="6">Tabla80[Year]</definedName>
    <definedName name="Year" localSheetId="7">Tabla80[Year]</definedName>
    <definedName name="Year" localSheetId="9">Tabla80[Year]</definedName>
    <definedName name="Year" localSheetId="10">Tabla80[Year]</definedName>
    <definedName name="Year" localSheetId="12">Tabla80[Year]</definedName>
    <definedName name="Year" localSheetId="11">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2" i="81" l="1"/>
  <c r="D5" i="84" s="1"/>
  <c r="Q25" i="16"/>
  <c r="U25" i="16" s="1"/>
  <c r="M7" i="5"/>
  <c r="M9" i="5" s="1"/>
  <c r="M10" i="5" s="1"/>
  <c r="M11" i="5" s="1"/>
  <c r="M8" i="5"/>
  <c r="G20" i="16"/>
  <c r="D7" i="84"/>
  <c r="L7" i="5"/>
  <c r="L8" i="5"/>
  <c r="G19" i="16"/>
  <c r="O6" i="107"/>
  <c r="S17" i="16"/>
  <c r="O49" i="108"/>
  <c r="D48" i="84"/>
  <c r="L16" i="16"/>
  <c r="L17" i="16"/>
  <c r="E44" i="84"/>
  <c r="D44" i="84"/>
  <c r="M12" i="5" l="1"/>
  <c r="M13" i="5"/>
  <c r="M14" i="5" s="1"/>
  <c r="L9" i="5"/>
  <c r="L10" i="5" s="1"/>
  <c r="L11" i="5" s="1"/>
  <c r="L12" i="5" s="1"/>
  <c r="L13" i="5" s="1"/>
  <c r="L14" i="5" s="1"/>
  <c r="AC58" i="101"/>
  <c r="Q49" i="106"/>
  <c r="F15" i="106"/>
  <c r="F14" i="106"/>
  <c r="F13" i="106"/>
  <c r="AD58" i="99"/>
  <c r="AC58" i="99"/>
  <c r="F15" i="99"/>
  <c r="F14" i="99"/>
  <c r="F17" i="107" l="1"/>
  <c r="AC61" i="80"/>
  <c r="AD58" i="101"/>
  <c r="E39" i="81" l="1"/>
  <c r="E38" i="81"/>
  <c r="E41" i="81" l="1"/>
  <c r="G19" i="108"/>
  <c r="G20" i="108"/>
  <c r="G21" i="108"/>
  <c r="G22" i="108"/>
  <c r="G18" i="108"/>
  <c r="S61" i="108"/>
  <c r="R77" i="108"/>
  <c r="R13" i="108"/>
  <c r="R14" i="108" s="1"/>
  <c r="X45" i="108"/>
  <c r="S62" i="108" l="1"/>
  <c r="S64" i="108" s="1"/>
  <c r="S24" i="16"/>
  <c r="E42" i="81"/>
  <c r="E28" i="81"/>
  <c r="E33" i="81" s="1"/>
  <c r="Q48" i="106"/>
  <c r="Y61" i="104"/>
  <c r="X61" i="104"/>
  <c r="Y60" i="104"/>
  <c r="X60" i="104"/>
  <c r="AA21" i="16"/>
  <c r="Y21" i="16"/>
  <c r="R24" i="16"/>
  <c r="F16" i="104"/>
  <c r="P26" i="104"/>
  <c r="M26" i="104"/>
  <c r="Q26" i="104" s="1"/>
  <c r="J26" i="104"/>
  <c r="AD59" i="99"/>
  <c r="AC59" i="99"/>
  <c r="C16" i="99"/>
  <c r="O16" i="99"/>
  <c r="N16" i="99"/>
  <c r="AA46" i="99"/>
  <c r="AC46" i="99"/>
  <c r="F18" i="80"/>
  <c r="M18" i="80" s="1"/>
  <c r="R19" i="80"/>
  <c r="L16" i="80"/>
  <c r="N16" i="80" s="1"/>
  <c r="C14" i="80"/>
  <c r="C15" i="80"/>
  <c r="C16" i="80"/>
  <c r="C13" i="80"/>
  <c r="O19" i="80"/>
  <c r="P18" i="80"/>
  <c r="P17" i="80"/>
  <c r="M17" i="80"/>
  <c r="J17" i="80"/>
  <c r="O16" i="80"/>
  <c r="O15" i="80"/>
  <c r="N15" i="80"/>
  <c r="O14" i="80"/>
  <c r="N14" i="80"/>
  <c r="O13" i="80"/>
  <c r="N13" i="80"/>
  <c r="AA42" i="80"/>
  <c r="AC42" i="80"/>
  <c r="E7" i="107"/>
  <c r="H5" i="5" s="1"/>
  <c r="E6" i="107"/>
  <c r="H4" i="5" s="1"/>
  <c r="E7" i="80"/>
  <c r="F5" i="5" s="1"/>
  <c r="E6" i="80"/>
  <c r="F4" i="5" s="1"/>
  <c r="E7" i="108"/>
  <c r="E6" i="108"/>
  <c r="P13" i="80" l="1"/>
  <c r="Q17" i="80"/>
  <c r="Q18" i="80"/>
  <c r="I52" i="81"/>
  <c r="P16" i="80"/>
  <c r="AD46" i="99"/>
  <c r="F16" i="99" s="1"/>
  <c r="J16" i="99" s="1"/>
  <c r="P16" i="99"/>
  <c r="J18" i="80"/>
  <c r="P14" i="80"/>
  <c r="AF42" i="80"/>
  <c r="F16" i="80" s="1"/>
  <c r="M16" i="80" s="1"/>
  <c r="P15" i="80"/>
  <c r="M16" i="99" l="1"/>
  <c r="Q16" i="80"/>
  <c r="Q16" i="99"/>
  <c r="J16" i="80"/>
  <c r="L16" i="101"/>
  <c r="AE39" i="101"/>
  <c r="Y46" i="107"/>
  <c r="X46" i="107"/>
  <c r="Y45" i="107"/>
  <c r="X45" i="107"/>
  <c r="Y42" i="107"/>
  <c r="Y40" i="107"/>
  <c r="G18" i="103"/>
  <c r="R18" i="108" l="1"/>
  <c r="F17" i="108"/>
  <c r="J17" i="108" s="1"/>
  <c r="J15" i="108"/>
  <c r="P17" i="108"/>
  <c r="P16" i="108"/>
  <c r="M16" i="108"/>
  <c r="J16" i="108"/>
  <c r="O15" i="108"/>
  <c r="N15" i="108"/>
  <c r="M15" i="108"/>
  <c r="O22" i="108"/>
  <c r="N22" i="108"/>
  <c r="O21" i="108"/>
  <c r="N21" i="108"/>
  <c r="O20" i="108"/>
  <c r="N20" i="108"/>
  <c r="O19" i="108"/>
  <c r="N19" i="108"/>
  <c r="O18" i="108"/>
  <c r="N18" i="108"/>
  <c r="AE39" i="108"/>
  <c r="AE40" i="108"/>
  <c r="AE41" i="108"/>
  <c r="AE42" i="108"/>
  <c r="AE38" i="108"/>
  <c r="C19" i="108"/>
  <c r="C20" i="108"/>
  <c r="C21" i="108"/>
  <c r="C22" i="108"/>
  <c r="C18" i="108"/>
  <c r="AG39" i="108"/>
  <c r="AG40" i="108"/>
  <c r="AG41" i="108"/>
  <c r="AG42" i="108"/>
  <c r="AG38" i="108"/>
  <c r="X57" i="108"/>
  <c r="M17" i="108" l="1"/>
  <c r="Q17" i="108" s="1"/>
  <c r="S17" i="108" s="1"/>
  <c r="Q16" i="108"/>
  <c r="P18" i="108"/>
  <c r="AH42" i="108"/>
  <c r="F22" i="108" s="1"/>
  <c r="AH39" i="108"/>
  <c r="F19" i="108" s="1"/>
  <c r="AH40" i="108"/>
  <c r="F20" i="108" s="1"/>
  <c r="AH41" i="108"/>
  <c r="F21" i="108" s="1"/>
  <c r="M21" i="108" s="1"/>
  <c r="P19" i="108"/>
  <c r="P20" i="108"/>
  <c r="P22" i="108"/>
  <c r="P21" i="108"/>
  <c r="P15" i="108"/>
  <c r="Q15" i="108" s="1"/>
  <c r="S15" i="108" s="1"/>
  <c r="AH38" i="108"/>
  <c r="F18" i="108" s="1"/>
  <c r="S49" i="107" a="1"/>
  <c r="S49" i="107" s="1"/>
  <c r="S48" i="107" a="1"/>
  <c r="S48" i="107" s="1"/>
  <c r="S47" i="107" a="1"/>
  <c r="S47" i="107" s="1"/>
  <c r="S46" i="107" a="1"/>
  <c r="S46" i="107" s="1"/>
  <c r="H43" i="107"/>
  <c r="H42" i="107"/>
  <c r="H41" i="107"/>
  <c r="H40" i="107"/>
  <c r="H39" i="107"/>
  <c r="H38" i="107"/>
  <c r="H37" i="107"/>
  <c r="H36" i="107"/>
  <c r="H35" i="107"/>
  <c r="H34" i="107"/>
  <c r="H33" i="107"/>
  <c r="H32" i="107"/>
  <c r="H31" i="107"/>
  <c r="H30" i="107"/>
  <c r="H29" i="107"/>
  <c r="H28" i="107"/>
  <c r="H27" i="107"/>
  <c r="H26" i="107"/>
  <c r="H25" i="107"/>
  <c r="P24" i="107"/>
  <c r="P23" i="107"/>
  <c r="M23" i="107"/>
  <c r="J23" i="107"/>
  <c r="O22" i="107"/>
  <c r="N22" i="107"/>
  <c r="M22" i="107"/>
  <c r="J22" i="107"/>
  <c r="O21" i="107"/>
  <c r="O20" i="107"/>
  <c r="P19" i="107"/>
  <c r="P18" i="107"/>
  <c r="M18" i="107"/>
  <c r="J18" i="107"/>
  <c r="P17" i="107"/>
  <c r="M17" i="107"/>
  <c r="J17" i="107"/>
  <c r="O16" i="107"/>
  <c r="O15" i="107"/>
  <c r="O14" i="107"/>
  <c r="N14" i="107"/>
  <c r="O13" i="107"/>
  <c r="N13" i="107"/>
  <c r="O3" i="107"/>
  <c r="H43" i="108"/>
  <c r="H42" i="108"/>
  <c r="H41" i="108"/>
  <c r="H40" i="108"/>
  <c r="H39" i="108"/>
  <c r="H38" i="108"/>
  <c r="H37" i="108"/>
  <c r="H36" i="108"/>
  <c r="H35" i="108"/>
  <c r="H34" i="108"/>
  <c r="H33" i="108"/>
  <c r="H32" i="108"/>
  <c r="H31" i="108"/>
  <c r="H30" i="108"/>
  <c r="H29" i="108"/>
  <c r="H28" i="108"/>
  <c r="H27" i="108"/>
  <c r="H26" i="108"/>
  <c r="H25" i="108"/>
  <c r="H24" i="108"/>
  <c r="H23" i="108"/>
  <c r="O14" i="108"/>
  <c r="O13" i="108"/>
  <c r="O6" i="108"/>
  <c r="H59" i="108"/>
  <c r="H52" i="108"/>
  <c r="H53" i="108" s="1"/>
  <c r="F52" i="108"/>
  <c r="F53" i="108" s="1"/>
  <c r="O48" i="108"/>
  <c r="O47" i="108"/>
  <c r="O46" i="108"/>
  <c r="S43" i="108"/>
  <c r="Y56" i="108"/>
  <c r="S42" i="108"/>
  <c r="S41" i="108"/>
  <c r="X47" i="108"/>
  <c r="S40" i="108"/>
  <c r="S39" i="108"/>
  <c r="S38" i="108"/>
  <c r="S37" i="108"/>
  <c r="S36" i="108"/>
  <c r="S35" i="108"/>
  <c r="S34" i="108"/>
  <c r="S33" i="108"/>
  <c r="S32" i="108"/>
  <c r="S31" i="108"/>
  <c r="S30" i="108"/>
  <c r="S29" i="108"/>
  <c r="S28" i="108"/>
  <c r="S27" i="108"/>
  <c r="S26" i="108"/>
  <c r="S25" i="108"/>
  <c r="S24" i="108"/>
  <c r="S23" i="108"/>
  <c r="S16" i="108"/>
  <c r="G14" i="108"/>
  <c r="H50" i="107"/>
  <c r="H51" i="107" s="1"/>
  <c r="F50" i="107"/>
  <c r="F51" i="107" s="1"/>
  <c r="R49" i="107"/>
  <c r="R48" i="107"/>
  <c r="R47" i="107"/>
  <c r="AE46" i="107"/>
  <c r="AC46" i="107"/>
  <c r="W46" i="107"/>
  <c r="R46" i="107"/>
  <c r="AE45" i="107"/>
  <c r="AC45" i="107"/>
  <c r="W45" i="107"/>
  <c r="S43" i="107"/>
  <c r="AC42" i="107"/>
  <c r="AA42" i="107"/>
  <c r="W42" i="107"/>
  <c r="S42" i="107"/>
  <c r="AC41" i="107"/>
  <c r="AA41" i="107"/>
  <c r="W41" i="107"/>
  <c r="S41" i="107"/>
  <c r="AB40" i="107"/>
  <c r="AC40" i="107" s="1"/>
  <c r="AA40" i="107"/>
  <c r="W40" i="107"/>
  <c r="S40" i="107"/>
  <c r="AC39" i="107"/>
  <c r="AA39" i="107"/>
  <c r="W39" i="107"/>
  <c r="S39" i="107"/>
  <c r="S38" i="107"/>
  <c r="S37" i="107"/>
  <c r="S36" i="107"/>
  <c r="S35" i="107"/>
  <c r="W34" i="107"/>
  <c r="S34" i="107"/>
  <c r="S33" i="107"/>
  <c r="S32" i="107"/>
  <c r="S31" i="107"/>
  <c r="S30" i="107"/>
  <c r="S29" i="107"/>
  <c r="S28" i="107"/>
  <c r="S27" i="107"/>
  <c r="S26" i="107"/>
  <c r="S25" i="107"/>
  <c r="F24" i="107"/>
  <c r="J24" i="107" s="1"/>
  <c r="G21" i="107"/>
  <c r="N21" i="107" s="1"/>
  <c r="G20" i="107"/>
  <c r="N20" i="107" s="1"/>
  <c r="F19" i="107"/>
  <c r="M19" i="107" s="1"/>
  <c r="G16" i="107"/>
  <c r="G15" i="107"/>
  <c r="H57" i="107"/>
  <c r="Q21" i="108" l="1"/>
  <c r="S21" i="108" s="1"/>
  <c r="P22" i="107"/>
  <c r="Q22" i="107" s="1"/>
  <c r="S22" i="107" s="1"/>
  <c r="Q17" i="107"/>
  <c r="S17" i="107" s="1"/>
  <c r="L13" i="108"/>
  <c r="L14" i="108" s="1"/>
  <c r="F13" i="108"/>
  <c r="Q46" i="108" s="1"/>
  <c r="F14" i="108" s="1"/>
  <c r="Q47" i="108"/>
  <c r="P14" i="107"/>
  <c r="Q23" i="107"/>
  <c r="S23" i="107" s="1"/>
  <c r="P21" i="107"/>
  <c r="P20" i="107"/>
  <c r="Q19" i="107"/>
  <c r="S19" i="107" s="1"/>
  <c r="AD42" i="107"/>
  <c r="F21" i="107" s="1"/>
  <c r="M21" i="107" s="1"/>
  <c r="AD39" i="107"/>
  <c r="F13" i="107" s="1"/>
  <c r="J13" i="107" s="1"/>
  <c r="AD41" i="107"/>
  <c r="F20" i="107" s="1"/>
  <c r="M20" i="107" s="1"/>
  <c r="Q18" i="107"/>
  <c r="S18" i="107" s="1"/>
  <c r="M20" i="108"/>
  <c r="Q20" i="108" s="1"/>
  <c r="S20" i="108" s="1"/>
  <c r="J20" i="108"/>
  <c r="J19" i="108"/>
  <c r="M19" i="108"/>
  <c r="Q19" i="108" s="1"/>
  <c r="S19" i="108" s="1"/>
  <c r="P13" i="107"/>
  <c r="J21" i="108"/>
  <c r="AD40" i="107"/>
  <c r="F14" i="107" s="1"/>
  <c r="M24" i="107"/>
  <c r="Q24" i="107" s="1"/>
  <c r="S24" i="107" s="1"/>
  <c r="J22" i="108"/>
  <c r="M22" i="108"/>
  <c r="Q22" i="108" s="1"/>
  <c r="S22" i="108" s="1"/>
  <c r="M18" i="108"/>
  <c r="Q18" i="108" s="1"/>
  <c r="S18" i="108" s="1"/>
  <c r="J18" i="108"/>
  <c r="J19" i="107"/>
  <c r="W34" i="108"/>
  <c r="O3" i="108"/>
  <c r="W3" i="108"/>
  <c r="B59" i="108"/>
  <c r="S54" i="107"/>
  <c r="AD46" i="107"/>
  <c r="F16" i="107" s="1"/>
  <c r="AB46" i="107"/>
  <c r="L16" i="107" s="1"/>
  <c r="N16" i="107" s="1"/>
  <c r="P16" i="107" s="1"/>
  <c r="AD45" i="107"/>
  <c r="F15" i="107" s="1"/>
  <c r="AB45" i="107"/>
  <c r="L15" i="107" s="1"/>
  <c r="N15" i="107" s="1"/>
  <c r="P15" i="107" s="1"/>
  <c r="W3" i="107"/>
  <c r="B57" i="107"/>
  <c r="J20" i="107" l="1"/>
  <c r="Q21" i="107"/>
  <c r="S21" i="107" s="1"/>
  <c r="J21" i="107"/>
  <c r="Q20" i="107"/>
  <c r="S20" i="107" s="1"/>
  <c r="M13" i="107"/>
  <c r="Q13" i="107" s="1"/>
  <c r="S13" i="107" s="1"/>
  <c r="R50" i="107" s="1"/>
  <c r="J14" i="107"/>
  <c r="M14" i="107"/>
  <c r="Q14" i="107" s="1"/>
  <c r="S14" i="107" s="1"/>
  <c r="R51" i="107" s="1"/>
  <c r="Q49" i="108"/>
  <c r="Q48" i="108"/>
  <c r="Q24" i="16" s="1"/>
  <c r="U24" i="16" s="1"/>
  <c r="N13" i="108"/>
  <c r="P13" i="108" s="1"/>
  <c r="N14" i="108"/>
  <c r="P14" i="108" s="1"/>
  <c r="M16" i="107"/>
  <c r="Q16" i="107" s="1"/>
  <c r="S16" i="107" s="1"/>
  <c r="J16" i="107"/>
  <c r="J15" i="107"/>
  <c r="M15" i="107"/>
  <c r="Q15" i="107" s="1"/>
  <c r="S15" i="107" s="1"/>
  <c r="M13" i="108"/>
  <c r="J13" i="108"/>
  <c r="R46" i="108"/>
  <c r="R47" i="108"/>
  <c r="Q13" i="108" l="1"/>
  <c r="S13" i="108"/>
  <c r="R53" i="107"/>
  <c r="R48" i="108"/>
  <c r="R49" i="108"/>
  <c r="R52" i="108" l="1"/>
  <c r="M14" i="108"/>
  <c r="J14" i="108"/>
  <c r="Q14" i="108" l="1"/>
  <c r="S14" i="108" s="1"/>
  <c r="R53" i="108" s="1"/>
  <c r="Z42" i="84"/>
  <c r="D15" i="84"/>
  <c r="D21" i="84"/>
  <c r="S16" i="16"/>
  <c r="E45" i="84"/>
  <c r="C43" i="84" s="1"/>
  <c r="C44" i="84" s="1"/>
  <c r="C45" i="84" s="1"/>
  <c r="C46" i="84" s="1"/>
  <c r="C47" i="84" s="1"/>
  <c r="C48" i="84" s="1"/>
  <c r="E43" i="84"/>
  <c r="D47" i="84"/>
  <c r="X42" i="84" s="1"/>
  <c r="D46" i="84"/>
  <c r="V42" i="84" s="1"/>
  <c r="D45" i="84"/>
  <c r="T42" i="84" s="1"/>
  <c r="B43" i="84"/>
  <c r="B44" i="84" s="1"/>
  <c r="B45" i="84" s="1"/>
  <c r="B46" i="84" s="1"/>
  <c r="B47" i="84" s="1"/>
  <c r="B48" i="84" s="1"/>
  <c r="Q16" i="105"/>
  <c r="Q15" i="105"/>
  <c r="Q14" i="105"/>
  <c r="Q17" i="105" s="1"/>
  <c r="F16" i="106"/>
  <c r="X62" i="99"/>
  <c r="Y58" i="80"/>
  <c r="X58" i="80"/>
  <c r="R48" i="80"/>
  <c r="O47" i="80"/>
  <c r="F26" i="102"/>
  <c r="AI48" i="102"/>
  <c r="R27" i="102"/>
  <c r="R17" i="102"/>
  <c r="R18" i="102" s="1"/>
  <c r="R19" i="102" s="1"/>
  <c r="R14" i="102"/>
  <c r="R13" i="102"/>
  <c r="G23" i="101"/>
  <c r="C23" i="101"/>
  <c r="R24" i="101"/>
  <c r="F24" i="101"/>
  <c r="M24" i="101" s="1"/>
  <c r="Q47" i="101"/>
  <c r="G25" i="101"/>
  <c r="C25" i="101"/>
  <c r="C24" i="101"/>
  <c r="AG40" i="101"/>
  <c r="AD40" i="101"/>
  <c r="F27" i="100"/>
  <c r="J27" i="100" s="1"/>
  <c r="L14" i="100"/>
  <c r="P27" i="100"/>
  <c r="P26" i="100"/>
  <c r="M26" i="100"/>
  <c r="J26" i="100"/>
  <c r="P25" i="100"/>
  <c r="M25" i="100"/>
  <c r="Q25" i="100" s="1"/>
  <c r="J25" i="100"/>
  <c r="O25" i="101"/>
  <c r="O24" i="101"/>
  <c r="C14" i="101"/>
  <c r="C15" i="101"/>
  <c r="C16" i="101"/>
  <c r="C13" i="101"/>
  <c r="R18" i="101"/>
  <c r="F18" i="101"/>
  <c r="Q46" i="101" s="1"/>
  <c r="M27" i="100" l="1"/>
  <c r="Q27" i="100" s="1"/>
  <c r="R55" i="108"/>
  <c r="Q26" i="100"/>
  <c r="E48" i="84"/>
  <c r="J24" i="101"/>
  <c r="O23" i="101" l="1"/>
  <c r="N23" i="101"/>
  <c r="AF43" i="101"/>
  <c r="AH43" i="101"/>
  <c r="J47" i="101"/>
  <c r="J49" i="101"/>
  <c r="I49" i="101"/>
  <c r="I47" i="101"/>
  <c r="D49" i="101"/>
  <c r="D47" i="101"/>
  <c r="Y49" i="101"/>
  <c r="L22" i="100"/>
  <c r="L23" i="100" s="1"/>
  <c r="L24" i="100" s="1"/>
  <c r="G17" i="100"/>
  <c r="G18" i="100"/>
  <c r="G19" i="100"/>
  <c r="G20" i="100"/>
  <c r="G21" i="100"/>
  <c r="G22" i="100"/>
  <c r="G23" i="100"/>
  <c r="G24" i="100"/>
  <c r="G16" i="100"/>
  <c r="C24" i="100"/>
  <c r="O24" i="100"/>
  <c r="AA47" i="100"/>
  <c r="AC47" i="100"/>
  <c r="Y42" i="100"/>
  <c r="J50" i="100"/>
  <c r="K50" i="100"/>
  <c r="I50" i="100"/>
  <c r="E47" i="100"/>
  <c r="E7" i="106"/>
  <c r="K5" i="5" s="1"/>
  <c r="E6" i="106"/>
  <c r="K4" i="5" s="1"/>
  <c r="E7" i="105"/>
  <c r="E6" i="105"/>
  <c r="E7" i="104"/>
  <c r="J5" i="5" s="1"/>
  <c r="E6" i="104"/>
  <c r="J4" i="5" s="1"/>
  <c r="E7" i="99"/>
  <c r="I5" i="5" s="1"/>
  <c r="E6" i="99"/>
  <c r="I4" i="5" s="1"/>
  <c r="E35" i="5"/>
  <c r="E34" i="5"/>
  <c r="O35" i="99"/>
  <c r="O34" i="99"/>
  <c r="L29" i="99"/>
  <c r="C33" i="99"/>
  <c r="C32" i="99"/>
  <c r="G32" i="99"/>
  <c r="G33" i="99" s="1"/>
  <c r="O32" i="99"/>
  <c r="O33" i="99"/>
  <c r="Y63" i="99"/>
  <c r="Z63" i="99"/>
  <c r="X63" i="99"/>
  <c r="X61" i="99" s="1"/>
  <c r="Y62" i="99"/>
  <c r="L30" i="99" s="1"/>
  <c r="Z62" i="99"/>
  <c r="L31" i="99" s="1"/>
  <c r="N24" i="100" l="1"/>
  <c r="P24" i="100" s="1"/>
  <c r="Q49" i="101"/>
  <c r="L24" i="101"/>
  <c r="AI43" i="101"/>
  <c r="F23" i="101" s="1"/>
  <c r="P23" i="101"/>
  <c r="AD47" i="100"/>
  <c r="F24" i="100" s="1"/>
  <c r="Z61" i="99"/>
  <c r="F31" i="99" s="1"/>
  <c r="Y61" i="99"/>
  <c r="F30" i="99" s="1"/>
  <c r="C14" i="83"/>
  <c r="I13" i="83"/>
  <c r="I14" i="83" s="1"/>
  <c r="H13" i="83"/>
  <c r="H14" i="83" s="1"/>
  <c r="M12" i="83"/>
  <c r="D17" i="105"/>
  <c r="O17" i="106"/>
  <c r="P17" i="106" s="1"/>
  <c r="J16" i="106"/>
  <c r="P16" i="106"/>
  <c r="P15" i="106"/>
  <c r="M15" i="106"/>
  <c r="J15" i="106"/>
  <c r="P14" i="106"/>
  <c r="M14" i="106"/>
  <c r="J14" i="106"/>
  <c r="P13" i="106"/>
  <c r="M13" i="106"/>
  <c r="J13" i="106"/>
  <c r="S50" i="106" a="1"/>
  <c r="S50" i="106" s="1"/>
  <c r="T50" i="106" s="1"/>
  <c r="R50" i="106"/>
  <c r="R49" i="106"/>
  <c r="R48" i="106"/>
  <c r="R46" i="106"/>
  <c r="S43" i="106"/>
  <c r="H43" i="106"/>
  <c r="S42" i="106"/>
  <c r="H42" i="106"/>
  <c r="S41" i="106"/>
  <c r="H41" i="106"/>
  <c r="S40" i="106"/>
  <c r="H40" i="106"/>
  <c r="S39" i="106"/>
  <c r="H39" i="106"/>
  <c r="AC38" i="106"/>
  <c r="AA38" i="106"/>
  <c r="S38" i="106"/>
  <c r="H38" i="106"/>
  <c r="S37" i="106"/>
  <c r="H37" i="106"/>
  <c r="S36" i="106"/>
  <c r="H36" i="106"/>
  <c r="S35" i="106"/>
  <c r="H35" i="106"/>
  <c r="S34" i="106"/>
  <c r="H34" i="106"/>
  <c r="S33" i="106"/>
  <c r="H33" i="106"/>
  <c r="S32" i="106"/>
  <c r="H32" i="106"/>
  <c r="S31" i="106"/>
  <c r="H31" i="106"/>
  <c r="S30" i="106"/>
  <c r="H30" i="106"/>
  <c r="S29" i="106"/>
  <c r="H29" i="106"/>
  <c r="S28" i="106"/>
  <c r="H28" i="106"/>
  <c r="S27" i="106"/>
  <c r="H27" i="106"/>
  <c r="S26" i="106"/>
  <c r="H26" i="106"/>
  <c r="S24" i="106"/>
  <c r="S23" i="106"/>
  <c r="S22" i="106"/>
  <c r="H56" i="106"/>
  <c r="O19" i="5"/>
  <c r="C17" i="16"/>
  <c r="C18" i="16" s="1"/>
  <c r="D18" i="16"/>
  <c r="G16" i="16"/>
  <c r="T23" i="16"/>
  <c r="T22" i="16"/>
  <c r="N24" i="101" l="1"/>
  <c r="P24" i="101" s="1"/>
  <c r="Q24" i="101" s="1"/>
  <c r="L25" i="101"/>
  <c r="N25" i="101" s="1"/>
  <c r="P25" i="101" s="1"/>
  <c r="F25" i="101"/>
  <c r="M23" i="101"/>
  <c r="Q23" i="101" s="1"/>
  <c r="J23" i="101"/>
  <c r="J24" i="100"/>
  <c r="M24" i="100"/>
  <c r="Q24" i="100" s="1"/>
  <c r="AD38" i="106"/>
  <c r="F17" i="106" s="1"/>
  <c r="J17" i="106" s="1"/>
  <c r="X72" i="99"/>
  <c r="Q49" i="99" s="1"/>
  <c r="F29" i="99"/>
  <c r="Q15" i="106"/>
  <c r="S15" i="106" s="1"/>
  <c r="Q13" i="106"/>
  <c r="S13" i="106" s="1"/>
  <c r="Q14" i="106"/>
  <c r="S14" i="106" s="1"/>
  <c r="M16" i="106"/>
  <c r="Q16" i="106" s="1"/>
  <c r="S16" i="106" s="1"/>
  <c r="W3" i="106"/>
  <c r="W34" i="106"/>
  <c r="S19" i="106"/>
  <c r="S20" i="106"/>
  <c r="S21" i="106"/>
  <c r="S18" i="106"/>
  <c r="B56" i="106"/>
  <c r="O3" i="106"/>
  <c r="T17" i="16"/>
  <c r="R16" i="16"/>
  <c r="Z17" i="16"/>
  <c r="Z16" i="16"/>
  <c r="F44" i="81"/>
  <c r="F38" i="81"/>
  <c r="F39" i="81" s="1"/>
  <c r="G18" i="16"/>
  <c r="R47" i="106"/>
  <c r="F41" i="81" l="1"/>
  <c r="F40" i="81"/>
  <c r="M25" i="101"/>
  <c r="Q25" i="101" s="1"/>
  <c r="J25" i="101"/>
  <c r="Z15" i="16"/>
  <c r="M17" i="106"/>
  <c r="Q17" i="106" s="1"/>
  <c r="S17" i="106" s="1"/>
  <c r="G19" i="104"/>
  <c r="M16" i="104"/>
  <c r="G18" i="104"/>
  <c r="G17" i="104"/>
  <c r="P16" i="104"/>
  <c r="C23" i="104"/>
  <c r="O23" i="104"/>
  <c r="N23" i="104"/>
  <c r="O22" i="104"/>
  <c r="N22" i="104"/>
  <c r="O21" i="104"/>
  <c r="N21" i="104"/>
  <c r="O20" i="104"/>
  <c r="N20" i="104"/>
  <c r="O19" i="104"/>
  <c r="O18" i="104"/>
  <c r="O17" i="104"/>
  <c r="P15" i="104"/>
  <c r="M15" i="104"/>
  <c r="J15" i="104"/>
  <c r="P14" i="104"/>
  <c r="M14" i="104"/>
  <c r="J14" i="104"/>
  <c r="P13" i="104"/>
  <c r="M13" i="104"/>
  <c r="J13" i="104"/>
  <c r="AE61" i="104"/>
  <c r="AC61" i="104"/>
  <c r="AB61" i="104" s="1"/>
  <c r="L19" i="104" s="1"/>
  <c r="AE60" i="104"/>
  <c r="AC60" i="104"/>
  <c r="AD60" i="104" s="1"/>
  <c r="Y59" i="104"/>
  <c r="AE59" i="104" s="1"/>
  <c r="X59" i="104"/>
  <c r="AC59" i="104" s="1"/>
  <c r="AB59" i="104" s="1"/>
  <c r="L17" i="104" s="1"/>
  <c r="AB39" i="104"/>
  <c r="AC39" i="104" s="1"/>
  <c r="AA41" i="104"/>
  <c r="AC41" i="104"/>
  <c r="AC38" i="104"/>
  <c r="O31" i="99"/>
  <c r="AJ59" i="99"/>
  <c r="AH59" i="99"/>
  <c r="AJ58" i="99"/>
  <c r="AH58" i="99"/>
  <c r="K47" i="105"/>
  <c r="K41" i="105"/>
  <c r="R34" i="105"/>
  <c r="S34" i="105" s="1" a="1"/>
  <c r="S34" i="105" s="1"/>
  <c r="R33" i="105"/>
  <c r="S33" i="105" s="1" a="1"/>
  <c r="S33" i="105" s="1"/>
  <c r="R32" i="105"/>
  <c r="S32" i="105" s="1" a="1"/>
  <c r="S32" i="105" s="1"/>
  <c r="R31" i="105"/>
  <c r="S31" i="105" s="1" a="1"/>
  <c r="S31" i="105" s="1"/>
  <c r="R30" i="105"/>
  <c r="S30" i="105" s="1" a="1"/>
  <c r="S30" i="105" s="1"/>
  <c r="R29" i="105"/>
  <c r="S29" i="105" s="1" a="1"/>
  <c r="S29" i="105" s="1"/>
  <c r="R28" i="105"/>
  <c r="S28" i="105" s="1" a="1"/>
  <c r="S28" i="105" s="1"/>
  <c r="R27" i="105"/>
  <c r="S27" i="105" s="1" a="1"/>
  <c r="S27" i="105" s="1"/>
  <c r="R26" i="105"/>
  <c r="S26" i="105" s="1" a="1"/>
  <c r="S26" i="105" s="1"/>
  <c r="R25" i="105"/>
  <c r="S25" i="105" s="1" a="1"/>
  <c r="S25" i="105" s="1"/>
  <c r="R24" i="105"/>
  <c r="S24" i="105" s="1" a="1"/>
  <c r="S24" i="105" s="1"/>
  <c r="R23" i="105"/>
  <c r="S23" i="105" s="1" a="1"/>
  <c r="S23" i="105" s="1"/>
  <c r="R22" i="105"/>
  <c r="S22" i="105" s="1" a="1"/>
  <c r="S22" i="105" s="1"/>
  <c r="R21" i="105"/>
  <c r="S21" i="105" s="1" a="1"/>
  <c r="S21" i="105" s="1"/>
  <c r="R20" i="105"/>
  <c r="S20" i="105" s="1" a="1"/>
  <c r="S20" i="105" s="1"/>
  <c r="R19" i="105"/>
  <c r="S19" i="105" s="1" a="1"/>
  <c r="S19" i="105" s="1"/>
  <c r="R18" i="105"/>
  <c r="S18" i="105" s="1" a="1"/>
  <c r="S18" i="105" s="1"/>
  <c r="R16" i="105"/>
  <c r="R15" i="105"/>
  <c r="R14" i="105"/>
  <c r="R13" i="105"/>
  <c r="G39" i="105"/>
  <c r="W3" i="105"/>
  <c r="O3" i="105"/>
  <c r="O49" i="99"/>
  <c r="N30" i="99"/>
  <c r="L28" i="99"/>
  <c r="N28" i="99" s="1"/>
  <c r="L27" i="99"/>
  <c r="N27" i="99" s="1"/>
  <c r="L26" i="99"/>
  <c r="N26" i="99" s="1"/>
  <c r="F28" i="99"/>
  <c r="J28" i="99" s="1"/>
  <c r="F27" i="99"/>
  <c r="J27" i="99" s="1"/>
  <c r="F26" i="99"/>
  <c r="J26" i="99" s="1"/>
  <c r="Q48" i="99"/>
  <c r="Q47" i="99"/>
  <c r="Q46" i="99"/>
  <c r="O46" i="99"/>
  <c r="N17" i="99"/>
  <c r="G18" i="99"/>
  <c r="N18" i="99" s="1"/>
  <c r="G19" i="99"/>
  <c r="N19" i="99" s="1"/>
  <c r="G20" i="99"/>
  <c r="N20" i="99" s="1"/>
  <c r="G21" i="99"/>
  <c r="N21" i="99" s="1"/>
  <c r="G22" i="99"/>
  <c r="N22" i="99" s="1"/>
  <c r="G23" i="99"/>
  <c r="G24" i="99" s="1"/>
  <c r="N24" i="99" s="1"/>
  <c r="Z45" i="99"/>
  <c r="AA45" i="99" s="1"/>
  <c r="AC41" i="99"/>
  <c r="AC42" i="99"/>
  <c r="AC43" i="99"/>
  <c r="AC44" i="99"/>
  <c r="AC45" i="99"/>
  <c r="AA41" i="99"/>
  <c r="AA42" i="99"/>
  <c r="AA43" i="99"/>
  <c r="AA44" i="99"/>
  <c r="W40" i="99"/>
  <c r="W41" i="99"/>
  <c r="W42" i="99"/>
  <c r="W43" i="99"/>
  <c r="W44" i="99"/>
  <c r="W45" i="99"/>
  <c r="AC40" i="99"/>
  <c r="AA40" i="99"/>
  <c r="AC39" i="99"/>
  <c r="AA39" i="99"/>
  <c r="AC38" i="99"/>
  <c r="AA38" i="99"/>
  <c r="O30" i="99"/>
  <c r="O29" i="99"/>
  <c r="O28" i="99"/>
  <c r="O27" i="99"/>
  <c r="O26" i="99"/>
  <c r="F25" i="99"/>
  <c r="J25" i="99" s="1"/>
  <c r="P25" i="99"/>
  <c r="O24" i="99"/>
  <c r="O23" i="99"/>
  <c r="O22" i="99"/>
  <c r="O21" i="99"/>
  <c r="O20" i="99"/>
  <c r="O19" i="99"/>
  <c r="O18" i="99"/>
  <c r="O17" i="99"/>
  <c r="P15" i="99"/>
  <c r="M15" i="99"/>
  <c r="J15" i="99"/>
  <c r="P14" i="99"/>
  <c r="M14" i="99"/>
  <c r="J14" i="99"/>
  <c r="P21" i="104" l="1"/>
  <c r="Q21" i="16"/>
  <c r="F18" i="104"/>
  <c r="J18" i="104" s="1"/>
  <c r="N19" i="104"/>
  <c r="P19" i="104" s="1"/>
  <c r="N17" i="104"/>
  <c r="P17" i="104" s="1"/>
  <c r="N23" i="99"/>
  <c r="P23" i="99" s="1"/>
  <c r="P30" i="99"/>
  <c r="M26" i="99"/>
  <c r="M27" i="99"/>
  <c r="O47" i="99"/>
  <c r="O48" i="99" s="1"/>
  <c r="S21" i="16"/>
  <c r="Q16" i="104"/>
  <c r="Q13" i="104"/>
  <c r="M28" i="99"/>
  <c r="J30" i="99"/>
  <c r="N29" i="99"/>
  <c r="P29" i="99" s="1"/>
  <c r="AB40" i="104"/>
  <c r="AC40" i="104" s="1"/>
  <c r="P22" i="104"/>
  <c r="J16" i="104"/>
  <c r="Q14" i="104"/>
  <c r="Q15" i="104"/>
  <c r="P23" i="104"/>
  <c r="P20" i="104"/>
  <c r="AD61" i="104"/>
  <c r="F19" i="104" s="1"/>
  <c r="AB60" i="104"/>
  <c r="L18" i="104" s="1"/>
  <c r="N18" i="104" s="1"/>
  <c r="P18" i="104" s="1"/>
  <c r="AD59" i="104"/>
  <c r="F17" i="104" s="1"/>
  <c r="AD41" i="104"/>
  <c r="F23" i="104" s="1"/>
  <c r="Z40" i="104"/>
  <c r="AG59" i="99"/>
  <c r="L33" i="99" s="1"/>
  <c r="AI59" i="99"/>
  <c r="F33" i="99" s="1"/>
  <c r="AI58" i="99"/>
  <c r="F32" i="99" s="1"/>
  <c r="AG58" i="99"/>
  <c r="B39" i="105"/>
  <c r="P28" i="99"/>
  <c r="P26" i="99"/>
  <c r="Q15" i="99"/>
  <c r="Q14" i="99"/>
  <c r="P24" i="99"/>
  <c r="P22" i="99"/>
  <c r="P21" i="99"/>
  <c r="P20" i="99"/>
  <c r="P19" i="99"/>
  <c r="P18" i="99"/>
  <c r="P17" i="99"/>
  <c r="AD44" i="99"/>
  <c r="F23" i="99" s="1"/>
  <c r="AD43" i="99"/>
  <c r="F22" i="99" s="1"/>
  <c r="AD45" i="99"/>
  <c r="F24" i="99" s="1"/>
  <c r="AD39" i="99"/>
  <c r="F18" i="99" s="1"/>
  <c r="M18" i="99" s="1"/>
  <c r="AD40" i="99"/>
  <c r="F19" i="99" s="1"/>
  <c r="M19" i="99" s="1"/>
  <c r="AD42" i="99"/>
  <c r="F21" i="99" s="1"/>
  <c r="AD41" i="99"/>
  <c r="F20" i="99" s="1"/>
  <c r="M25" i="99"/>
  <c r="Q25" i="99" s="1"/>
  <c r="P27" i="99"/>
  <c r="AD38" i="99"/>
  <c r="F17" i="99" s="1"/>
  <c r="M18" i="104" l="1"/>
  <c r="L35" i="99"/>
  <c r="N35" i="99" s="1"/>
  <c r="P35" i="99" s="1"/>
  <c r="N33" i="99"/>
  <c r="P33" i="99" s="1"/>
  <c r="Q27" i="99"/>
  <c r="S27" i="99" s="1"/>
  <c r="M32" i="99"/>
  <c r="F34" i="99"/>
  <c r="J32" i="99"/>
  <c r="N31" i="99"/>
  <c r="P31" i="99" s="1"/>
  <c r="L32" i="99"/>
  <c r="J33" i="99"/>
  <c r="F35" i="99"/>
  <c r="M33" i="99"/>
  <c r="U21" i="16"/>
  <c r="M30" i="99"/>
  <c r="Q30" i="99" s="1"/>
  <c r="Q18" i="104"/>
  <c r="Q28" i="99"/>
  <c r="S28" i="99" s="1"/>
  <c r="Q26" i="99"/>
  <c r="S26" i="99" s="1"/>
  <c r="J18" i="99"/>
  <c r="S25" i="106"/>
  <c r="R52" i="106" s="1"/>
  <c r="J19" i="99"/>
  <c r="J19" i="104"/>
  <c r="M19" i="104"/>
  <c r="Q19" i="104" s="1"/>
  <c r="J20" i="99"/>
  <c r="M20" i="99"/>
  <c r="Q20" i="99" s="1"/>
  <c r="M23" i="99"/>
  <c r="Q23" i="99" s="1"/>
  <c r="J23" i="99"/>
  <c r="J21" i="99"/>
  <c r="M21" i="99"/>
  <c r="Q21" i="99" s="1"/>
  <c r="Q18" i="99"/>
  <c r="M31" i="99"/>
  <c r="J31" i="99"/>
  <c r="J24" i="99"/>
  <c r="M24" i="99"/>
  <c r="Q24" i="99" s="1"/>
  <c r="Q19" i="99"/>
  <c r="J23" i="104"/>
  <c r="M23" i="104"/>
  <c r="Q23" i="104" s="1"/>
  <c r="M17" i="99"/>
  <c r="Q17" i="99" s="1"/>
  <c r="J17" i="99"/>
  <c r="M22" i="99"/>
  <c r="Q22" i="99" s="1"/>
  <c r="J22" i="99"/>
  <c r="J17" i="104"/>
  <c r="M17" i="104"/>
  <c r="Q17" i="104" s="1"/>
  <c r="Z39" i="104"/>
  <c r="AA40" i="104"/>
  <c r="AD40" i="104" s="1"/>
  <c r="F22" i="104" s="1"/>
  <c r="J29" i="99"/>
  <c r="M29" i="99"/>
  <c r="Q29" i="99" s="1"/>
  <c r="Q31" i="99" l="1"/>
  <c r="S31" i="99" s="1"/>
  <c r="N32" i="99"/>
  <c r="P32" i="99" s="1"/>
  <c r="Q32" i="99" s="1"/>
  <c r="S32" i="99" s="1"/>
  <c r="L34" i="99"/>
  <c r="N34" i="99" s="1"/>
  <c r="P34" i="99" s="1"/>
  <c r="J34" i="99"/>
  <c r="M34" i="99"/>
  <c r="J35" i="99"/>
  <c r="M35" i="99"/>
  <c r="Q35" i="99" s="1"/>
  <c r="S35" i="99" s="1"/>
  <c r="Q33" i="99"/>
  <c r="S33" i="99" s="1"/>
  <c r="M22" i="104"/>
  <c r="Q22" i="104" s="1"/>
  <c r="J22" i="104"/>
  <c r="AA39" i="104"/>
  <c r="AD39" i="104" s="1"/>
  <c r="F21" i="104" s="1"/>
  <c r="Z38" i="104"/>
  <c r="AA38" i="104" s="1"/>
  <c r="AD38" i="104" s="1"/>
  <c r="F20" i="104" s="1"/>
  <c r="Q34" i="99" l="1"/>
  <c r="S34" i="99" s="1"/>
  <c r="M20" i="104"/>
  <c r="Q20" i="104" s="1"/>
  <c r="J20" i="104"/>
  <c r="M21" i="104"/>
  <c r="Q21" i="104" s="1"/>
  <c r="J21" i="104"/>
  <c r="C18" i="103"/>
  <c r="L16" i="102"/>
  <c r="L15" i="102"/>
  <c r="E7" i="103"/>
  <c r="G5" i="5" s="1"/>
  <c r="E6" i="103"/>
  <c r="G4" i="5" s="1"/>
  <c r="X47" i="102"/>
  <c r="Y46" i="102"/>
  <c r="X46" i="102"/>
  <c r="Y45" i="102"/>
  <c r="X45" i="102"/>
  <c r="Z41" i="102"/>
  <c r="AI41" i="102"/>
  <c r="AJ43" i="102"/>
  <c r="AJ45" i="102" s="1"/>
  <c r="AM37" i="102" s="1"/>
  <c r="F16" i="102" s="1"/>
  <c r="AI43" i="102"/>
  <c r="AI45" i="102" s="1"/>
  <c r="AM42" i="102"/>
  <c r="AL42" i="102"/>
  <c r="AJ41" i="102"/>
  <c r="AM36" i="102"/>
  <c r="AL36" i="102"/>
  <c r="AJ58" i="101"/>
  <c r="AH58" i="101"/>
  <c r="AI58" i="101" s="1"/>
  <c r="M18" i="101"/>
  <c r="O19" i="101"/>
  <c r="O18" i="101"/>
  <c r="O17" i="101"/>
  <c r="O16" i="101"/>
  <c r="N16" i="101"/>
  <c r="O15" i="101"/>
  <c r="N15" i="101"/>
  <c r="O14" i="101"/>
  <c r="N14" i="101"/>
  <c r="O13" i="101"/>
  <c r="N13" i="101"/>
  <c r="F59" i="81"/>
  <c r="F57" i="81"/>
  <c r="Q50" i="108" s="1"/>
  <c r="C22" i="100"/>
  <c r="C23" i="100"/>
  <c r="O23" i="100"/>
  <c r="N23" i="100"/>
  <c r="O22" i="100"/>
  <c r="N22" i="100"/>
  <c r="AC45" i="100"/>
  <c r="AC46" i="100"/>
  <c r="AA46" i="100"/>
  <c r="AA45" i="100"/>
  <c r="AC65" i="80"/>
  <c r="AC40" i="80"/>
  <c r="AA40" i="80"/>
  <c r="AA41" i="80"/>
  <c r="AC39" i="80"/>
  <c r="AC41" i="80"/>
  <c r="AA39" i="80"/>
  <c r="R50" i="108" l="1"/>
  <c r="Q51" i="108"/>
  <c r="R51" i="108" s="1"/>
  <c r="AF39" i="80"/>
  <c r="F13" i="80" s="1"/>
  <c r="F19" i="101"/>
  <c r="J19" i="101" s="1"/>
  <c r="Q46" i="100"/>
  <c r="Q50" i="100" s="1"/>
  <c r="AD46" i="100"/>
  <c r="F23" i="100" s="1"/>
  <c r="J23" i="100" s="1"/>
  <c r="AF40" i="80"/>
  <c r="F14" i="80" s="1"/>
  <c r="AF41" i="80"/>
  <c r="F15" i="80" s="1"/>
  <c r="P22" i="100"/>
  <c r="AD45" i="100"/>
  <c r="F22" i="100" s="1"/>
  <c r="M22" i="100" s="1"/>
  <c r="P23" i="100"/>
  <c r="J18" i="101"/>
  <c r="S24" i="100"/>
  <c r="AL37" i="102"/>
  <c r="AM38" i="102"/>
  <c r="AM46" i="102" s="1"/>
  <c r="F14" i="102" s="1"/>
  <c r="M14" i="102" s="1"/>
  <c r="AG58" i="101"/>
  <c r="L19" i="101" s="1"/>
  <c r="N19" i="101" s="1"/>
  <c r="P19" i="101" s="1"/>
  <c r="P16" i="101"/>
  <c r="P15" i="101"/>
  <c r="P14" i="101"/>
  <c r="P13" i="101"/>
  <c r="AC66" i="80"/>
  <c r="L19" i="80" s="1"/>
  <c r="N19" i="80" s="1"/>
  <c r="P19" i="80" s="1"/>
  <c r="AE58" i="80"/>
  <c r="AC58" i="80"/>
  <c r="E7" i="102"/>
  <c r="E6" i="102"/>
  <c r="E7" i="101"/>
  <c r="E5" i="5" s="1"/>
  <c r="E6" i="101"/>
  <c r="E7" i="100"/>
  <c r="D5" i="5" s="1"/>
  <c r="E6" i="100"/>
  <c r="D4" i="5" s="1"/>
  <c r="S50" i="103" a="1"/>
  <c r="S50" i="103" s="1"/>
  <c r="T50" i="103" s="1"/>
  <c r="S49" i="103" a="1"/>
  <c r="S49" i="103" s="1"/>
  <c r="T49" i="103" s="1"/>
  <c r="S48" i="103" a="1"/>
  <c r="S48" i="103" s="1"/>
  <c r="T48" i="103" s="1"/>
  <c r="S47" i="103" a="1"/>
  <c r="S47" i="103" s="1"/>
  <c r="T47" i="103" s="1"/>
  <c r="H43" i="103"/>
  <c r="H42" i="103"/>
  <c r="H41" i="103"/>
  <c r="H40" i="103"/>
  <c r="H39" i="103"/>
  <c r="H38" i="103"/>
  <c r="H37" i="103"/>
  <c r="H36" i="103"/>
  <c r="H35" i="103"/>
  <c r="H34" i="103"/>
  <c r="H33" i="103"/>
  <c r="H32" i="103"/>
  <c r="H31" i="103"/>
  <c r="H30" i="103"/>
  <c r="H29" i="103"/>
  <c r="H28" i="103"/>
  <c r="H27" i="103"/>
  <c r="H26" i="103"/>
  <c r="P24" i="103"/>
  <c r="O18" i="103"/>
  <c r="P13" i="103"/>
  <c r="H56" i="103"/>
  <c r="S50" i="102" a="1"/>
  <c r="S50" i="102" s="1"/>
  <c r="T50" i="102" s="1"/>
  <c r="S49" i="102" a="1"/>
  <c r="S49" i="102" s="1"/>
  <c r="T49" i="102" s="1"/>
  <c r="S48" i="102" a="1"/>
  <c r="S48" i="102" s="1"/>
  <c r="T48" i="102" s="1"/>
  <c r="S47" i="102" a="1"/>
  <c r="S47" i="102" s="1"/>
  <c r="T47" i="102" s="1"/>
  <c r="S46" i="102" a="1"/>
  <c r="S46" i="102" s="1"/>
  <c r="H43" i="102"/>
  <c r="H42" i="102"/>
  <c r="H41" i="102"/>
  <c r="H40" i="102"/>
  <c r="H39" i="102"/>
  <c r="H38" i="102"/>
  <c r="H37" i="102"/>
  <c r="H36" i="102"/>
  <c r="H35" i="102"/>
  <c r="H34" i="102"/>
  <c r="H33" i="102"/>
  <c r="H32" i="102"/>
  <c r="H31" i="102"/>
  <c r="H30" i="102"/>
  <c r="H29" i="102"/>
  <c r="H28" i="102"/>
  <c r="O27" i="102"/>
  <c r="P26" i="102"/>
  <c r="O25" i="102"/>
  <c r="N25" i="102"/>
  <c r="M25" i="102"/>
  <c r="J25" i="102"/>
  <c r="O23" i="102"/>
  <c r="N23" i="102"/>
  <c r="O22" i="102"/>
  <c r="N22" i="102"/>
  <c r="O21" i="102"/>
  <c r="N21" i="102"/>
  <c r="O20" i="102"/>
  <c r="N20" i="102"/>
  <c r="O19" i="102"/>
  <c r="O18" i="102"/>
  <c r="O17" i="102"/>
  <c r="P16" i="102"/>
  <c r="P15" i="102"/>
  <c r="O14" i="102"/>
  <c r="O13" i="102"/>
  <c r="S50" i="101" a="1"/>
  <c r="S50" i="101" s="1"/>
  <c r="H43" i="101"/>
  <c r="H42" i="101"/>
  <c r="H41" i="101"/>
  <c r="H40" i="101"/>
  <c r="H39" i="101"/>
  <c r="H38" i="101"/>
  <c r="H37" i="101"/>
  <c r="H36" i="101"/>
  <c r="H35" i="101"/>
  <c r="H34" i="101"/>
  <c r="H33" i="101"/>
  <c r="H32" i="101"/>
  <c r="H31" i="101"/>
  <c r="H30" i="101"/>
  <c r="H29" i="101"/>
  <c r="H28" i="101"/>
  <c r="H27" i="101"/>
  <c r="H43" i="100"/>
  <c r="H42" i="100"/>
  <c r="H41" i="100"/>
  <c r="H40" i="100"/>
  <c r="H39" i="100"/>
  <c r="H38" i="100"/>
  <c r="H37" i="100"/>
  <c r="H36" i="100"/>
  <c r="H35" i="100"/>
  <c r="H34" i="100"/>
  <c r="H33" i="100"/>
  <c r="H32" i="100"/>
  <c r="H31" i="100"/>
  <c r="H30" i="100"/>
  <c r="H29" i="100"/>
  <c r="H28" i="100"/>
  <c r="O21" i="100"/>
  <c r="N21" i="100"/>
  <c r="O20" i="100"/>
  <c r="N20" i="100"/>
  <c r="O19" i="100"/>
  <c r="N19" i="100"/>
  <c r="O18" i="100"/>
  <c r="N18" i="100"/>
  <c r="O17" i="100"/>
  <c r="O16" i="100"/>
  <c r="N16" i="100"/>
  <c r="P15" i="100"/>
  <c r="M15" i="100"/>
  <c r="J15" i="100"/>
  <c r="O14" i="100"/>
  <c r="O13" i="100"/>
  <c r="S50" i="104" a="1"/>
  <c r="S50" i="104" s="1"/>
  <c r="R50" i="104"/>
  <c r="S49" i="104" a="1"/>
  <c r="S49" i="104" s="1"/>
  <c r="R49" i="104"/>
  <c r="S48" i="104" a="1"/>
  <c r="S48" i="104" s="1"/>
  <c r="R48" i="104"/>
  <c r="S47" i="104" a="1"/>
  <c r="S47" i="104" s="1"/>
  <c r="R47" i="104"/>
  <c r="R46" i="104"/>
  <c r="S43" i="104"/>
  <c r="H43" i="104"/>
  <c r="S42" i="104"/>
  <c r="H42" i="104"/>
  <c r="S41" i="104"/>
  <c r="H41" i="104"/>
  <c r="S40" i="104"/>
  <c r="H40" i="104"/>
  <c r="S39" i="104"/>
  <c r="H39" i="104"/>
  <c r="S38" i="104"/>
  <c r="H38" i="104"/>
  <c r="S37" i="104"/>
  <c r="H37" i="104"/>
  <c r="S36" i="104"/>
  <c r="H36" i="104"/>
  <c r="S35" i="104"/>
  <c r="H35" i="104"/>
  <c r="S34" i="104"/>
  <c r="H34" i="104"/>
  <c r="S33" i="104"/>
  <c r="H33" i="104"/>
  <c r="S32" i="104"/>
  <c r="H32" i="104"/>
  <c r="S31" i="104"/>
  <c r="H31" i="104"/>
  <c r="S30" i="104"/>
  <c r="H30" i="104"/>
  <c r="S29" i="104"/>
  <c r="H29" i="104"/>
  <c r="S28" i="104"/>
  <c r="H28" i="104"/>
  <c r="S27" i="104"/>
  <c r="H27" i="104"/>
  <c r="S26" i="104"/>
  <c r="S23" i="104"/>
  <c r="S22" i="104"/>
  <c r="S21" i="104"/>
  <c r="S20" i="104"/>
  <c r="S19" i="104"/>
  <c r="S18" i="104"/>
  <c r="S17" i="104"/>
  <c r="S16" i="104"/>
  <c r="S15" i="104"/>
  <c r="S14" i="104"/>
  <c r="S13" i="104"/>
  <c r="W3" i="104"/>
  <c r="R50" i="103"/>
  <c r="R49" i="103"/>
  <c r="R48" i="103"/>
  <c r="R47" i="103"/>
  <c r="R46" i="103"/>
  <c r="S43" i="103"/>
  <c r="S42" i="103"/>
  <c r="S41" i="103"/>
  <c r="S40" i="103"/>
  <c r="S39" i="103"/>
  <c r="AC38" i="103"/>
  <c r="AA38" i="103"/>
  <c r="S38" i="103"/>
  <c r="S37" i="103"/>
  <c r="S36" i="103"/>
  <c r="S35" i="103"/>
  <c r="S34" i="103"/>
  <c r="S33" i="103"/>
  <c r="S32" i="103"/>
  <c r="S31" i="103"/>
  <c r="S30" i="103"/>
  <c r="S29" i="103"/>
  <c r="S28" i="103"/>
  <c r="S27" i="103"/>
  <c r="S26" i="103"/>
  <c r="N18" i="103"/>
  <c r="R50" i="102"/>
  <c r="R49" i="102"/>
  <c r="AK49" i="102"/>
  <c r="R48" i="102"/>
  <c r="AE47" i="102"/>
  <c r="AC47" i="102"/>
  <c r="R47" i="102"/>
  <c r="AE46" i="102"/>
  <c r="AC46" i="102"/>
  <c r="R46" i="102"/>
  <c r="AC45" i="102"/>
  <c r="AD45" i="102" s="1"/>
  <c r="AE45" i="102"/>
  <c r="S43" i="102"/>
  <c r="S42" i="102"/>
  <c r="AB41" i="102"/>
  <c r="AC41" i="102" s="1"/>
  <c r="AA41" i="102"/>
  <c r="S41" i="102"/>
  <c r="AC40" i="102"/>
  <c r="AA40" i="102"/>
  <c r="S40" i="102"/>
  <c r="AC39" i="102"/>
  <c r="AA39" i="102"/>
  <c r="S39" i="102"/>
  <c r="AC38" i="102"/>
  <c r="AA38" i="102"/>
  <c r="S38" i="102"/>
  <c r="S37" i="102"/>
  <c r="S36" i="102"/>
  <c r="S35" i="102"/>
  <c r="S34" i="102"/>
  <c r="S33" i="102"/>
  <c r="S32" i="102"/>
  <c r="S31" i="102"/>
  <c r="S30" i="102"/>
  <c r="S29" i="102"/>
  <c r="S28" i="102"/>
  <c r="G27" i="102"/>
  <c r="J26" i="102"/>
  <c r="R16" i="102"/>
  <c r="M16" i="102"/>
  <c r="R15" i="102"/>
  <c r="G14" i="102"/>
  <c r="R50" i="101"/>
  <c r="X49" i="101"/>
  <c r="Q48" i="101" s="1"/>
  <c r="F17" i="101" s="1"/>
  <c r="O48" i="101"/>
  <c r="O49" i="101" s="1"/>
  <c r="R49" i="101" s="1"/>
  <c r="AH41" i="101"/>
  <c r="AF41" i="101"/>
  <c r="O46" i="101"/>
  <c r="AH40" i="101"/>
  <c r="AF40" i="101"/>
  <c r="AH39" i="101"/>
  <c r="AF39" i="101"/>
  <c r="S43" i="101"/>
  <c r="AH38" i="101"/>
  <c r="AF38" i="101"/>
  <c r="S42" i="101"/>
  <c r="S41" i="101"/>
  <c r="S40" i="101"/>
  <c r="S39" i="101"/>
  <c r="S38" i="101"/>
  <c r="S37" i="101"/>
  <c r="S36" i="101"/>
  <c r="S35" i="101"/>
  <c r="S34" i="101"/>
  <c r="S33" i="101"/>
  <c r="S32" i="101"/>
  <c r="S31" i="101"/>
  <c r="S30" i="101"/>
  <c r="S29" i="101"/>
  <c r="S28" i="101"/>
  <c r="S27" i="101"/>
  <c r="S26" i="101"/>
  <c r="S25" i="101"/>
  <c r="S24" i="101"/>
  <c r="S23" i="101"/>
  <c r="AB51" i="100"/>
  <c r="AH42" i="100" s="1"/>
  <c r="R50" i="100"/>
  <c r="O49" i="100"/>
  <c r="S19" i="16" s="1"/>
  <c r="O48" i="100"/>
  <c r="J47" i="100"/>
  <c r="I47" i="100"/>
  <c r="R46" i="100"/>
  <c r="Q47" i="100"/>
  <c r="AC44" i="100"/>
  <c r="AA44" i="100"/>
  <c r="AC43" i="100"/>
  <c r="AA43" i="100"/>
  <c r="S43" i="100"/>
  <c r="AC42" i="100"/>
  <c r="AA42" i="100"/>
  <c r="S42" i="100"/>
  <c r="AC41" i="100"/>
  <c r="AA41" i="100"/>
  <c r="S41" i="100"/>
  <c r="AK40" i="100"/>
  <c r="F14" i="100" s="1"/>
  <c r="AC40" i="100"/>
  <c r="AA40" i="100"/>
  <c r="S40" i="100"/>
  <c r="AC39" i="100"/>
  <c r="AA39" i="100"/>
  <c r="S39" i="100"/>
  <c r="S38" i="100"/>
  <c r="S37" i="100"/>
  <c r="S36" i="100"/>
  <c r="S35" i="100"/>
  <c r="S34" i="100"/>
  <c r="S33" i="100"/>
  <c r="S32" i="100"/>
  <c r="S31" i="100"/>
  <c r="S30" i="100"/>
  <c r="S29" i="100"/>
  <c r="S28" i="100"/>
  <c r="S27" i="100"/>
  <c r="S26" i="100"/>
  <c r="S25" i="100"/>
  <c r="C21" i="100"/>
  <c r="C20" i="100"/>
  <c r="C19" i="100"/>
  <c r="C18" i="100"/>
  <c r="N17" i="100"/>
  <c r="C17" i="100"/>
  <c r="C16" i="100"/>
  <c r="N14" i="100"/>
  <c r="M19" i="101" l="1"/>
  <c r="Q19" i="101" s="1"/>
  <c r="M23" i="100"/>
  <c r="Q23" i="100" s="1"/>
  <c r="S23" i="100" s="1"/>
  <c r="L14" i="102"/>
  <c r="R52" i="104"/>
  <c r="M14" i="80"/>
  <c r="Q14" i="80" s="1"/>
  <c r="J14" i="80"/>
  <c r="J13" i="80"/>
  <c r="M13" i="80"/>
  <c r="Q13" i="80" s="1"/>
  <c r="S20" i="16"/>
  <c r="O47" i="101"/>
  <c r="R47" i="101" s="1"/>
  <c r="M15" i="80"/>
  <c r="Q15" i="80" s="1"/>
  <c r="J15" i="80"/>
  <c r="J22" i="100"/>
  <c r="E4" i="5"/>
  <c r="Q22" i="100"/>
  <c r="S22" i="100" s="1"/>
  <c r="P17" i="100"/>
  <c r="P19" i="100"/>
  <c r="P18" i="103"/>
  <c r="H56" i="102"/>
  <c r="P14" i="100"/>
  <c r="AI38" i="101"/>
  <c r="F13" i="101" s="1"/>
  <c r="M13" i="101" s="1"/>
  <c r="Q13" i="101" s="1"/>
  <c r="S13" i="101" s="1"/>
  <c r="AI41" i="101"/>
  <c r="F16" i="101" s="1"/>
  <c r="J16" i="101" s="1"/>
  <c r="S16" i="103"/>
  <c r="H56" i="101"/>
  <c r="AD43" i="100"/>
  <c r="AL38" i="102"/>
  <c r="F15" i="102"/>
  <c r="M15" i="102" s="1"/>
  <c r="S14" i="103"/>
  <c r="AI39" i="101"/>
  <c r="F14" i="101" s="1"/>
  <c r="L18" i="101"/>
  <c r="AC67" i="80"/>
  <c r="F19" i="80" s="1"/>
  <c r="P21" i="102"/>
  <c r="P20" i="102"/>
  <c r="AD39" i="102"/>
  <c r="F21" i="102" s="1"/>
  <c r="M21" i="102" s="1"/>
  <c r="P23" i="102"/>
  <c r="F17" i="102"/>
  <c r="J17" i="102" s="1"/>
  <c r="AD41" i="102"/>
  <c r="F23" i="102" s="1"/>
  <c r="M23" i="102" s="1"/>
  <c r="P16" i="100"/>
  <c r="Q15" i="100"/>
  <c r="S15" i="100" s="1"/>
  <c r="AD58" i="80"/>
  <c r="AB58" i="80"/>
  <c r="M14" i="100"/>
  <c r="J14" i="100"/>
  <c r="O16" i="102"/>
  <c r="Q16" i="102" s="1"/>
  <c r="S16" i="102" s="1"/>
  <c r="AD40" i="102"/>
  <c r="F22" i="102" s="1"/>
  <c r="H56" i="100"/>
  <c r="P22" i="102"/>
  <c r="AD40" i="100"/>
  <c r="N14" i="102"/>
  <c r="P14" i="102" s="1"/>
  <c r="Q14" i="102" s="1"/>
  <c r="S14" i="102" s="1"/>
  <c r="M26" i="102"/>
  <c r="Q26" i="102" s="1"/>
  <c r="S26" i="102" s="1"/>
  <c r="S23" i="103"/>
  <c r="AD41" i="100"/>
  <c r="AB45" i="102"/>
  <c r="L17" i="102" s="1"/>
  <c r="N17" i="102" s="1"/>
  <c r="P17" i="102" s="1"/>
  <c r="R14" i="100"/>
  <c r="Q20" i="16"/>
  <c r="AD42" i="100"/>
  <c r="F19" i="100" s="1"/>
  <c r="J16" i="102"/>
  <c r="S17" i="103"/>
  <c r="AI40" i="101"/>
  <c r="F15" i="101" s="1"/>
  <c r="AD38" i="102"/>
  <c r="F20" i="102" s="1"/>
  <c r="P18" i="100"/>
  <c r="P20" i="100"/>
  <c r="J14" i="102"/>
  <c r="B56" i="104"/>
  <c r="H56" i="104"/>
  <c r="J13" i="103"/>
  <c r="M13" i="103"/>
  <c r="Q13" i="103" s="1"/>
  <c r="S13" i="103" s="1"/>
  <c r="AD39" i="100"/>
  <c r="F16" i="100" s="1"/>
  <c r="W34" i="104"/>
  <c r="P21" i="100"/>
  <c r="P25" i="102"/>
  <c r="Q25" i="102" s="1"/>
  <c r="S25" i="102" s="1"/>
  <c r="AD44" i="100"/>
  <c r="F21" i="100" s="1"/>
  <c r="AD38" i="103"/>
  <c r="F18" i="103" s="1"/>
  <c r="O3" i="104"/>
  <c r="S15" i="103"/>
  <c r="O3" i="101"/>
  <c r="F24" i="103"/>
  <c r="W34" i="103"/>
  <c r="O3" i="103"/>
  <c r="B56" i="103"/>
  <c r="W3" i="103"/>
  <c r="AD46" i="102"/>
  <c r="F18" i="102" s="1"/>
  <c r="AB46" i="102"/>
  <c r="L18" i="102" s="1"/>
  <c r="N18" i="102" s="1"/>
  <c r="P18" i="102" s="1"/>
  <c r="AK48" i="102"/>
  <c r="AB47" i="102"/>
  <c r="L19" i="102" s="1"/>
  <c r="N19" i="102" s="1"/>
  <c r="P19" i="102" s="1"/>
  <c r="AD47" i="102"/>
  <c r="F19" i="102" s="1"/>
  <c r="S53" i="102"/>
  <c r="O15" i="102"/>
  <c r="T46" i="102"/>
  <c r="W34" i="102"/>
  <c r="O3" i="102"/>
  <c r="W3" i="102"/>
  <c r="B56" i="102"/>
  <c r="W3" i="101"/>
  <c r="W34" i="101"/>
  <c r="S20" i="101"/>
  <c r="B56" i="101"/>
  <c r="R47" i="100"/>
  <c r="W34" i="100"/>
  <c r="O3" i="100"/>
  <c r="W3" i="100"/>
  <c r="B56" i="100"/>
  <c r="U20" i="16" l="1"/>
  <c r="J19" i="80"/>
  <c r="M19" i="80"/>
  <c r="Q19" i="80" s="1"/>
  <c r="Q21" i="102"/>
  <c r="S21" i="102" s="1"/>
  <c r="Q14" i="100"/>
  <c r="S14" i="100" s="1"/>
  <c r="R48" i="101"/>
  <c r="M17" i="102"/>
  <c r="Q17" i="102" s="1"/>
  <c r="S17" i="102" s="1"/>
  <c r="R46" i="101"/>
  <c r="J13" i="101"/>
  <c r="M16" i="101"/>
  <c r="Q16" i="101" s="1"/>
  <c r="S16" i="101" s="1"/>
  <c r="Q15" i="102"/>
  <c r="S15" i="102" s="1"/>
  <c r="J15" i="102"/>
  <c r="J14" i="101"/>
  <c r="M14" i="101"/>
  <c r="Q14" i="101" s="1"/>
  <c r="S14" i="101" s="1"/>
  <c r="J15" i="101"/>
  <c r="M15" i="101"/>
  <c r="Q15" i="101" s="1"/>
  <c r="S15" i="101" s="1"/>
  <c r="F17" i="100"/>
  <c r="J17" i="100" s="1"/>
  <c r="F18" i="100"/>
  <c r="M18" i="100" s="1"/>
  <c r="Q18" i="100" s="1"/>
  <c r="S18" i="100" s="1"/>
  <c r="J21" i="102"/>
  <c r="AC69" i="80"/>
  <c r="Q47" i="80" s="1"/>
  <c r="AL46" i="102"/>
  <c r="F13" i="102" s="1"/>
  <c r="L13" i="102"/>
  <c r="N13" i="102" s="1"/>
  <c r="P13" i="102" s="1"/>
  <c r="J17" i="101"/>
  <c r="M17" i="101"/>
  <c r="N18" i="101"/>
  <c r="P18" i="101" s="1"/>
  <c r="Q18" i="101" s="1"/>
  <c r="S18" i="101" s="1"/>
  <c r="L17" i="101"/>
  <c r="N17" i="101" s="1"/>
  <c r="P17" i="101" s="1"/>
  <c r="F20" i="100"/>
  <c r="J20" i="100" s="1"/>
  <c r="Q23" i="102"/>
  <c r="S23" i="102" s="1"/>
  <c r="J23" i="102"/>
  <c r="Q49" i="100"/>
  <c r="S21" i="103"/>
  <c r="J22" i="102"/>
  <c r="M22" i="102"/>
  <c r="Q22" i="102" s="1"/>
  <c r="S22" i="102" s="1"/>
  <c r="S19" i="103"/>
  <c r="AK41" i="100"/>
  <c r="J18" i="102"/>
  <c r="M18" i="102"/>
  <c r="Q18" i="102" s="1"/>
  <c r="S18" i="102" s="1"/>
  <c r="M19" i="102"/>
  <c r="Q19" i="102" s="1"/>
  <c r="S19" i="102" s="1"/>
  <c r="J19" i="102"/>
  <c r="S24" i="102"/>
  <c r="J16" i="100"/>
  <c r="M16" i="100"/>
  <c r="Q16" i="100" s="1"/>
  <c r="S16" i="100" s="1"/>
  <c r="S22" i="103"/>
  <c r="M24" i="103"/>
  <c r="Q24" i="103" s="1"/>
  <c r="S24" i="103" s="1"/>
  <c r="J24" i="103"/>
  <c r="S19" i="101"/>
  <c r="S20" i="103"/>
  <c r="M18" i="103"/>
  <c r="Q18" i="103" s="1"/>
  <c r="S18" i="103" s="1"/>
  <c r="J18" i="103"/>
  <c r="M20" i="102"/>
  <c r="Q20" i="102" s="1"/>
  <c r="S20" i="102" s="1"/>
  <c r="J20" i="102"/>
  <c r="M19" i="100"/>
  <c r="Q19" i="100" s="1"/>
  <c r="S19" i="100" s="1"/>
  <c r="J19" i="100"/>
  <c r="M21" i="100"/>
  <c r="Q21" i="100" s="1"/>
  <c r="S21" i="100" s="1"/>
  <c r="J21" i="100"/>
  <c r="L27" i="102"/>
  <c r="N27" i="102" s="1"/>
  <c r="P27" i="102" s="1"/>
  <c r="AK50" i="102"/>
  <c r="F27" i="102" s="1"/>
  <c r="S21" i="101"/>
  <c r="M20" i="100" l="1"/>
  <c r="Q20" i="100" s="1"/>
  <c r="S20" i="100" s="1"/>
  <c r="J18" i="100"/>
  <c r="R49" i="100"/>
  <c r="Q19" i="16"/>
  <c r="U19" i="16" s="1"/>
  <c r="S25" i="103"/>
  <c r="R52" i="103" s="1"/>
  <c r="M13" i="102"/>
  <c r="Q13" i="102" s="1"/>
  <c r="S13" i="102" s="1"/>
  <c r="J13" i="102"/>
  <c r="Q17" i="101"/>
  <c r="S17" i="101" s="1"/>
  <c r="R52" i="101" s="1"/>
  <c r="M17" i="100"/>
  <c r="Q17" i="100" s="1"/>
  <c r="S17" i="100" s="1"/>
  <c r="AK42" i="100"/>
  <c r="F13" i="100"/>
  <c r="M27" i="102"/>
  <c r="Q27" i="102" s="1"/>
  <c r="S27" i="102" s="1"/>
  <c r="J27" i="102"/>
  <c r="R52" i="102" l="1"/>
  <c r="M13" i="100"/>
  <c r="J13" i="100"/>
  <c r="L13" i="100"/>
  <c r="N13" i="100" s="1"/>
  <c r="P13" i="100" s="1"/>
  <c r="Q48" i="100"/>
  <c r="R48" i="100" s="1"/>
  <c r="S50" i="99" a="1"/>
  <c r="S50" i="99" s="1"/>
  <c r="R50" i="99"/>
  <c r="R49" i="99"/>
  <c r="R48" i="99"/>
  <c r="R47" i="99"/>
  <c r="R46" i="99"/>
  <c r="S43" i="99"/>
  <c r="H43" i="99"/>
  <c r="S42" i="99"/>
  <c r="H42" i="99"/>
  <c r="S41" i="99"/>
  <c r="H41" i="99"/>
  <c r="S40" i="99"/>
  <c r="H40" i="99"/>
  <c r="S39" i="99"/>
  <c r="H39" i="99"/>
  <c r="S38" i="99"/>
  <c r="H38" i="99"/>
  <c r="S37" i="99"/>
  <c r="H37" i="99"/>
  <c r="S36" i="99"/>
  <c r="H36" i="99"/>
  <c r="S30" i="99"/>
  <c r="S29" i="99"/>
  <c r="S25" i="99"/>
  <c r="S24" i="99"/>
  <c r="S23" i="99"/>
  <c r="S22" i="99"/>
  <c r="S21" i="99"/>
  <c r="S20" i="99"/>
  <c r="S19" i="99"/>
  <c r="S18" i="99"/>
  <c r="S17" i="99"/>
  <c r="S16" i="99"/>
  <c r="S15" i="99"/>
  <c r="S14" i="99"/>
  <c r="S13" i="99"/>
  <c r="H56" i="99"/>
  <c r="S43" i="84"/>
  <c r="U43" i="84" s="1"/>
  <c r="W43" i="84" s="1"/>
  <c r="Y43" i="84" s="1"/>
  <c r="AA43" i="84" s="1"/>
  <c r="R43" i="84"/>
  <c r="T43" i="84" s="1"/>
  <c r="V43" i="84" s="1"/>
  <c r="X43" i="84" s="1"/>
  <c r="Z43" i="84" s="1"/>
  <c r="R42" i="84"/>
  <c r="Q10" i="16"/>
  <c r="J17" i="16" s="1"/>
  <c r="G7" i="95"/>
  <c r="F7" i="95"/>
  <c r="G6" i="95"/>
  <c r="F6" i="95"/>
  <c r="G5" i="95"/>
  <c r="F5" i="95"/>
  <c r="F4" i="95"/>
  <c r="B2" i="95"/>
  <c r="J21" i="83"/>
  <c r="J35" i="83"/>
  <c r="J36" i="83"/>
  <c r="J32" i="83"/>
  <c r="J33" i="83"/>
  <c r="J34" i="83"/>
  <c r="J31" i="83"/>
  <c r="J25" i="83"/>
  <c r="J26" i="83"/>
  <c r="J27" i="83"/>
  <c r="J28" i="83"/>
  <c r="J29" i="83"/>
  <c r="J24" i="83"/>
  <c r="J6" i="84"/>
  <c r="J11" i="84"/>
  <c r="J15" i="84"/>
  <c r="N17" i="16" l="1"/>
  <c r="J16" i="16"/>
  <c r="Q23" i="16"/>
  <c r="U23" i="16" s="1"/>
  <c r="Q22" i="16"/>
  <c r="U22" i="16" s="1"/>
  <c r="Q16" i="16"/>
  <c r="Q17" i="16"/>
  <c r="Q13" i="100"/>
  <c r="S13" i="100" s="1"/>
  <c r="R52" i="100" s="1"/>
  <c r="W34" i="99"/>
  <c r="W3" i="99"/>
  <c r="O3" i="99"/>
  <c r="R52" i="99"/>
  <c r="B56" i="99"/>
  <c r="G17" i="16"/>
  <c r="G21" i="16" s="1"/>
  <c r="C34" i="81"/>
  <c r="C12" i="81"/>
  <c r="Y62" i="81"/>
  <c r="Y66" i="81" s="1"/>
  <c r="W62" i="81"/>
  <c r="W66" i="81" s="1"/>
  <c r="S13" i="80"/>
  <c r="G16" i="84"/>
  <c r="H15"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C40" i="84"/>
  <c r="J10" i="84"/>
  <c r="I6" i="84"/>
  <c r="J8" i="84"/>
  <c r="I8" i="84"/>
  <c r="J96" i="18"/>
  <c r="N76" i="18"/>
  <c r="N73" i="18"/>
  <c r="E4" i="84"/>
  <c r="E5" i="84"/>
  <c r="E9" i="84"/>
  <c r="E10" i="84"/>
  <c r="E11" i="84"/>
  <c r="E8" i="84"/>
  <c r="J7" i="84"/>
  <c r="E7" i="84" s="1"/>
  <c r="E22" i="84" s="1"/>
  <c r="J16" i="84"/>
  <c r="D4" i="84"/>
  <c r="W16" i="16"/>
  <c r="I16" i="16"/>
  <c r="C54" i="81"/>
  <c r="W17" i="16"/>
  <c r="W14" i="16"/>
  <c r="W15" i="16" l="1"/>
  <c r="D43" i="84"/>
  <c r="P42" i="84" s="1"/>
  <c r="F43" i="84"/>
  <c r="F44" i="84" s="1"/>
  <c r="F45" i="84" s="1"/>
  <c r="F46" i="84" s="1"/>
  <c r="F47" i="84" s="1"/>
  <c r="F48" i="84" s="1"/>
  <c r="D34" i="5"/>
  <c r="D35" i="5"/>
  <c r="E20" i="84"/>
  <c r="E6" i="84"/>
  <c r="D6" i="84"/>
  <c r="AE3" i="81"/>
  <c r="O3" i="81"/>
  <c r="O34" i="81"/>
  <c r="N4" i="5"/>
  <c r="Q9" i="16"/>
  <c r="H14" i="84"/>
  <c r="P41" i="84" s="1"/>
  <c r="P106" i="18"/>
  <c r="O106" i="18"/>
  <c r="P107" i="18"/>
  <c r="M107" i="18"/>
  <c r="J103" i="18"/>
  <c r="O104" i="18"/>
  <c r="B34" i="84"/>
  <c r="G19" i="84" s="1"/>
  <c r="G20" i="84"/>
  <c r="G18" i="84"/>
  <c r="G17" i="84"/>
  <c r="O3" i="80" l="1"/>
  <c r="B56" i="80"/>
  <c r="H56" i="80"/>
  <c r="W3" i="80"/>
  <c r="W34" i="80"/>
  <c r="S14" i="80"/>
  <c r="S15" i="80"/>
  <c r="S16" i="80"/>
  <c r="S17" i="80"/>
  <c r="C30" i="5" l="1"/>
  <c r="C31" i="5"/>
  <c r="C29" i="5"/>
  <c r="D33" i="5" s="1"/>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K23" i="83"/>
  <c r="L23" i="83" s="1"/>
  <c r="M23" i="83" s="1"/>
  <c r="N23" i="83" s="1"/>
  <c r="O23" i="83" s="1"/>
  <c r="P23" i="83" s="1"/>
  <c r="Q23" i="83" s="1"/>
  <c r="R23" i="83" s="1"/>
  <c r="S23" i="83" s="1"/>
  <c r="T23" i="83" s="1"/>
  <c r="J23" i="83"/>
  <c r="R17" i="83" a="1"/>
  <c r="R17" i="83" s="1"/>
  <c r="K36" i="83" s="1"/>
  <c r="R16" i="83" a="1"/>
  <c r="R16" i="83" s="1"/>
  <c r="K35" i="83" s="1"/>
  <c r="R15" i="83" a="1"/>
  <c r="R15" i="83" s="1"/>
  <c r="S50" i="80" a="1"/>
  <c r="S50" i="80" s="1"/>
  <c r="T50" i="80" s="1"/>
  <c r="R50" i="80"/>
  <c r="R49" i="80"/>
  <c r="R47" i="80"/>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S28" i="80"/>
  <c r="S27" i="80"/>
  <c r="S26" i="80"/>
  <c r="S25" i="80"/>
  <c r="S24" i="80"/>
  <c r="S23" i="80"/>
  <c r="S22" i="80"/>
  <c r="S21" i="80"/>
  <c r="S20" i="80"/>
  <c r="S19" i="80"/>
  <c r="S18" i="80"/>
  <c r="H12" i="30" a="1"/>
  <c r="D21" i="30" a="1"/>
  <c r="H6" i="30" a="1"/>
  <c r="H21" i="30" a="1"/>
  <c r="D16" i="30" a="1"/>
  <c r="D10" i="30" a="1"/>
  <c r="D9" i="30" a="1"/>
  <c r="D19" i="30" a="1"/>
  <c r="D24" i="30" a="1"/>
  <c r="D45" i="30" a="1"/>
  <c r="H20" i="30" a="1"/>
  <c r="H4" i="30" a="1"/>
  <c r="H15" i="30" a="1"/>
  <c r="D29" i="30" a="1"/>
  <c r="H22" i="30" a="1"/>
  <c r="H17" i="30" a="1"/>
  <c r="D34" i="30" a="1"/>
  <c r="D11" i="30" a="1"/>
  <c r="D26" i="30" a="1"/>
  <c r="D38" i="30" a="1"/>
  <c r="D43" i="30" a="1"/>
  <c r="H16" i="30" a="1"/>
  <c r="H5" i="30" a="1"/>
  <c r="D35" i="30" a="1"/>
  <c r="D47" i="30" a="1"/>
  <c r="D5" i="30" a="1"/>
  <c r="D17" i="30" a="1"/>
  <c r="D12" i="30" a="1"/>
  <c r="D30" i="30" a="1"/>
  <c r="H14" i="30" a="1"/>
  <c r="D39" i="30" a="1"/>
  <c r="D6" i="30" a="1"/>
  <c r="D37" i="30" a="1"/>
  <c r="H8" i="30" a="1"/>
  <c r="D18" i="30" a="1"/>
  <c r="D14" i="30" a="1"/>
  <c r="H3" i="30" a="1"/>
  <c r="D8" i="30" a="1"/>
  <c r="H7" i="30" a="1"/>
  <c r="D13" i="30" a="1"/>
  <c r="D42" i="30" a="1"/>
  <c r="D15" i="30" a="1"/>
  <c r="H19" i="30" a="1"/>
  <c r="D7" i="30" a="1"/>
  <c r="D25" i="30" a="1"/>
  <c r="D40" i="30" a="1"/>
  <c r="H18" i="30" a="1"/>
  <c r="D33" i="30" a="1"/>
  <c r="D20" i="30" a="1"/>
  <c r="H13" i="30" a="1"/>
  <c r="H10" i="30" a="1"/>
  <c r="D4" i="30" a="1"/>
  <c r="D3" i="30" a="1"/>
  <c r="D32" i="30" a="1"/>
  <c r="D28" i="30" a="1"/>
  <c r="D41" i="30" a="1"/>
  <c r="D31" i="30" a="1"/>
  <c r="D23" i="30" a="1"/>
  <c r="D48" i="30" a="1"/>
  <c r="D44" i="30" a="1"/>
  <c r="D27" i="30" a="1"/>
  <c r="D36" i="30" a="1"/>
  <c r="D22" i="30" a="1"/>
  <c r="D46" i="30" a="1"/>
  <c r="H11" i="30" a="1"/>
  <c r="H9" i="30" a="1"/>
  <c r="C33" i="5" l="1"/>
  <c r="R52" i="80"/>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K34" i="83"/>
  <c r="L27" i="83"/>
  <c r="T27" i="83"/>
  <c r="P28" i="83"/>
  <c r="O28" i="83"/>
  <c r="N28" i="83"/>
  <c r="M28" i="83"/>
  <c r="T28" i="83"/>
  <c r="L28" i="83"/>
  <c r="Q28" i="83"/>
  <c r="S28" i="83"/>
  <c r="R28" i="83"/>
  <c r="N29" i="83"/>
  <c r="M27" i="83"/>
  <c r="O29" i="83"/>
  <c r="N27" i="83"/>
  <c r="P29" i="83" a="1"/>
  <c r="P29" i="83" s="1"/>
  <c r="O27" i="83"/>
  <c r="P27" i="83"/>
  <c r="Q29" i="83"/>
  <c r="Q27" i="83"/>
  <c r="K29" i="83"/>
  <c r="R29" i="83"/>
  <c r="R27" i="83"/>
  <c r="L29" i="83"/>
  <c r="S29" i="83"/>
  <c r="K27" i="83"/>
  <c r="S27" i="83"/>
  <c r="M29" i="83"/>
  <c r="S46" i="106" a="1"/>
  <c r="S48" i="80" a="1"/>
  <c r="S49" i="80" a="1"/>
  <c r="S46" i="80" a="1"/>
  <c r="S47" i="106" a="1"/>
  <c r="S46" i="99" a="1"/>
  <c r="S47" i="80" a="1"/>
  <c r="S14" i="105" a="1"/>
  <c r="S52" i="106" a="1"/>
  <c r="S49" i="108" a="1"/>
  <c r="S53" i="107" a="1"/>
  <c r="S52" i="103" a="1"/>
  <c r="S46" i="104" a="1"/>
  <c r="S55" i="108" a="1"/>
  <c r="S50" i="108" a="1"/>
  <c r="S46" i="108" a="1"/>
  <c r="S48" i="100" a="1"/>
  <c r="S17" i="105" a="1"/>
  <c r="S48" i="108" a="1"/>
  <c r="S13" i="105" a="1"/>
  <c r="S52" i="100" a="1"/>
  <c r="S47" i="108" a="1"/>
  <c r="S52" i="99" a="1"/>
  <c r="S52" i="80" a="1"/>
  <c r="S47" i="101" a="1"/>
  <c r="S49" i="101" a="1"/>
  <c r="S49" i="100" a="1"/>
  <c r="S52" i="101" a="1"/>
  <c r="S51" i="108" a="1"/>
  <c r="S50" i="107" a="1"/>
  <c r="S48" i="106" a="1"/>
  <c r="R13" i="83" a="1"/>
  <c r="R14" i="83" a="1"/>
  <c r="S49" i="99" a="1"/>
  <c r="S51" i="107" a="1"/>
  <c r="S49" i="106" a="1"/>
  <c r="S50" i="100" a="1"/>
  <c r="S52" i="102" a="1"/>
  <c r="S52" i="104" a="1"/>
  <c r="S47" i="99" a="1"/>
  <c r="S15" i="105" a="1"/>
  <c r="S48" i="99" a="1"/>
  <c r="S46" i="103" a="1"/>
  <c r="S16" i="105" a="1"/>
  <c r="S46" i="100" a="1"/>
  <c r="S47" i="100" a="1"/>
  <c r="S46" i="101" a="1"/>
  <c r="S48" i="101" a="1"/>
  <c r="S46" i="104" l="1"/>
  <c r="S53" i="104" s="1"/>
  <c r="S55" i="108"/>
  <c r="S46" i="103"/>
  <c r="S51" i="108"/>
  <c r="S50" i="108"/>
  <c r="S51" i="107"/>
  <c r="S50" i="107"/>
  <c r="S53" i="107"/>
  <c r="H6" i="5" s="1"/>
  <c r="T52" i="108"/>
  <c r="T53" i="108"/>
  <c r="S48" i="108"/>
  <c r="T48" i="108" s="1"/>
  <c r="S47" i="108"/>
  <c r="T47" i="108" s="1"/>
  <c r="S46" i="108"/>
  <c r="S49" i="108"/>
  <c r="T49" i="108" s="1"/>
  <c r="S48" i="80"/>
  <c r="T48" i="80" s="1"/>
  <c r="S49" i="80"/>
  <c r="T49" i="80" s="1"/>
  <c r="S50" i="100"/>
  <c r="T50" i="100" s="1"/>
  <c r="R14" i="83"/>
  <c r="K26" i="83" s="1"/>
  <c r="R13" i="83"/>
  <c r="S17" i="105"/>
  <c r="S47" i="106"/>
  <c r="T47" i="106" s="1"/>
  <c r="S48" i="106"/>
  <c r="T48" i="106" s="1"/>
  <c r="S46" i="106"/>
  <c r="S49" i="106"/>
  <c r="T49" i="106" s="1"/>
  <c r="S52" i="106"/>
  <c r="S16" i="105"/>
  <c r="S15" i="105"/>
  <c r="S14" i="105"/>
  <c r="S13" i="105"/>
  <c r="S52" i="104"/>
  <c r="S49" i="99"/>
  <c r="S48" i="99"/>
  <c r="S47" i="99"/>
  <c r="S46" i="99"/>
  <c r="S52" i="99"/>
  <c r="S47" i="100"/>
  <c r="T47" i="100" s="1"/>
  <c r="S46" i="100"/>
  <c r="S46" i="80"/>
  <c r="S47" i="80"/>
  <c r="T47" i="80" s="1"/>
  <c r="S52" i="80"/>
  <c r="S49" i="100"/>
  <c r="T49" i="100" s="1"/>
  <c r="S52" i="100"/>
  <c r="S52" i="103"/>
  <c r="S52" i="102"/>
  <c r="S47" i="101"/>
  <c r="S46" i="101"/>
  <c r="S49" i="101"/>
  <c r="S48" i="101"/>
  <c r="S52" i="101"/>
  <c r="S48" i="100"/>
  <c r="T48" i="100" s="1"/>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J6" i="5" l="1"/>
  <c r="S56" i="108"/>
  <c r="D6" i="5" s="1"/>
  <c r="T46" i="103"/>
  <c r="S53" i="103"/>
  <c r="G6" i="5" s="1"/>
  <c r="G7" i="5" s="1"/>
  <c r="T40" i="108"/>
  <c r="T27" i="108"/>
  <c r="T19" i="108"/>
  <c r="T21" i="108"/>
  <c r="T44" i="108"/>
  <c r="T38" i="108"/>
  <c r="T17" i="108"/>
  <c r="T39" i="108"/>
  <c r="T34" i="108"/>
  <c r="T26" i="108"/>
  <c r="T18" i="108"/>
  <c r="T33" i="108"/>
  <c r="T25" i="108"/>
  <c r="T23" i="108"/>
  <c r="T28" i="108"/>
  <c r="T32" i="108"/>
  <c r="T43" i="108"/>
  <c r="T30" i="108"/>
  <c r="T42" i="108"/>
  <c r="T22" i="108"/>
  <c r="T29" i="108"/>
  <c r="T37" i="108"/>
  <c r="T35" i="108"/>
  <c r="T41" i="108"/>
  <c r="T36" i="108"/>
  <c r="T20" i="108"/>
  <c r="T15" i="108"/>
  <c r="T16" i="108"/>
  <c r="T31" i="108"/>
  <c r="T24" i="108"/>
  <c r="T13" i="108"/>
  <c r="T14" i="108"/>
  <c r="T46" i="108"/>
  <c r="T39" i="107"/>
  <c r="T34" i="107"/>
  <c r="T26" i="107"/>
  <c r="T19" i="107"/>
  <c r="T41" i="107"/>
  <c r="T40" i="107"/>
  <c r="T36" i="107"/>
  <c r="T31" i="107"/>
  <c r="T14" i="107"/>
  <c r="T44" i="107"/>
  <c r="T42" i="107"/>
  <c r="T28" i="107"/>
  <c r="T43" i="107"/>
  <c r="T38" i="107"/>
  <c r="T33" i="107"/>
  <c r="T25" i="107"/>
  <c r="T16" i="107"/>
  <c r="T35" i="107"/>
  <c r="T30" i="107"/>
  <c r="T22" i="107"/>
  <c r="T21" i="107"/>
  <c r="T29" i="107"/>
  <c r="T13" i="107"/>
  <c r="T27" i="107"/>
  <c r="T23" i="107"/>
  <c r="T17" i="107"/>
  <c r="T37" i="107"/>
  <c r="T32" i="107"/>
  <c r="T24" i="107"/>
  <c r="T20" i="107"/>
  <c r="T15" i="107"/>
  <c r="T18" i="107"/>
  <c r="T33" i="80"/>
  <c r="T43" i="101"/>
  <c r="T26" i="83"/>
  <c r="M26" i="83"/>
  <c r="Q26" i="83"/>
  <c r="K33" i="83"/>
  <c r="P26" i="83"/>
  <c r="L26" i="83"/>
  <c r="S26" i="83"/>
  <c r="O26" i="83"/>
  <c r="N26" i="83"/>
  <c r="R26" i="83"/>
  <c r="S25" i="83"/>
  <c r="L25" i="83"/>
  <c r="N25" i="83"/>
  <c r="T25" i="83"/>
  <c r="P25" i="83"/>
  <c r="K32" i="83"/>
  <c r="Q25" i="83"/>
  <c r="R25" i="83"/>
  <c r="O25" i="83"/>
  <c r="K25" i="83"/>
  <c r="M25" i="83"/>
  <c r="N12" i="83"/>
  <c r="T46" i="106"/>
  <c r="S53" i="106"/>
  <c r="K6" i="5" s="1"/>
  <c r="K8" i="5" s="1"/>
  <c r="T41" i="106"/>
  <c r="T34" i="106"/>
  <c r="T26" i="106"/>
  <c r="T18" i="106"/>
  <c r="T14" i="106"/>
  <c r="T36" i="106"/>
  <c r="T31" i="106"/>
  <c r="T42" i="106"/>
  <c r="T28" i="106"/>
  <c r="T20" i="106"/>
  <c r="T29" i="106"/>
  <c r="T21" i="106"/>
  <c r="T38" i="106"/>
  <c r="T33" i="106"/>
  <c r="T25" i="106"/>
  <c r="T17" i="106"/>
  <c r="T15" i="106"/>
  <c r="T40" i="106"/>
  <c r="T13" i="106"/>
  <c r="T39" i="106"/>
  <c r="T35" i="106"/>
  <c r="T30" i="106"/>
  <c r="T27" i="106"/>
  <c r="T23" i="106"/>
  <c r="T37" i="106"/>
  <c r="T32" i="106"/>
  <c r="T24" i="106"/>
  <c r="T43" i="106"/>
  <c r="T22" i="106"/>
  <c r="T19" i="106"/>
  <c r="T16" i="106"/>
  <c r="S36" i="105"/>
  <c r="T36" i="104"/>
  <c r="T31" i="104"/>
  <c r="T14" i="104"/>
  <c r="T34" i="104"/>
  <c r="T24" i="104"/>
  <c r="T42" i="104"/>
  <c r="T40" i="104"/>
  <c r="T33" i="104"/>
  <c r="T27" i="104"/>
  <c r="T29" i="104"/>
  <c r="T19" i="104"/>
  <c r="T22" i="104"/>
  <c r="T21" i="104"/>
  <c r="T16" i="104"/>
  <c r="T20" i="104"/>
  <c r="T25" i="104"/>
  <c r="T37" i="104"/>
  <c r="T41" i="104"/>
  <c r="T17" i="104"/>
  <c r="T28" i="104"/>
  <c r="T39" i="104"/>
  <c r="T30" i="104"/>
  <c r="T26" i="104"/>
  <c r="T15" i="104"/>
  <c r="T38" i="104"/>
  <c r="T18" i="104"/>
  <c r="T35" i="104"/>
  <c r="T32" i="104"/>
  <c r="T13" i="104"/>
  <c r="T43" i="104"/>
  <c r="T23" i="104"/>
  <c r="S53" i="99"/>
  <c r="I6" i="5" s="1"/>
  <c r="T27" i="99"/>
  <c r="T40" i="99"/>
  <c r="T20" i="99"/>
  <c r="T19" i="99"/>
  <c r="T17" i="99"/>
  <c r="T30" i="99"/>
  <c r="T39" i="99"/>
  <c r="T31" i="99"/>
  <c r="T14" i="99"/>
  <c r="T36" i="99"/>
  <c r="T16" i="99"/>
  <c r="T28" i="99"/>
  <c r="T15" i="99"/>
  <c r="T42" i="99"/>
  <c r="T43" i="99"/>
  <c r="T33" i="99"/>
  <c r="T26" i="99"/>
  <c r="T41" i="99"/>
  <c r="T22" i="99"/>
  <c r="T13" i="99"/>
  <c r="T29" i="99"/>
  <c r="T38" i="99"/>
  <c r="T18" i="99"/>
  <c r="T21" i="99"/>
  <c r="T34" i="99"/>
  <c r="T35" i="99"/>
  <c r="T32" i="99"/>
  <c r="T25" i="99"/>
  <c r="T37" i="99"/>
  <c r="T23" i="99"/>
  <c r="T24" i="99"/>
  <c r="T46" i="80"/>
  <c r="S53" i="80"/>
  <c r="T35" i="80"/>
  <c r="T42" i="80"/>
  <c r="T27" i="80"/>
  <c r="T31" i="80"/>
  <c r="T26" i="80"/>
  <c r="T37" i="80"/>
  <c r="T32" i="80"/>
  <c r="T29" i="80"/>
  <c r="T21" i="80"/>
  <c r="T28" i="80"/>
  <c r="T38" i="80"/>
  <c r="T20" i="80"/>
  <c r="T18" i="80"/>
  <c r="T22" i="80"/>
  <c r="T15" i="80"/>
  <c r="T17" i="80"/>
  <c r="T14" i="80"/>
  <c r="T43" i="80"/>
  <c r="T40" i="80"/>
  <c r="T39" i="80"/>
  <c r="T36" i="80"/>
  <c r="T34" i="80"/>
  <c r="T25" i="80"/>
  <c r="T24" i="80"/>
  <c r="T23" i="80"/>
  <c r="T16" i="80"/>
  <c r="T30" i="80"/>
  <c r="T13" i="80"/>
  <c r="T19" i="80"/>
  <c r="T41" i="80"/>
  <c r="T41" i="103"/>
  <c r="T27" i="103"/>
  <c r="T23" i="103"/>
  <c r="T14" i="103"/>
  <c r="T28" i="103"/>
  <c r="T42" i="103"/>
  <c r="T37" i="103"/>
  <c r="T32" i="103"/>
  <c r="T24" i="103"/>
  <c r="T22" i="103"/>
  <c r="T18" i="103"/>
  <c r="T15" i="103"/>
  <c r="T43" i="103"/>
  <c r="T29" i="103"/>
  <c r="T16" i="103"/>
  <c r="T19" i="103"/>
  <c r="T34" i="103"/>
  <c r="T26" i="103"/>
  <c r="T21" i="103"/>
  <c r="T17" i="103"/>
  <c r="T20" i="103"/>
  <c r="T36" i="103"/>
  <c r="T31" i="103"/>
  <c r="T13" i="103"/>
  <c r="T39" i="103"/>
  <c r="T38" i="103"/>
  <c r="T33" i="103"/>
  <c r="T25" i="103"/>
  <c r="T40" i="103"/>
  <c r="T35" i="103"/>
  <c r="T30" i="103"/>
  <c r="T38" i="102"/>
  <c r="T33" i="102"/>
  <c r="T20" i="102"/>
  <c r="T39" i="102"/>
  <c r="T35" i="102"/>
  <c r="T30" i="102"/>
  <c r="T19" i="102"/>
  <c r="T15" i="102"/>
  <c r="T26" i="102"/>
  <c r="T17" i="102"/>
  <c r="T43" i="102"/>
  <c r="T42" i="102"/>
  <c r="T41" i="102"/>
  <c r="T40" i="102"/>
  <c r="T27" i="102"/>
  <c r="T37" i="102"/>
  <c r="T32" i="102"/>
  <c r="T18" i="102"/>
  <c r="T14" i="102"/>
  <c r="T34" i="102"/>
  <c r="T29" i="102"/>
  <c r="T25" i="102"/>
  <c r="T24" i="102"/>
  <c r="T23" i="102"/>
  <c r="T36" i="102"/>
  <c r="T31" i="102"/>
  <c r="T22" i="102"/>
  <c r="T13" i="102"/>
  <c r="T28" i="102"/>
  <c r="T21" i="102"/>
  <c r="T16" i="102"/>
  <c r="T38" i="101"/>
  <c r="T33" i="101"/>
  <c r="T25" i="101"/>
  <c r="T27" i="101"/>
  <c r="T26" i="101"/>
  <c r="T34" i="101"/>
  <c r="T39" i="101"/>
  <c r="T28" i="101"/>
  <c r="T42" i="101"/>
  <c r="T30" i="101"/>
  <c r="T41" i="101"/>
  <c r="T24" i="101"/>
  <c r="T32" i="101"/>
  <c r="T37" i="101"/>
  <c r="T22" i="101"/>
  <c r="T36" i="101"/>
  <c r="T40" i="101"/>
  <c r="T23" i="101"/>
  <c r="T31" i="101"/>
  <c r="T29" i="101"/>
  <c r="T35" i="101"/>
  <c r="T19" i="101"/>
  <c r="T20" i="101"/>
  <c r="T16" i="101"/>
  <c r="T15" i="101"/>
  <c r="T13" i="101"/>
  <c r="T17" i="101"/>
  <c r="T14" i="101"/>
  <c r="T18" i="101"/>
  <c r="T21" i="101"/>
  <c r="S53" i="101"/>
  <c r="T43" i="100"/>
  <c r="T42" i="100"/>
  <c r="T35" i="100"/>
  <c r="T30" i="100"/>
  <c r="T22" i="100"/>
  <c r="T26" i="100"/>
  <c r="T38" i="100"/>
  <c r="T27" i="100"/>
  <c r="T20" i="100"/>
  <c r="T39" i="100"/>
  <c r="T25" i="100"/>
  <c r="T17" i="100"/>
  <c r="T37" i="100"/>
  <c r="T32" i="100"/>
  <c r="T24" i="100"/>
  <c r="T16" i="100"/>
  <c r="T14" i="100"/>
  <c r="T33" i="100"/>
  <c r="T29" i="100"/>
  <c r="T19" i="100"/>
  <c r="T34" i="100"/>
  <c r="T15" i="100"/>
  <c r="T41" i="100"/>
  <c r="T36" i="100"/>
  <c r="T31" i="100"/>
  <c r="T23" i="100"/>
  <c r="T18" i="100"/>
  <c r="T13" i="100"/>
  <c r="T40" i="100"/>
  <c r="T28" i="100"/>
  <c r="T21" i="100"/>
  <c r="S53" i="100"/>
  <c r="T46" i="100"/>
  <c r="P82" i="18"/>
  <c r="P84" i="18"/>
  <c r="P76" i="18"/>
  <c r="P68" i="18"/>
  <c r="P72" i="18"/>
  <c r="P75" i="18"/>
  <c r="P71" i="18"/>
  <c r="P73" i="18"/>
  <c r="P83" i="18"/>
  <c r="P67" i="18"/>
  <c r="P69" i="18"/>
  <c r="P70" i="18"/>
  <c r="R12" i="83" a="1"/>
  <c r="F6" i="5" l="1"/>
  <c r="F8" i="5" s="1"/>
  <c r="H7" i="5"/>
  <c r="H8" i="5"/>
  <c r="E6" i="5"/>
  <c r="E7" i="5" s="1"/>
  <c r="D8" i="5"/>
  <c r="G8" i="5"/>
  <c r="G9" i="5" s="1"/>
  <c r="G10" i="5" s="1"/>
  <c r="G11" i="5" s="1"/>
  <c r="G12" i="5" s="1"/>
  <c r="G13" i="5" s="1"/>
  <c r="G14" i="5" s="1"/>
  <c r="R12" i="83"/>
  <c r="K7" i="5"/>
  <c r="K9" i="5" s="1"/>
  <c r="K10" i="5" s="1"/>
  <c r="K11" i="5" s="1"/>
  <c r="K12" i="5" s="1"/>
  <c r="K13" i="5" s="1"/>
  <c r="K14" i="5" s="1"/>
  <c r="J7" i="5"/>
  <c r="J8" i="5"/>
  <c r="I8" i="5"/>
  <c r="I7" i="5"/>
  <c r="D7" i="5"/>
  <c r="F7" i="5" l="1"/>
  <c r="F9" i="5" s="1"/>
  <c r="F10" i="5" s="1"/>
  <c r="F11" i="5" s="1"/>
  <c r="F12" i="5" s="1"/>
  <c r="F13" i="5" s="1"/>
  <c r="F14" i="5" s="1"/>
  <c r="D9" i="5"/>
  <c r="D10" i="5" s="1"/>
  <c r="D11" i="5" s="1"/>
  <c r="D12" i="5" s="1"/>
  <c r="D13" i="5" s="1"/>
  <c r="D14" i="5" s="1"/>
  <c r="E8" i="5"/>
  <c r="E9" i="5" s="1"/>
  <c r="E10" i="5" s="1"/>
  <c r="E11" i="5" s="1"/>
  <c r="E12" i="5" s="1"/>
  <c r="E13" i="5" s="1"/>
  <c r="E14" i="5" s="1"/>
  <c r="H9" i="5"/>
  <c r="H10" i="5" s="1"/>
  <c r="H11" i="5" s="1"/>
  <c r="H12" i="5" s="1"/>
  <c r="H13" i="5" s="1"/>
  <c r="H14" i="5" s="1"/>
  <c r="O24" i="83"/>
  <c r="T24" i="83"/>
  <c r="K31" i="83"/>
  <c r="L24" i="83"/>
  <c r="N24" i="83"/>
  <c r="S24" i="83"/>
  <c r="M24" i="83"/>
  <c r="K24" i="83"/>
  <c r="K28" i="83" s="1"/>
  <c r="P24" i="83"/>
  <c r="R24" i="83"/>
  <c r="Q24" i="83"/>
  <c r="I9" i="5"/>
  <c r="I10" i="5" s="1"/>
  <c r="I11" i="5" s="1"/>
  <c r="I12" i="5" s="1"/>
  <c r="I13" i="5" s="1"/>
  <c r="I14" i="5" s="1"/>
  <c r="J9" i="5"/>
  <c r="J10" i="5" s="1"/>
  <c r="J11" i="5" s="1"/>
  <c r="J12" i="5" l="1"/>
  <c r="J13" i="5" s="1"/>
  <c r="J14" i="5" s="1"/>
  <c r="U17" i="16"/>
  <c r="U16" i="16"/>
  <c r="N16" i="16"/>
  <c r="D9" i="84" s="1"/>
  <c r="G31" i="84" s="1"/>
  <c r="D10" i="84"/>
  <c r="J27" i="32"/>
  <c r="J26" i="32"/>
  <c r="J25" i="32"/>
  <c r="J24" i="32"/>
  <c r="J22" i="32"/>
  <c r="J21" i="32"/>
  <c r="J20" i="32"/>
  <c r="J19" i="32"/>
  <c r="J18" i="32"/>
  <c r="J17" i="32"/>
  <c r="K16" i="32"/>
  <c r="L16" i="32" s="1"/>
  <c r="M16" i="32" s="1"/>
  <c r="N16" i="32" s="1"/>
  <c r="O16" i="32" s="1"/>
  <c r="P16" i="32" s="1"/>
  <c r="Q16" i="32" s="1"/>
  <c r="R16" i="32" s="1"/>
  <c r="S16" i="32" s="1"/>
  <c r="T16" i="32" s="1"/>
  <c r="J16" i="32"/>
  <c r="J14" i="32"/>
  <c r="U27" i="16" l="1"/>
  <c r="U26" i="16" s="1"/>
  <c r="D11" i="84" s="1"/>
  <c r="J32" i="84"/>
  <c r="Z32" i="84"/>
  <c r="R32" i="84"/>
  <c r="AB32" i="84"/>
  <c r="N32" i="84"/>
  <c r="AE32" i="84"/>
  <c r="K32" i="84"/>
  <c r="V32" i="84"/>
  <c r="H32" i="84"/>
  <c r="S32" i="84"/>
  <c r="AD32" i="84"/>
  <c r="P32" i="84"/>
  <c r="I32" i="84"/>
  <c r="AA32" i="84"/>
  <c r="M32" i="84"/>
  <c r="X32" i="84"/>
  <c r="Q32" i="84"/>
  <c r="U32" i="84"/>
  <c r="Y32" i="84"/>
  <c r="AC32" i="84"/>
  <c r="G32" i="84"/>
  <c r="W32" i="84"/>
  <c r="L32" i="84"/>
  <c r="O32" i="84"/>
  <c r="T32" i="84"/>
  <c r="R31" i="84"/>
  <c r="AC31" i="84"/>
  <c r="Y31" i="84"/>
  <c r="L31" i="84"/>
  <c r="O31" i="84"/>
  <c r="T31" i="84"/>
  <c r="W31" i="84"/>
  <c r="Z31" i="84"/>
  <c r="AB31" i="84"/>
  <c r="N31" i="84"/>
  <c r="AE31" i="84"/>
  <c r="K31" i="84"/>
  <c r="V31" i="84"/>
  <c r="H31" i="84"/>
  <c r="S31" i="84"/>
  <c r="J31" i="84"/>
  <c r="AD31" i="84"/>
  <c r="P31" i="84"/>
  <c r="Q31" i="84"/>
  <c r="AA31" i="84"/>
  <c r="M31" i="84"/>
  <c r="X31" i="84"/>
  <c r="I31" i="84"/>
  <c r="U31" i="84"/>
  <c r="D8" i="84"/>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G33" i="84" l="1"/>
  <c r="I33" i="84"/>
  <c r="Y33" i="84"/>
  <c r="Q33" i="84"/>
  <c r="S33" i="84"/>
  <c r="AB33" i="84"/>
  <c r="K33" i="84"/>
  <c r="AE33" i="84"/>
  <c r="X33" i="84"/>
  <c r="L33" i="84"/>
  <c r="O33" i="84"/>
  <c r="W33" i="84"/>
  <c r="AC33" i="84"/>
  <c r="J33" i="84"/>
  <c r="N33" i="84"/>
  <c r="H33" i="84"/>
  <c r="AA33" i="84"/>
  <c r="M33" i="84"/>
  <c r="R33" i="84"/>
  <c r="T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R34" i="84"/>
  <c r="Z34" i="84"/>
  <c r="J34" i="84"/>
  <c r="AA34" i="84"/>
  <c r="M34" i="84"/>
  <c r="AD34" i="84"/>
  <c r="X34" i="84"/>
  <c r="Y34" i="84"/>
  <c r="U34" i="84"/>
  <c r="AC34" i="84"/>
  <c r="G34" i="84"/>
  <c r="L34" i="84"/>
  <c r="O34" i="84"/>
  <c r="P34" i="84"/>
  <c r="T34" i="84"/>
  <c r="W34" i="84"/>
  <c r="V34" i="84"/>
  <c r="AB34" i="84"/>
  <c r="AE34" i="84"/>
  <c r="K34" i="84"/>
  <c r="N34" i="84"/>
  <c r="H34" i="84"/>
  <c r="I34" i="84"/>
  <c r="S34" i="84"/>
  <c r="Q34" i="84"/>
  <c r="S22" i="32"/>
  <c r="R22" i="32"/>
  <c r="S18" i="32"/>
  <c r="T21" i="32"/>
  <c r="T18" i="32"/>
  <c r="S19" i="32"/>
  <c r="S17" i="32"/>
  <c r="T22" i="32"/>
  <c r="T20" i="32"/>
  <c r="S21" i="32"/>
  <c r="R18" i="32"/>
  <c r="T19" i="32"/>
  <c r="R17" i="32"/>
  <c r="R19" i="32"/>
  <c r="R20" i="32"/>
  <c r="R21" i="32"/>
  <c r="S20" i="32"/>
  <c r="H19" i="84" l="1"/>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F29" i="84" l="1"/>
  <c r="F35" i="84" s="1"/>
  <c r="F37" i="84" l="1"/>
  <c r="E29" i="84"/>
  <c r="E35" i="84" s="1"/>
  <c r="E37" i="84" s="1"/>
  <c r="C29" i="84"/>
  <c r="D29" i="84"/>
  <c r="D35" i="84" s="1"/>
  <c r="H17" i="84" l="1"/>
  <c r="D37" i="84"/>
  <c r="C35" i="84"/>
  <c r="C37" i="84" l="1"/>
  <c r="H21" i="84" l="1"/>
  <c r="H22" i="84"/>
  <c r="H20" i="84"/>
  <c r="C38" i="84"/>
  <c r="H16" i="84" l="1"/>
  <c r="C39" i="84"/>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1793FEDE-EEB3-448A-AAD5-2E39E4D153EA}">
      <text>
        <r>
          <rPr>
            <b/>
            <sz val="9"/>
            <color indexed="81"/>
            <rFont val="Tahoma"/>
            <family val="2"/>
          </rPr>
          <t>Carlos Arnaiz del Pozo:</t>
        </r>
        <r>
          <rPr>
            <sz val="9"/>
            <color indexed="81"/>
            <rFont val="Tahoma"/>
            <family val="2"/>
          </rPr>
          <t xml:space="preserve">
Specify vessel diameter in m</t>
        </r>
      </text>
    </comment>
    <comment ref="L14" authorId="0" shapeId="0" xr:uid="{64068B87-34C1-47D0-B040-05E63B4E8383}">
      <text>
        <r>
          <rPr>
            <b/>
            <sz val="9"/>
            <color indexed="81"/>
            <rFont val="Tahoma"/>
            <family val="2"/>
          </rPr>
          <t>Carlos Arnaiz del Pozo:</t>
        </r>
        <r>
          <rPr>
            <sz val="9"/>
            <color indexed="81"/>
            <rFont val="Tahoma"/>
            <family val="2"/>
          </rPr>
          <t xml:space="preserve">
Specify vessel diameter in m</t>
        </r>
      </text>
    </comment>
    <comment ref="L18" authorId="0" shapeId="0" xr:uid="{99637DD1-33FC-42D5-BF36-FB0A8C59B728}">
      <text>
        <r>
          <rPr>
            <b/>
            <sz val="9"/>
            <color indexed="81"/>
            <rFont val="Tahoma"/>
            <family val="2"/>
          </rPr>
          <t>Carlos Arnaiz del Pozo:</t>
        </r>
        <r>
          <rPr>
            <sz val="9"/>
            <color indexed="81"/>
            <rFont val="Tahoma"/>
            <family val="2"/>
          </rPr>
          <t xml:space="preserve">
Specify "shell and tube" or "tube only"</t>
        </r>
      </text>
    </comment>
    <comment ref="L19" authorId="0" shapeId="0" xr:uid="{14B505B6-FCA7-4721-BB95-7C5095CA721A}">
      <text>
        <r>
          <rPr>
            <b/>
            <sz val="9"/>
            <color indexed="81"/>
            <rFont val="Tahoma"/>
            <family val="2"/>
          </rPr>
          <t>Carlos Arnaiz del Pozo:</t>
        </r>
        <r>
          <rPr>
            <sz val="9"/>
            <color indexed="81"/>
            <rFont val="Tahoma"/>
            <family val="2"/>
          </rPr>
          <t xml:space="preserve">
Specify "shell and tube" or "tube only"</t>
        </r>
      </text>
    </comment>
    <comment ref="L20" authorId="0" shapeId="0" xr:uid="{92ADA8E6-AD4F-4ACF-870A-EA659E0518E8}">
      <text>
        <r>
          <rPr>
            <b/>
            <sz val="9"/>
            <color indexed="81"/>
            <rFont val="Tahoma"/>
            <family val="2"/>
          </rPr>
          <t>Carlos Arnaiz del Pozo:</t>
        </r>
        <r>
          <rPr>
            <sz val="9"/>
            <color indexed="81"/>
            <rFont val="Tahoma"/>
            <family val="2"/>
          </rPr>
          <t xml:space="preserve">
Specify "shell and tube" or "tube only"</t>
        </r>
      </text>
    </comment>
    <comment ref="L21" authorId="0" shapeId="0" xr:uid="{89AEA34C-03F7-4D44-A519-367940A8EC27}">
      <text>
        <r>
          <rPr>
            <b/>
            <sz val="9"/>
            <color indexed="81"/>
            <rFont val="Tahoma"/>
            <family val="2"/>
          </rPr>
          <t>Carlos Arnaiz del Pozo:</t>
        </r>
        <r>
          <rPr>
            <sz val="9"/>
            <color indexed="81"/>
            <rFont val="Tahoma"/>
            <family val="2"/>
          </rPr>
          <t xml:space="preserve">
Specify "shell and tube" or "tube only"</t>
        </r>
      </text>
    </comment>
    <comment ref="L22" authorId="0" shapeId="0" xr:uid="{B365A11A-8FA1-42BC-9F32-A477C4FFED40}">
      <text>
        <r>
          <rPr>
            <b/>
            <sz val="9"/>
            <color indexed="81"/>
            <rFont val="Tahoma"/>
            <family val="2"/>
          </rPr>
          <t>Carlos Arnaiz del Pozo:</t>
        </r>
        <r>
          <rPr>
            <sz val="9"/>
            <color indexed="81"/>
            <rFont val="Tahoma"/>
            <family val="2"/>
          </rPr>
          <t xml:space="preserve">
Specify "shell and tube" or "tube only"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4EAEEBD6-9B63-4EEC-A610-D1A00BE7ACA2}">
      <text>
        <r>
          <rPr>
            <b/>
            <sz val="9"/>
            <color indexed="81"/>
            <rFont val="Tahoma"/>
            <family val="2"/>
          </rPr>
          <t>Carlos Arnaiz del Pozo:</t>
        </r>
        <r>
          <rPr>
            <sz val="9"/>
            <color indexed="81"/>
            <rFont val="Tahoma"/>
            <family val="2"/>
          </rPr>
          <t xml:space="preserve">
Specify "shell and tube" or "tube only"</t>
        </r>
      </text>
    </comment>
    <comment ref="L14" authorId="0" shapeId="0" xr:uid="{1A18780B-6EF5-4207-AA3E-E16EB50A7A8F}">
      <text>
        <r>
          <rPr>
            <b/>
            <sz val="9"/>
            <color indexed="81"/>
            <rFont val="Tahoma"/>
            <family val="2"/>
          </rPr>
          <t>Carlos Arnaiz del Pozo:</t>
        </r>
        <r>
          <rPr>
            <sz val="9"/>
            <color indexed="81"/>
            <rFont val="Tahoma"/>
            <family val="2"/>
          </rPr>
          <t xml:space="preserve">
Specify "shell and tube" or "tube only"</t>
        </r>
      </text>
    </comment>
    <comment ref="L15" authorId="0" shapeId="0" xr:uid="{1381DB5B-34A3-44D5-9853-B5CD1E12712B}">
      <text>
        <r>
          <rPr>
            <b/>
            <sz val="9"/>
            <color indexed="81"/>
            <rFont val="Tahoma"/>
            <family val="2"/>
          </rPr>
          <t>Carlos Arnaiz del Pozo:</t>
        </r>
        <r>
          <rPr>
            <sz val="9"/>
            <color indexed="81"/>
            <rFont val="Tahoma"/>
            <family val="2"/>
          </rPr>
          <t xml:space="preserve">
Specify "shell and tube" or "tube only"</t>
        </r>
      </text>
    </comment>
    <comment ref="L16" authorId="0" shapeId="0" xr:uid="{A83CAF80-AB11-4E5A-BE7B-55FDA4DB34EB}">
      <text>
        <r>
          <rPr>
            <b/>
            <sz val="9"/>
            <color indexed="81"/>
            <rFont val="Tahoma"/>
            <family val="2"/>
          </rPr>
          <t>Carlos Arnaiz del Pozo:</t>
        </r>
        <r>
          <rPr>
            <sz val="9"/>
            <color indexed="81"/>
            <rFont val="Tahoma"/>
            <family val="2"/>
          </rPr>
          <t xml:space="preserve">
Specify "shell and tube" or "tube only"</t>
        </r>
      </text>
    </comment>
    <comment ref="L17" authorId="0" shapeId="0" xr:uid="{98E86E09-001B-4C2B-81E0-E7B9070D3FB3}">
      <text>
        <r>
          <rPr>
            <b/>
            <sz val="9"/>
            <color indexed="81"/>
            <rFont val="Tahoma"/>
            <family val="2"/>
          </rPr>
          <t>Carlos Arnaiz del Pozo:</t>
        </r>
        <r>
          <rPr>
            <sz val="9"/>
            <color indexed="81"/>
            <rFont val="Tahoma"/>
            <family val="2"/>
          </rPr>
          <t xml:space="preserve">
Specify vessel diameter in m</t>
        </r>
      </text>
    </comment>
    <comment ref="L18" authorId="0" shapeId="0" xr:uid="{3AC31A5E-9DB8-4264-9A44-A96856706778}">
      <text>
        <r>
          <rPr>
            <b/>
            <sz val="9"/>
            <color indexed="81"/>
            <rFont val="Tahoma"/>
            <family val="2"/>
          </rPr>
          <t>Carlos Arnaiz del Pozo:</t>
        </r>
        <r>
          <rPr>
            <sz val="9"/>
            <color indexed="81"/>
            <rFont val="Tahoma"/>
            <family val="2"/>
          </rPr>
          <t xml:space="preserve">
Specify vessel diameter in m</t>
        </r>
      </text>
    </comment>
    <comment ref="L19" authorId="0" shapeId="0" xr:uid="{8BB7E48A-3E15-44F6-9F9D-FAD4B70572C8}">
      <text>
        <r>
          <rPr>
            <b/>
            <sz val="9"/>
            <color indexed="81"/>
            <rFont val="Tahoma"/>
            <family val="2"/>
          </rPr>
          <t>Carlos Arnaiz del Pozo:</t>
        </r>
        <r>
          <rPr>
            <sz val="9"/>
            <color indexed="81"/>
            <rFont val="Tahoma"/>
            <family val="2"/>
          </rPr>
          <t xml:space="preserve">
Specify vessel diameter in m</t>
        </r>
      </text>
    </comment>
    <comment ref="L20" authorId="0" shapeId="0" xr:uid="{D0AB9771-4F97-4581-A145-A5925A5DB591}">
      <text>
        <r>
          <rPr>
            <b/>
            <sz val="9"/>
            <color indexed="81"/>
            <rFont val="Tahoma"/>
            <family val="2"/>
          </rPr>
          <t>Carlos Arnaiz del Pozo:</t>
        </r>
        <r>
          <rPr>
            <sz val="9"/>
            <color indexed="81"/>
            <rFont val="Tahoma"/>
            <family val="2"/>
          </rPr>
          <t xml:space="preserve">
Specify "shell and tube" or "tube only"</t>
        </r>
      </text>
    </comment>
    <comment ref="L21" authorId="0" shapeId="0" xr:uid="{54ABBCCA-B294-4525-8B7E-387E85C63B6D}">
      <text>
        <r>
          <rPr>
            <b/>
            <sz val="9"/>
            <color indexed="81"/>
            <rFont val="Tahoma"/>
            <family val="2"/>
          </rPr>
          <t>Carlos Arnaiz del Pozo:</t>
        </r>
        <r>
          <rPr>
            <sz val="9"/>
            <color indexed="81"/>
            <rFont val="Tahoma"/>
            <family val="2"/>
          </rPr>
          <t xml:space="preserve">
Specify "shell and tube" or "tube only"</t>
        </r>
      </text>
    </comment>
    <comment ref="L22" authorId="0" shapeId="0" xr:uid="{965F6310-E04E-4409-962E-404905C8109F}">
      <text>
        <r>
          <rPr>
            <b/>
            <sz val="9"/>
            <color indexed="81"/>
            <rFont val="Tahoma"/>
            <family val="2"/>
          </rPr>
          <t>Carlos Arnaiz del Pozo:</t>
        </r>
        <r>
          <rPr>
            <sz val="9"/>
            <color indexed="81"/>
            <rFont val="Tahoma"/>
            <family val="2"/>
          </rPr>
          <t xml:space="preserve">
Specify "shell and tube" or "tube only"</t>
        </r>
      </text>
    </comment>
    <comment ref="L23" authorId="0" shapeId="0" xr:uid="{333F03DB-D47E-48F2-BA28-689C43431ED3}">
      <text>
        <r>
          <rPr>
            <b/>
            <sz val="9"/>
            <color indexed="81"/>
            <rFont val="Tahoma"/>
            <family val="2"/>
          </rPr>
          <t>Carlos Arnaiz del Pozo:</t>
        </r>
        <r>
          <rPr>
            <sz val="9"/>
            <color indexed="81"/>
            <rFont val="Tahoma"/>
            <family val="2"/>
          </rPr>
          <t xml:space="preserve">
Specify "shell and tube" or "tube only"</t>
        </r>
      </text>
    </comment>
    <comment ref="L24" authorId="0" shapeId="0" xr:uid="{917EB222-C0A1-4762-89C2-F233E1AE3405}">
      <text>
        <r>
          <rPr>
            <b/>
            <sz val="9"/>
            <color indexed="81"/>
            <rFont val="Tahoma"/>
            <family val="2"/>
          </rPr>
          <t>Carlos Arnaiz del Pozo:</t>
        </r>
        <r>
          <rPr>
            <sz val="9"/>
            <color indexed="81"/>
            <rFont val="Tahoma"/>
            <family val="2"/>
          </rPr>
          <t xml:space="preserve">
Specify vessel diameter in m</t>
        </r>
      </text>
    </comment>
    <comment ref="L25" authorId="0" shapeId="0" xr:uid="{2BD50F1C-4928-490A-9EF0-110A2BDB9D66}">
      <text>
        <r>
          <rPr>
            <b/>
            <sz val="9"/>
            <color indexed="81"/>
            <rFont val="Tahoma"/>
            <family val="2"/>
          </rPr>
          <t>Carlos Arnaiz del Pozo:</t>
        </r>
        <r>
          <rPr>
            <sz val="9"/>
            <color indexed="81"/>
            <rFont val="Tahoma"/>
            <family val="2"/>
          </rPr>
          <t xml:space="preserve">
Specify vessel diameter in m</t>
        </r>
      </text>
    </comment>
    <comment ref="L26" authorId="0" shapeId="0" xr:uid="{DC5F79F9-D967-4FFF-BD23-72FE8CD9CFEA}">
      <text>
        <r>
          <rPr>
            <b/>
            <sz val="9"/>
            <color indexed="81"/>
            <rFont val="Tahoma"/>
            <family val="2"/>
          </rPr>
          <t>Carlos Arnaiz del Pozo:</t>
        </r>
        <r>
          <rPr>
            <sz val="9"/>
            <color indexed="81"/>
            <rFont val="Tahoma"/>
            <family val="2"/>
          </rPr>
          <t xml:space="preserve">
Specify vessel diameter in 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Carlos Arnaiz del Pozo</author>
    <author>Schalk Cloete</author>
    <author>tc={CDF9D107-8412-4CE9-9F2E-3FF0BB9A248F}</author>
  </authors>
  <commentList>
    <comment ref="L13" authorId="0" shapeId="0" xr:uid="{0549CB86-BE1A-442E-8849-C048325133D1}">
      <text>
        <r>
          <rPr>
            <b/>
            <sz val="9"/>
            <color indexed="81"/>
            <rFont val="Tahoma"/>
            <family val="2"/>
          </rPr>
          <t>Carlos Arnaiz del Pozo:</t>
        </r>
        <r>
          <rPr>
            <sz val="9"/>
            <color indexed="81"/>
            <rFont val="Tahoma"/>
            <family val="2"/>
          </rPr>
          <t xml:space="preserve">
Specify "shell and tube" or "tube only"</t>
        </r>
      </text>
    </comment>
    <comment ref="L14" authorId="0" shapeId="0" xr:uid="{9861BB66-353B-4EAF-86CD-770E0A223D70}">
      <text>
        <r>
          <rPr>
            <b/>
            <sz val="9"/>
            <color indexed="81"/>
            <rFont val="Tahoma"/>
            <family val="2"/>
          </rPr>
          <t>Carlos Arnaiz del Pozo:</t>
        </r>
        <r>
          <rPr>
            <sz val="9"/>
            <color indexed="81"/>
            <rFont val="Tahoma"/>
            <family val="2"/>
          </rPr>
          <t xml:space="preserve">
Specify "shell and tube" or "tube only"</t>
        </r>
      </text>
    </comment>
    <comment ref="L15" authorId="0" shapeId="0" xr:uid="{59D04D19-4245-4E0F-AF96-123CFB144BCE}">
      <text>
        <r>
          <rPr>
            <b/>
            <sz val="9"/>
            <color indexed="81"/>
            <rFont val="Tahoma"/>
            <family val="2"/>
          </rPr>
          <t>Carlos Arnaiz del Pozo:</t>
        </r>
        <r>
          <rPr>
            <sz val="9"/>
            <color indexed="81"/>
            <rFont val="Tahoma"/>
            <family val="2"/>
          </rPr>
          <t xml:space="preserve">
Specify "shell and tube" or "tube only"</t>
        </r>
      </text>
    </comment>
    <comment ref="L16" authorId="0" shapeId="0" xr:uid="{E0AB535E-EE83-45B9-AF21-17A032D8AD01}">
      <text>
        <r>
          <rPr>
            <b/>
            <sz val="9"/>
            <color indexed="81"/>
            <rFont val="Tahoma"/>
            <family val="2"/>
          </rPr>
          <t>Carlos Arnaiz del Pozo:</t>
        </r>
        <r>
          <rPr>
            <sz val="9"/>
            <color indexed="81"/>
            <rFont val="Tahoma"/>
            <family val="2"/>
          </rPr>
          <t xml:space="preserve">
Specify "shell and tube" or "tube only"</t>
        </r>
      </text>
    </comment>
    <comment ref="L19" authorId="0" shapeId="0" xr:uid="{00789E0D-9B71-435B-8C66-34E021252219}">
      <text>
        <r>
          <rPr>
            <b/>
            <sz val="9"/>
            <color indexed="81"/>
            <rFont val="Tahoma"/>
            <family val="2"/>
          </rPr>
          <t>Carlos Arnaiz del Pozo:</t>
        </r>
        <r>
          <rPr>
            <sz val="9"/>
            <color indexed="81"/>
            <rFont val="Tahoma"/>
            <family val="2"/>
          </rPr>
          <t xml:space="preserve">
Specify vessel diameter in m</t>
        </r>
      </text>
    </comment>
    <comment ref="Y54" authorId="1" shapeId="0" xr:uid="{7EA5A9EA-B5B2-45BA-A93F-728A822CF9C3}">
      <text>
        <r>
          <rPr>
            <b/>
            <sz val="9"/>
            <color indexed="81"/>
            <rFont val="Tahoma"/>
            <family val="2"/>
          </rPr>
          <t>Schalk Cloete:</t>
        </r>
        <r>
          <rPr>
            <sz val="9"/>
            <color indexed="81"/>
            <rFont val="Tahoma"/>
            <family val="2"/>
          </rPr>
          <t xml:space="preserve">
Added as a variable. </t>
        </r>
      </text>
    </comment>
    <comment ref="W66" authorId="2" shapeId="0" xr:uid="{CDF9D107-8412-4CE9-9F2E-3FF0BB9A248F}">
      <text>
        <t>[Threaded comment]
Your version of Excel allows you to read this threaded comment; however, any edits to it will get removed if the file is opened in a newer version of Excel. Learn more: https://go.microsoft.com/fwlink/?linkid=870924
Comment:
    check</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Carlos Arnaiz del Pozo</author>
    <author>Schalk Cloete</author>
  </authors>
  <commentList>
    <comment ref="L13" authorId="0" shapeId="0" xr:uid="{DD166E73-4CC7-4C7F-9970-6A5571AE7D88}">
      <text>
        <r>
          <rPr>
            <b/>
            <sz val="9"/>
            <color indexed="81"/>
            <rFont val="Tahoma"/>
            <family val="2"/>
          </rPr>
          <t>Carlos Arnaiz del Pozo:</t>
        </r>
        <r>
          <rPr>
            <sz val="9"/>
            <color indexed="81"/>
            <rFont val="Tahoma"/>
            <family val="2"/>
          </rPr>
          <t xml:space="preserve">
Specify vessel diameter in m</t>
        </r>
      </text>
    </comment>
    <comment ref="L14" authorId="0" shapeId="0" xr:uid="{9C9B5F22-D2F0-4791-90D9-9F2E209380C4}">
      <text>
        <r>
          <rPr>
            <b/>
            <sz val="9"/>
            <color indexed="81"/>
            <rFont val="Tahoma"/>
            <family val="2"/>
          </rPr>
          <t>Carlos Arnaiz del Pozo:</t>
        </r>
        <r>
          <rPr>
            <sz val="9"/>
            <color indexed="81"/>
            <rFont val="Tahoma"/>
            <family val="2"/>
          </rPr>
          <t xml:space="preserve">
Specify vessel diameter in m</t>
        </r>
      </text>
    </comment>
    <comment ref="L16" authorId="0" shapeId="0" xr:uid="{7CAB1F92-ED89-4EFE-9722-67D95597FDB0}">
      <text>
        <r>
          <rPr>
            <b/>
            <sz val="9"/>
            <color indexed="81"/>
            <rFont val="Tahoma"/>
            <family val="2"/>
          </rPr>
          <t>Carlos Arnaiz del Pozo:</t>
        </r>
        <r>
          <rPr>
            <sz val="9"/>
            <color indexed="81"/>
            <rFont val="Tahoma"/>
            <family val="2"/>
          </rPr>
          <t xml:space="preserve">
Specify "shell and tube" or "tube only"</t>
        </r>
      </text>
    </comment>
    <comment ref="L17" authorId="0" shapeId="0" xr:uid="{C368D269-8F54-471C-AB43-E9C2219B3932}">
      <text>
        <r>
          <rPr>
            <b/>
            <sz val="9"/>
            <color indexed="81"/>
            <rFont val="Tahoma"/>
            <family val="2"/>
          </rPr>
          <t>Carlos Arnaiz del Pozo:</t>
        </r>
        <r>
          <rPr>
            <sz val="9"/>
            <color indexed="81"/>
            <rFont val="Tahoma"/>
            <family val="2"/>
          </rPr>
          <t xml:space="preserve">
Specify "shell and tube" or "tube only"</t>
        </r>
      </text>
    </comment>
    <comment ref="I18" authorId="1" shapeId="0" xr:uid="{E5DE1248-832F-406D-B7E4-5ABF80B3B909}">
      <text>
        <r>
          <rPr>
            <b/>
            <sz val="9"/>
            <color indexed="81"/>
            <rFont val="Tahoma"/>
            <family val="2"/>
          </rPr>
          <t>Schalk Cloete:</t>
        </r>
        <r>
          <rPr>
            <sz val="9"/>
            <color indexed="81"/>
            <rFont val="Tahoma"/>
            <family val="2"/>
          </rPr>
          <t xml:space="preserve">
More expensive materials due to high temperatures.</t>
        </r>
      </text>
    </comment>
    <comment ref="L18" authorId="0" shapeId="0" xr:uid="{E92A76E8-343E-4214-A1DA-617B6872A1DF}">
      <text>
        <r>
          <rPr>
            <b/>
            <sz val="9"/>
            <color indexed="81"/>
            <rFont val="Tahoma"/>
            <family val="2"/>
          </rPr>
          <t>Carlos Arnaiz del Pozo:</t>
        </r>
        <r>
          <rPr>
            <sz val="9"/>
            <color indexed="81"/>
            <rFont val="Tahoma"/>
            <family val="2"/>
          </rPr>
          <t xml:space="preserve">
Specify "shell and tube" or "tube only"</t>
        </r>
      </text>
    </comment>
    <comment ref="L19" authorId="0" shapeId="0" xr:uid="{94F4E5D6-1405-4B22-9340-F1E3333C3B79}">
      <text>
        <r>
          <rPr>
            <b/>
            <sz val="9"/>
            <color indexed="81"/>
            <rFont val="Tahoma"/>
            <family val="2"/>
          </rPr>
          <t>Carlos Arnaiz del Pozo:</t>
        </r>
        <r>
          <rPr>
            <sz val="9"/>
            <color indexed="81"/>
            <rFont val="Tahoma"/>
            <family val="2"/>
          </rPr>
          <t xml:space="preserve">
Specify "shell and tube" or "tube only"</t>
        </r>
      </text>
    </comment>
    <comment ref="L20" authorId="0" shapeId="0" xr:uid="{55E6722E-A409-4AF7-833A-02E34F66547E}">
      <text>
        <r>
          <rPr>
            <b/>
            <sz val="9"/>
            <color indexed="81"/>
            <rFont val="Tahoma"/>
            <family val="2"/>
          </rPr>
          <t>Carlos Arnaiz del Pozo:</t>
        </r>
        <r>
          <rPr>
            <sz val="9"/>
            <color indexed="81"/>
            <rFont val="Tahoma"/>
            <family val="2"/>
          </rPr>
          <t xml:space="preserve">
Specify "shell and tube" or "tube only"</t>
        </r>
      </text>
    </comment>
    <comment ref="L21" authorId="0" shapeId="0" xr:uid="{5C6F4E99-8EC0-4611-AAA6-8630BC457651}">
      <text>
        <r>
          <rPr>
            <b/>
            <sz val="9"/>
            <color indexed="81"/>
            <rFont val="Tahoma"/>
            <family val="2"/>
          </rPr>
          <t>Carlos Arnaiz del Pozo:</t>
        </r>
        <r>
          <rPr>
            <sz val="9"/>
            <color indexed="81"/>
            <rFont val="Tahoma"/>
            <family val="2"/>
          </rPr>
          <t xml:space="preserve">
Specify "shell and tube" or "tube only"</t>
        </r>
      </text>
    </comment>
    <comment ref="L22" authorId="0" shapeId="0" xr:uid="{6F34F9A4-CDA1-4146-BB1F-E92555A31943}">
      <text>
        <r>
          <rPr>
            <b/>
            <sz val="9"/>
            <color indexed="81"/>
            <rFont val="Tahoma"/>
            <family val="2"/>
          </rPr>
          <t>Carlos Arnaiz del Pozo:</t>
        </r>
        <r>
          <rPr>
            <sz val="9"/>
            <color indexed="81"/>
            <rFont val="Tahoma"/>
            <family val="2"/>
          </rPr>
          <t xml:space="preserve">
Specify "shell and tube" or "tube only"</t>
        </r>
      </text>
    </comment>
    <comment ref="L23" authorId="0" shapeId="0" xr:uid="{0CED55B1-CE7D-4FC9-B427-AEE4BFFB85DE}">
      <text>
        <r>
          <rPr>
            <b/>
            <sz val="9"/>
            <color indexed="81"/>
            <rFont val="Tahoma"/>
            <family val="2"/>
          </rPr>
          <t>Carlos Arnaiz del Pozo:</t>
        </r>
        <r>
          <rPr>
            <sz val="9"/>
            <color indexed="81"/>
            <rFont val="Tahoma"/>
            <family val="2"/>
          </rPr>
          <t xml:space="preserve">
Specify "shell and tube" or "tube only"</t>
        </r>
      </text>
    </comment>
    <comment ref="L24" authorId="0" shapeId="0" xr:uid="{E07948EC-2354-4E6E-9A34-60B0A6F178BA}">
      <text>
        <r>
          <rPr>
            <b/>
            <sz val="9"/>
            <color indexed="81"/>
            <rFont val="Tahoma"/>
            <family val="2"/>
          </rPr>
          <t>Carlos Arnaiz del Pozo:</t>
        </r>
        <r>
          <rPr>
            <sz val="9"/>
            <color indexed="81"/>
            <rFont val="Tahoma"/>
            <family val="2"/>
          </rPr>
          <t xml:space="preserve">
Specify "shell and tube" or "tube only"</t>
        </r>
      </text>
    </comment>
    <comment ref="AH37" authorId="1" shapeId="0" xr:uid="{72B0D276-CF52-4FE8-9010-4384867905E5}">
      <text>
        <r>
          <rPr>
            <b/>
            <sz val="9"/>
            <color indexed="81"/>
            <rFont val="Tahoma"/>
            <family val="2"/>
          </rPr>
          <t xml:space="preserve">Schalk Cloete
Increased from 1.5 because the burners could be quite costly. </t>
        </r>
      </text>
    </comment>
    <comment ref="AA52" authorId="1" shapeId="0" xr:uid="{353AE5EE-5FF2-436B-BE78-83C0AC8E55AC}">
      <text>
        <r>
          <rPr>
            <b/>
            <sz val="9"/>
            <color indexed="81"/>
            <rFont val="Tahoma"/>
            <family val="2"/>
          </rPr>
          <t>Schalk Cloete:</t>
        </r>
        <r>
          <rPr>
            <sz val="9"/>
            <color indexed="81"/>
            <rFont val="Tahoma"/>
            <family val="2"/>
          </rPr>
          <t xml:space="preserve">
I assumed some economies of scale with more tubes.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Carlos Arnaiz del Pozo</author>
    <author>Schalk Cloete</author>
  </authors>
  <commentList>
    <comment ref="L18" authorId="0" shapeId="0" xr:uid="{3CC2B9BB-BF03-4742-84F2-28B7CC912F3D}">
      <text>
        <r>
          <rPr>
            <b/>
            <sz val="9"/>
            <color indexed="81"/>
            <rFont val="Tahoma"/>
            <family val="2"/>
          </rPr>
          <t>Carlos Arnaiz del Pozo:</t>
        </r>
        <r>
          <rPr>
            <sz val="9"/>
            <color indexed="81"/>
            <rFont val="Tahoma"/>
            <family val="2"/>
          </rPr>
          <t xml:space="preserve">
Specify "shell and tube" or "tube only"</t>
        </r>
      </text>
    </comment>
    <comment ref="L25" authorId="0" shapeId="0" xr:uid="{26D0755C-883F-42AE-8C20-288983984B41}">
      <text>
        <r>
          <rPr>
            <b/>
            <sz val="9"/>
            <color indexed="81"/>
            <rFont val="Tahoma"/>
            <family val="2"/>
          </rPr>
          <t>Carlos Arnaiz del Pozo:</t>
        </r>
        <r>
          <rPr>
            <sz val="9"/>
            <color indexed="81"/>
            <rFont val="Tahoma"/>
            <family val="2"/>
          </rPr>
          <t xml:space="preserve">
Specify vessel diameter in m</t>
        </r>
      </text>
    </comment>
    <comment ref="AA43" authorId="1" shapeId="0" xr:uid="{73843151-E6A3-4D01-9DF6-840F54D0B624}">
      <text>
        <r>
          <rPr>
            <b/>
            <sz val="9"/>
            <color indexed="81"/>
            <rFont val="Tahoma"/>
            <family val="2"/>
          </rPr>
          <t>Schalk Cloete:</t>
        </r>
        <r>
          <rPr>
            <sz val="9"/>
            <color indexed="81"/>
            <rFont val="Tahoma"/>
            <family val="2"/>
          </rPr>
          <t xml:space="preserve">
What is this unit? Why not use the flas drum correlation if it separates out water?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D2DF4DB5-0301-4C2A-B163-971F3637BDC2}">
      <text>
        <r>
          <rPr>
            <b/>
            <sz val="9"/>
            <color indexed="81"/>
            <rFont val="Tahoma"/>
            <family val="2"/>
          </rPr>
          <t>Carlos Arnaiz del Pozo:</t>
        </r>
        <r>
          <rPr>
            <sz val="9"/>
            <color indexed="81"/>
            <rFont val="Tahoma"/>
            <family val="2"/>
          </rPr>
          <t xml:space="preserve">
Specify "shell and tube" or "tube only"</t>
        </r>
      </text>
    </comment>
    <comment ref="L14" authorId="0" shapeId="0" xr:uid="{C3705179-20F7-42A5-94A8-C72380432D87}">
      <text>
        <r>
          <rPr>
            <b/>
            <sz val="9"/>
            <color indexed="81"/>
            <rFont val="Tahoma"/>
            <family val="2"/>
          </rPr>
          <t>Carlos Arnaiz del Pozo:</t>
        </r>
        <r>
          <rPr>
            <sz val="9"/>
            <color indexed="81"/>
            <rFont val="Tahoma"/>
            <family val="2"/>
          </rPr>
          <t xml:space="preserve">
Specify "shell and tube" or "tube only"</t>
        </r>
      </text>
    </comment>
    <comment ref="L15" authorId="0" shapeId="0" xr:uid="{A2F3E190-5380-4262-9E68-8E5AE86F2AFB}">
      <text>
        <r>
          <rPr>
            <b/>
            <sz val="9"/>
            <color indexed="81"/>
            <rFont val="Tahoma"/>
            <family val="2"/>
          </rPr>
          <t>Carlos Arnaiz del Pozo:</t>
        </r>
        <r>
          <rPr>
            <sz val="9"/>
            <color indexed="81"/>
            <rFont val="Tahoma"/>
            <family val="2"/>
          </rPr>
          <t xml:space="preserve">
Specify vessel diameter in m</t>
        </r>
      </text>
    </comment>
    <comment ref="L16" authorId="0" shapeId="0" xr:uid="{1C3223FD-F5BF-4964-A30D-D3DEA7157BBF}">
      <text>
        <r>
          <rPr>
            <b/>
            <sz val="9"/>
            <color indexed="81"/>
            <rFont val="Tahoma"/>
            <family val="2"/>
          </rPr>
          <t>Carlos Arnaiz del Pozo:</t>
        </r>
        <r>
          <rPr>
            <sz val="9"/>
            <color indexed="81"/>
            <rFont val="Tahoma"/>
            <family val="2"/>
          </rPr>
          <t xml:space="preserve">
Specify vessel diameter in m</t>
        </r>
      </text>
    </comment>
    <comment ref="L20" authorId="0" shapeId="0" xr:uid="{2E12A34F-66D1-4F65-8246-0EFC46F895F1}">
      <text>
        <r>
          <rPr>
            <b/>
            <sz val="9"/>
            <color indexed="81"/>
            <rFont val="Tahoma"/>
            <family val="2"/>
          </rPr>
          <t>Carlos Arnaiz del Pozo:</t>
        </r>
        <r>
          <rPr>
            <sz val="9"/>
            <color indexed="81"/>
            <rFont val="Tahoma"/>
            <family val="2"/>
          </rPr>
          <t xml:space="preserve">
Specify "shell and tube" or "tube only"</t>
        </r>
      </text>
    </comment>
    <comment ref="L21" authorId="0" shapeId="0" xr:uid="{E2DAB543-B21D-4EF5-8065-849623DEEB65}">
      <text>
        <r>
          <rPr>
            <b/>
            <sz val="9"/>
            <color indexed="81"/>
            <rFont val="Tahoma"/>
            <family val="2"/>
          </rPr>
          <t>Carlos Arnaiz del Pozo:</t>
        </r>
        <r>
          <rPr>
            <sz val="9"/>
            <color indexed="81"/>
            <rFont val="Tahoma"/>
            <family val="2"/>
          </rPr>
          <t xml:space="preserve">
Specify "shell and tube" or "tube only"</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s>
  <commentList>
    <comment ref="I13" authorId="0" shapeId="0" xr:uid="{C470830A-B464-443B-A042-74A6ADECFDD4}">
      <text>
        <r>
          <rPr>
            <b/>
            <sz val="9"/>
            <color indexed="81"/>
            <rFont val="Tahoma"/>
            <family val="2"/>
          </rPr>
          <t>Schalk Cloete:</t>
        </r>
        <r>
          <rPr>
            <sz val="9"/>
            <color indexed="81"/>
            <rFont val="Tahoma"/>
            <family val="2"/>
          </rPr>
          <t xml:space="preserve">
Ni cladding due to the high H2 content. </t>
        </r>
      </text>
    </comment>
    <comment ref="L13" authorId="1" shapeId="0" xr:uid="{B676543F-9B9F-4A42-8215-3FB527A5E981}">
      <text>
        <r>
          <rPr>
            <b/>
            <sz val="9"/>
            <color indexed="81"/>
            <rFont val="Tahoma"/>
            <family val="2"/>
          </rPr>
          <t>Carlos Arnaiz del Pozo:</t>
        </r>
        <r>
          <rPr>
            <sz val="9"/>
            <color indexed="81"/>
            <rFont val="Tahoma"/>
            <family val="2"/>
          </rPr>
          <t xml:space="preserve">
Specify vessel diameter in m</t>
        </r>
      </text>
    </comment>
    <comment ref="L14" authorId="1" shapeId="0" xr:uid="{E3EACC5F-94B6-4996-9291-EB1BF988271E}">
      <text>
        <r>
          <rPr>
            <b/>
            <sz val="9"/>
            <color indexed="81"/>
            <rFont val="Tahoma"/>
            <family val="2"/>
          </rPr>
          <t>Carlos Arnaiz del Pozo:</t>
        </r>
        <r>
          <rPr>
            <sz val="9"/>
            <color indexed="81"/>
            <rFont val="Tahoma"/>
            <family val="2"/>
          </rPr>
          <t xml:space="preserve">
Specify vessel diameter in m</t>
        </r>
      </text>
    </comment>
    <comment ref="L15" authorId="1" shapeId="0" xr:uid="{4D8D1318-DB15-484B-9CEE-25ABAEF14D99}">
      <text>
        <r>
          <rPr>
            <b/>
            <sz val="9"/>
            <color indexed="81"/>
            <rFont val="Tahoma"/>
            <family val="2"/>
          </rPr>
          <t>Carlos Arnaiz del Pozo:</t>
        </r>
        <r>
          <rPr>
            <sz val="9"/>
            <color indexed="81"/>
            <rFont val="Tahoma"/>
            <family val="2"/>
          </rPr>
          <t xml:space="preserve">
Specify nº of trays</t>
        </r>
      </text>
    </comment>
    <comment ref="L16" authorId="1" shapeId="0" xr:uid="{23D12797-5BCE-4CFE-8D02-A5692C477238}">
      <text>
        <r>
          <rPr>
            <b/>
            <sz val="9"/>
            <color indexed="81"/>
            <rFont val="Tahoma"/>
            <family val="2"/>
          </rPr>
          <t>Carlos Arnaiz del Pozo:</t>
        </r>
        <r>
          <rPr>
            <sz val="9"/>
            <color indexed="81"/>
            <rFont val="Tahoma"/>
            <family val="2"/>
          </rPr>
          <t xml:space="preserve">
Specify nº of trays</t>
        </r>
      </text>
    </comment>
    <comment ref="I17" authorId="0" shapeId="0" xr:uid="{94678ED2-7C18-419E-9C67-99C13790406A}">
      <text>
        <r>
          <rPr>
            <b/>
            <sz val="9"/>
            <color indexed="81"/>
            <rFont val="Tahoma"/>
            <family val="2"/>
          </rPr>
          <t>Schalk Cloete:</t>
        </r>
        <r>
          <rPr>
            <sz val="9"/>
            <color indexed="81"/>
            <rFont val="Tahoma"/>
            <family val="2"/>
          </rPr>
          <t xml:space="preserve">
I'm not sure if some of these vessels are processing the H2-rich stream. If so, it should be Ni-cladding. </t>
        </r>
      </text>
    </comment>
    <comment ref="L17" authorId="1" shapeId="0" xr:uid="{00396CB5-17EA-499A-9007-6B31E8075B90}">
      <text>
        <r>
          <rPr>
            <b/>
            <sz val="9"/>
            <color indexed="81"/>
            <rFont val="Tahoma"/>
            <family val="2"/>
          </rPr>
          <t>Carlos Arnaiz del Pozo:</t>
        </r>
        <r>
          <rPr>
            <sz val="9"/>
            <color indexed="81"/>
            <rFont val="Tahoma"/>
            <family val="2"/>
          </rPr>
          <t xml:space="preserve">
Specify vessel diameter in m</t>
        </r>
      </text>
    </comment>
    <comment ref="L18" authorId="1" shapeId="0" xr:uid="{D44031ED-09D0-4107-9E87-8EF133007B0A}">
      <text>
        <r>
          <rPr>
            <b/>
            <sz val="9"/>
            <color indexed="81"/>
            <rFont val="Tahoma"/>
            <family val="2"/>
          </rPr>
          <t>Carlos Arnaiz del Pozo:</t>
        </r>
        <r>
          <rPr>
            <sz val="9"/>
            <color indexed="81"/>
            <rFont val="Tahoma"/>
            <family val="2"/>
          </rPr>
          <t xml:space="preserve">
Specify vessel diameter in m</t>
        </r>
      </text>
    </comment>
    <comment ref="L19" authorId="1" shapeId="0" xr:uid="{774608BC-2795-4089-9621-4068703E611A}">
      <text>
        <r>
          <rPr>
            <b/>
            <sz val="9"/>
            <color indexed="81"/>
            <rFont val="Tahoma"/>
            <family val="2"/>
          </rPr>
          <t>Carlos Arnaiz del Pozo:</t>
        </r>
        <r>
          <rPr>
            <sz val="9"/>
            <color indexed="81"/>
            <rFont val="Tahoma"/>
            <family val="2"/>
          </rPr>
          <t xml:space="preserve">
Specify vessel diameter in m</t>
        </r>
      </text>
    </comment>
    <comment ref="I20" authorId="0" shapeId="0" xr:uid="{51785E80-FD49-49FF-9E8F-19C03A51BBA9}">
      <text>
        <r>
          <rPr>
            <b/>
            <sz val="9"/>
            <color indexed="81"/>
            <rFont val="Tahoma"/>
            <family val="2"/>
          </rPr>
          <t>Schalk Cloete:</t>
        </r>
        <r>
          <rPr>
            <sz val="9"/>
            <color indexed="81"/>
            <rFont val="Tahoma"/>
            <family val="2"/>
          </rPr>
          <t xml:space="preserve">
Ni/CS if processing H2. </t>
        </r>
      </text>
    </comment>
    <comment ref="L20" authorId="1" shapeId="0" xr:uid="{24714FCE-1B91-4C52-AB78-F1143B1353E1}">
      <text>
        <r>
          <rPr>
            <b/>
            <sz val="9"/>
            <color indexed="81"/>
            <rFont val="Tahoma"/>
            <family val="2"/>
          </rPr>
          <t>Carlos Arnaiz del Pozo:</t>
        </r>
        <r>
          <rPr>
            <sz val="9"/>
            <color indexed="81"/>
            <rFont val="Tahoma"/>
            <family val="2"/>
          </rPr>
          <t xml:space="preserve">
Specify "shell and tube" or "tube only"</t>
        </r>
      </text>
    </comment>
    <comment ref="L21" authorId="1" shapeId="0" xr:uid="{4A029980-3CCB-47A7-BCDD-BD07E931D6CA}">
      <text>
        <r>
          <rPr>
            <b/>
            <sz val="9"/>
            <color indexed="81"/>
            <rFont val="Tahoma"/>
            <family val="2"/>
          </rPr>
          <t>Carlos Arnaiz del Pozo:</t>
        </r>
        <r>
          <rPr>
            <sz val="9"/>
            <color indexed="81"/>
            <rFont val="Tahoma"/>
            <family val="2"/>
          </rPr>
          <t xml:space="preserve">
Specify "shell and tube" or "tube only"</t>
        </r>
      </text>
    </comment>
    <comment ref="L22" authorId="1" shapeId="0" xr:uid="{2EADFA6D-028C-444B-B765-DAFEE73BC543}">
      <text>
        <r>
          <rPr>
            <b/>
            <sz val="9"/>
            <color indexed="81"/>
            <rFont val="Tahoma"/>
            <family val="2"/>
          </rPr>
          <t>Carlos Arnaiz del Pozo:</t>
        </r>
        <r>
          <rPr>
            <sz val="9"/>
            <color indexed="81"/>
            <rFont val="Tahoma"/>
            <family val="2"/>
          </rPr>
          <t xml:space="preserve">
Specify "shell and tube" or "tube only"</t>
        </r>
      </text>
    </comment>
    <comment ref="L23" authorId="1" shapeId="0" xr:uid="{6D976E98-B519-4506-A4C5-CF47C2A08192}">
      <text>
        <r>
          <rPr>
            <b/>
            <sz val="9"/>
            <color indexed="81"/>
            <rFont val="Tahoma"/>
            <family val="2"/>
          </rPr>
          <t>Carlos Arnaiz del Pozo:</t>
        </r>
        <r>
          <rPr>
            <sz val="9"/>
            <color indexed="81"/>
            <rFont val="Tahoma"/>
            <family val="2"/>
          </rPr>
          <t xml:space="preserve">
Specify "shell and tube" or "tube only"</t>
        </r>
      </text>
    </comment>
    <comment ref="L27" authorId="1" shapeId="0" xr:uid="{12DFC1AD-3A62-46A2-B0A2-6574AC21CB6D}">
      <text>
        <r>
          <rPr>
            <b/>
            <sz val="9"/>
            <color indexed="81"/>
            <rFont val="Tahoma"/>
            <family val="2"/>
          </rPr>
          <t>Carlos Arnaiz del Pozo:</t>
        </r>
        <r>
          <rPr>
            <sz val="9"/>
            <color indexed="81"/>
            <rFont val="Tahoma"/>
            <family val="2"/>
          </rPr>
          <t xml:space="preserve">
Specify vessel diameter in m</t>
        </r>
      </text>
    </comment>
    <comment ref="AI46" authorId="0" shapeId="0" xr:uid="{1CBD7F7D-8CE0-4AC8-8E2C-E784A3340A10}">
      <text>
        <r>
          <rPr>
            <b/>
            <sz val="9"/>
            <color indexed="81"/>
            <rFont val="Tahoma"/>
            <family val="2"/>
          </rPr>
          <t>Schalk Cloete:</t>
        </r>
        <r>
          <rPr>
            <sz val="9"/>
            <color indexed="81"/>
            <rFont val="Tahoma"/>
            <family val="2"/>
          </rPr>
          <t xml:space="preserve">
Increased to turn the vessel into a column.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Carlos Arnaiz del Pozo</author>
    <author>Schalk Cloete</author>
  </authors>
  <commentList>
    <comment ref="L16" authorId="0" shapeId="0" xr:uid="{C6D68744-A093-4C5B-873C-25F9824177A6}">
      <text>
        <r>
          <rPr>
            <b/>
            <sz val="9"/>
            <color indexed="81"/>
            <rFont val="Tahoma"/>
            <family val="2"/>
          </rPr>
          <t>Carlos Arnaiz del Pozo:</t>
        </r>
        <r>
          <rPr>
            <sz val="9"/>
            <color indexed="81"/>
            <rFont val="Tahoma"/>
            <family val="2"/>
          </rPr>
          <t xml:space="preserve">
Specify "shell and tube" or "tube only"</t>
        </r>
      </text>
    </comment>
    <comment ref="L17" authorId="0" shapeId="0" xr:uid="{232B2F32-0EE6-4E5B-89F2-EBDCA1A6A65E}">
      <text>
        <r>
          <rPr>
            <b/>
            <sz val="9"/>
            <color indexed="81"/>
            <rFont val="Tahoma"/>
            <family val="2"/>
          </rPr>
          <t>Carlos Arnaiz del Pozo:</t>
        </r>
        <r>
          <rPr>
            <sz val="9"/>
            <color indexed="81"/>
            <rFont val="Tahoma"/>
            <family val="2"/>
          </rPr>
          <t xml:space="preserve">
Specify "shell and tube" or "tube only"</t>
        </r>
      </text>
    </comment>
    <comment ref="L18" authorId="0" shapeId="0" xr:uid="{A01409ED-8136-4F54-BB76-280F0961965F}">
      <text>
        <r>
          <rPr>
            <b/>
            <sz val="9"/>
            <color indexed="81"/>
            <rFont val="Tahoma"/>
            <family val="2"/>
          </rPr>
          <t>Carlos Arnaiz del Pozo:</t>
        </r>
        <r>
          <rPr>
            <sz val="9"/>
            <color indexed="81"/>
            <rFont val="Tahoma"/>
            <family val="2"/>
          </rPr>
          <t xml:space="preserve">
Specify "shell and tube" or "tube only"</t>
        </r>
      </text>
    </comment>
    <comment ref="L19" authorId="0" shapeId="0" xr:uid="{4B409955-42E8-43DC-A876-B93A187D7ADF}">
      <text>
        <r>
          <rPr>
            <b/>
            <sz val="9"/>
            <color indexed="81"/>
            <rFont val="Tahoma"/>
            <family val="2"/>
          </rPr>
          <t>Carlos Arnaiz del Pozo:</t>
        </r>
        <r>
          <rPr>
            <sz val="9"/>
            <color indexed="81"/>
            <rFont val="Tahoma"/>
            <family val="2"/>
          </rPr>
          <t xml:space="preserve">
Specify "shell and tube" or "tube only"</t>
        </r>
      </text>
    </comment>
    <comment ref="L20" authorId="0" shapeId="0" xr:uid="{077C506B-6399-45DC-809D-0651E82523BC}">
      <text>
        <r>
          <rPr>
            <b/>
            <sz val="9"/>
            <color indexed="81"/>
            <rFont val="Tahoma"/>
            <family val="2"/>
          </rPr>
          <t>Carlos Arnaiz del Pozo:</t>
        </r>
        <r>
          <rPr>
            <sz val="9"/>
            <color indexed="81"/>
            <rFont val="Tahoma"/>
            <family val="2"/>
          </rPr>
          <t xml:space="preserve">
Specify "shell and tube" or "tube only"</t>
        </r>
      </text>
    </comment>
    <comment ref="L21" authorId="0" shapeId="0" xr:uid="{3E74F245-05A7-4479-A195-E3E4519DDCF2}">
      <text>
        <r>
          <rPr>
            <b/>
            <sz val="9"/>
            <color indexed="81"/>
            <rFont val="Tahoma"/>
            <family val="2"/>
          </rPr>
          <t>Carlos Arnaiz del Pozo:</t>
        </r>
        <r>
          <rPr>
            <sz val="9"/>
            <color indexed="81"/>
            <rFont val="Tahoma"/>
            <family val="2"/>
          </rPr>
          <t xml:space="preserve">
Specify "shell and tube" or "tube only"</t>
        </r>
      </text>
    </comment>
    <comment ref="L22" authorId="0" shapeId="0" xr:uid="{17BEFCF8-5F89-434A-802E-40E77843B7DD}">
      <text>
        <r>
          <rPr>
            <b/>
            <sz val="9"/>
            <color indexed="81"/>
            <rFont val="Tahoma"/>
            <family val="2"/>
          </rPr>
          <t>Carlos Arnaiz del Pozo:</t>
        </r>
        <r>
          <rPr>
            <sz val="9"/>
            <color indexed="81"/>
            <rFont val="Tahoma"/>
            <family val="2"/>
          </rPr>
          <t xml:space="preserve">
Specify "shell and tube" or "tube only"</t>
        </r>
      </text>
    </comment>
    <comment ref="L23" authorId="0" shapeId="0" xr:uid="{81218053-9754-429C-94D4-91C74D35814E}">
      <text>
        <r>
          <rPr>
            <b/>
            <sz val="9"/>
            <color indexed="81"/>
            <rFont val="Tahoma"/>
            <family val="2"/>
          </rPr>
          <t>Carlos Arnaiz del Pozo:</t>
        </r>
        <r>
          <rPr>
            <sz val="9"/>
            <color indexed="81"/>
            <rFont val="Tahoma"/>
            <family val="2"/>
          </rPr>
          <t xml:space="preserve">
Specify "shell and tube" or "tube only"</t>
        </r>
      </text>
    </comment>
    <comment ref="L24" authorId="0" shapeId="0" xr:uid="{294D4701-75C3-4865-B9C9-C8BD4E9D5516}">
      <text>
        <r>
          <rPr>
            <b/>
            <sz val="9"/>
            <color indexed="81"/>
            <rFont val="Tahoma"/>
            <family val="2"/>
          </rPr>
          <t>Carlos Arnaiz del Pozo:</t>
        </r>
        <r>
          <rPr>
            <sz val="9"/>
            <color indexed="81"/>
            <rFont val="Tahoma"/>
            <family val="2"/>
          </rPr>
          <t xml:space="preserve">
Specify "shell and tube" or "tube only"</t>
        </r>
      </text>
    </comment>
    <comment ref="L26" authorId="0" shapeId="0" xr:uid="{9BF8D390-77BF-4ADC-B13A-A04E969DFDFB}">
      <text>
        <r>
          <rPr>
            <b/>
            <sz val="9"/>
            <color indexed="81"/>
            <rFont val="Tahoma"/>
            <family val="2"/>
          </rPr>
          <t>Carlos Arnaiz del Pozo:</t>
        </r>
        <r>
          <rPr>
            <sz val="9"/>
            <color indexed="81"/>
            <rFont val="Tahoma"/>
            <family val="2"/>
          </rPr>
          <t xml:space="preserve">
Specify vessel diameter in m</t>
        </r>
      </text>
    </comment>
    <comment ref="L27" authorId="0" shapeId="0" xr:uid="{B976F087-51B9-4680-AEDE-C77F794006E2}">
      <text>
        <r>
          <rPr>
            <b/>
            <sz val="9"/>
            <color indexed="81"/>
            <rFont val="Tahoma"/>
            <family val="2"/>
          </rPr>
          <t>Carlos Arnaiz del Pozo:</t>
        </r>
        <r>
          <rPr>
            <sz val="9"/>
            <color indexed="81"/>
            <rFont val="Tahoma"/>
            <family val="2"/>
          </rPr>
          <t xml:space="preserve">
Specify vessel diameter in m</t>
        </r>
      </text>
    </comment>
    <comment ref="L28" authorId="0" shapeId="0" xr:uid="{94DF3E66-C50C-4A52-A49B-992A879DADD0}">
      <text>
        <r>
          <rPr>
            <b/>
            <sz val="9"/>
            <color indexed="81"/>
            <rFont val="Tahoma"/>
            <family val="2"/>
          </rPr>
          <t>Carlos Arnaiz del Pozo:</t>
        </r>
        <r>
          <rPr>
            <sz val="9"/>
            <color indexed="81"/>
            <rFont val="Tahoma"/>
            <family val="2"/>
          </rPr>
          <t xml:space="preserve">
Specify vessel diameter in m</t>
        </r>
      </text>
    </comment>
    <comment ref="L29" authorId="0" shapeId="0" xr:uid="{73665265-66F4-4FB7-862E-D1DBA2310B13}">
      <text>
        <r>
          <rPr>
            <b/>
            <sz val="9"/>
            <color indexed="81"/>
            <rFont val="Tahoma"/>
            <family val="2"/>
          </rPr>
          <t>Carlos Arnaiz del Pozo:</t>
        </r>
        <r>
          <rPr>
            <sz val="9"/>
            <color indexed="81"/>
            <rFont val="Tahoma"/>
            <family val="2"/>
          </rPr>
          <t xml:space="preserve">
Specify vessel diameter in m</t>
        </r>
      </text>
    </comment>
    <comment ref="L30" authorId="0" shapeId="0" xr:uid="{EFDA5ACE-92F8-49F9-92B5-8C8FCCCCCEA6}">
      <text>
        <r>
          <rPr>
            <b/>
            <sz val="9"/>
            <color indexed="81"/>
            <rFont val="Tahoma"/>
            <family val="2"/>
          </rPr>
          <t>Carlos Arnaiz del Pozo:</t>
        </r>
        <r>
          <rPr>
            <sz val="9"/>
            <color indexed="81"/>
            <rFont val="Tahoma"/>
            <family val="2"/>
          </rPr>
          <t xml:space="preserve">
Specify vessel diameter in m</t>
        </r>
      </text>
    </comment>
    <comment ref="L31" authorId="0" shapeId="0" xr:uid="{DA0060B1-1411-42AC-9B70-680CF3F9CC10}">
      <text>
        <r>
          <rPr>
            <b/>
            <sz val="9"/>
            <color indexed="81"/>
            <rFont val="Tahoma"/>
            <family val="2"/>
          </rPr>
          <t>Carlos Arnaiz del Pozo:</t>
        </r>
        <r>
          <rPr>
            <sz val="9"/>
            <color indexed="81"/>
            <rFont val="Tahoma"/>
            <family val="2"/>
          </rPr>
          <t xml:space="preserve">
Specify vessel diameter in m</t>
        </r>
      </text>
    </comment>
    <comment ref="L32" authorId="0" shapeId="0" xr:uid="{AD7708AB-96A6-416B-A2A6-DD35E6DC3393}">
      <text>
        <r>
          <rPr>
            <b/>
            <sz val="9"/>
            <color indexed="81"/>
            <rFont val="Tahoma"/>
            <family val="2"/>
          </rPr>
          <t>Carlos Arnaiz del Pozo:</t>
        </r>
        <r>
          <rPr>
            <sz val="9"/>
            <color indexed="81"/>
            <rFont val="Tahoma"/>
            <family val="2"/>
          </rPr>
          <t xml:space="preserve">
Specify vessel diameter in m</t>
        </r>
      </text>
    </comment>
    <comment ref="L33" authorId="0" shapeId="0" xr:uid="{E09ED273-C6D4-430A-B3E9-C3729F49DD55}">
      <text>
        <r>
          <rPr>
            <b/>
            <sz val="9"/>
            <color indexed="81"/>
            <rFont val="Tahoma"/>
            <family val="2"/>
          </rPr>
          <t>Carlos Arnaiz del Pozo:</t>
        </r>
        <r>
          <rPr>
            <sz val="9"/>
            <color indexed="81"/>
            <rFont val="Tahoma"/>
            <family val="2"/>
          </rPr>
          <t xml:space="preserve">
Specify vessel diameter in m</t>
        </r>
      </text>
    </comment>
    <comment ref="L34" authorId="0" shapeId="0" xr:uid="{76D8792E-F241-4939-9528-1F693E67C292}">
      <text>
        <r>
          <rPr>
            <b/>
            <sz val="9"/>
            <color indexed="81"/>
            <rFont val="Tahoma"/>
            <family val="2"/>
          </rPr>
          <t>Carlos Arnaiz del Pozo:</t>
        </r>
        <r>
          <rPr>
            <sz val="9"/>
            <color indexed="81"/>
            <rFont val="Tahoma"/>
            <family val="2"/>
          </rPr>
          <t xml:space="preserve">
Specify vessel diameter in m</t>
        </r>
      </text>
    </comment>
    <comment ref="L35" authorId="0" shapeId="0" xr:uid="{CA99B3EB-79CD-4816-B4F0-E240905B66DB}">
      <text>
        <r>
          <rPr>
            <b/>
            <sz val="9"/>
            <color indexed="81"/>
            <rFont val="Tahoma"/>
            <family val="2"/>
          </rPr>
          <t>Carlos Arnaiz del Pozo:</t>
        </r>
        <r>
          <rPr>
            <sz val="9"/>
            <color indexed="81"/>
            <rFont val="Tahoma"/>
            <family val="2"/>
          </rPr>
          <t xml:space="preserve">
Specify vessel diameter in m</t>
        </r>
      </text>
    </comment>
    <comment ref="AI49" authorId="1" shapeId="0" xr:uid="{6607B188-B36E-4ECF-9BCC-99770D676A42}">
      <text>
        <r>
          <rPr>
            <b/>
            <sz val="9"/>
            <color indexed="81"/>
            <rFont val="Tahoma"/>
            <family val="2"/>
          </rPr>
          <t>Schalk Cloete:</t>
        </r>
        <r>
          <rPr>
            <sz val="9"/>
            <color indexed="81"/>
            <rFont val="Tahoma"/>
            <family val="2"/>
          </rPr>
          <t xml:space="preserve">
Yes, I think it is good to stick to the philosphy to use 1.5 for any fixed bed reactor (even though it is quite uncertain).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7" authorId="0" shapeId="0" xr:uid="{7CC6EBE3-A219-4CBF-BDB3-CBE7BA49C7C5}">
      <text>
        <r>
          <rPr>
            <b/>
            <sz val="9"/>
            <color indexed="81"/>
            <rFont val="Tahoma"/>
            <family val="2"/>
          </rPr>
          <t>Carlos Arnaiz del Pozo:</t>
        </r>
        <r>
          <rPr>
            <sz val="9"/>
            <color indexed="81"/>
            <rFont val="Tahoma"/>
            <family val="2"/>
          </rPr>
          <t xml:space="preserve">
Specify vessel diameter in m</t>
        </r>
      </text>
    </comment>
    <comment ref="L18" authorId="0" shapeId="0" xr:uid="{0B5E6FCB-804B-4CBB-BACB-A292956E84CA}">
      <text>
        <r>
          <rPr>
            <b/>
            <sz val="9"/>
            <color indexed="81"/>
            <rFont val="Tahoma"/>
            <family val="2"/>
          </rPr>
          <t>Carlos Arnaiz del Pozo:</t>
        </r>
        <r>
          <rPr>
            <sz val="9"/>
            <color indexed="81"/>
            <rFont val="Tahoma"/>
            <family val="2"/>
          </rPr>
          <t xml:space="preserve">
Specify vessel diameter in m</t>
        </r>
      </text>
    </comment>
    <comment ref="L19" authorId="0" shapeId="0" xr:uid="{8DE5A867-709A-4F55-B6B8-39E842BAE2BB}">
      <text>
        <r>
          <rPr>
            <b/>
            <sz val="9"/>
            <color indexed="81"/>
            <rFont val="Tahoma"/>
            <family val="2"/>
          </rPr>
          <t>Carlos Arnaiz del Pozo:</t>
        </r>
        <r>
          <rPr>
            <sz val="9"/>
            <color indexed="81"/>
            <rFont val="Tahoma"/>
            <family val="2"/>
          </rPr>
          <t xml:space="preserve">
Specify vessel diameter in m</t>
        </r>
      </text>
    </comment>
    <comment ref="L20" authorId="0" shapeId="0" xr:uid="{C7A6AC9F-0CBB-444B-A666-26BA9425B8E3}">
      <text>
        <r>
          <rPr>
            <b/>
            <sz val="9"/>
            <color indexed="81"/>
            <rFont val="Tahoma"/>
            <family val="2"/>
          </rPr>
          <t>Carlos Arnaiz del Pozo:</t>
        </r>
        <r>
          <rPr>
            <sz val="9"/>
            <color indexed="81"/>
            <rFont val="Tahoma"/>
            <family val="2"/>
          </rPr>
          <t xml:space="preserve">
Specify "shell and tube" or "tube only"</t>
        </r>
      </text>
    </comment>
    <comment ref="L21" authorId="0" shapeId="0" xr:uid="{D6F10DFE-A100-4517-A054-3444834E6612}">
      <text>
        <r>
          <rPr>
            <b/>
            <sz val="9"/>
            <color indexed="81"/>
            <rFont val="Tahoma"/>
            <family val="2"/>
          </rPr>
          <t>Carlos Arnaiz del Pozo:</t>
        </r>
        <r>
          <rPr>
            <sz val="9"/>
            <color indexed="81"/>
            <rFont val="Tahoma"/>
            <family val="2"/>
          </rPr>
          <t xml:space="preserve">
Specify "shell and tube" or "tube only"</t>
        </r>
      </text>
    </comment>
    <comment ref="L22" authorId="0" shapeId="0" xr:uid="{EC60D8A0-1115-4CF3-B32F-2630BA266C8F}">
      <text>
        <r>
          <rPr>
            <b/>
            <sz val="9"/>
            <color indexed="81"/>
            <rFont val="Tahoma"/>
            <family val="2"/>
          </rPr>
          <t>Carlos Arnaiz del Pozo:</t>
        </r>
        <r>
          <rPr>
            <sz val="9"/>
            <color indexed="81"/>
            <rFont val="Tahoma"/>
            <family val="2"/>
          </rPr>
          <t xml:space="preserve">
Specify "shell and tube" or "tube only"</t>
        </r>
      </text>
    </comment>
    <comment ref="L23" authorId="0" shapeId="0" xr:uid="{19E5F8F2-AB70-485A-A4BB-00A497E4987C}">
      <text>
        <r>
          <rPr>
            <b/>
            <sz val="9"/>
            <color indexed="81"/>
            <rFont val="Tahoma"/>
            <family val="2"/>
          </rPr>
          <t>Carlos Arnaiz del Pozo:</t>
        </r>
        <r>
          <rPr>
            <sz val="9"/>
            <color indexed="81"/>
            <rFont val="Tahoma"/>
            <family val="2"/>
          </rPr>
          <t xml:space="preserve">
Specify "shell and tube" or "tube only"</t>
        </r>
      </text>
    </comment>
    <comment ref="L24" authorId="0" shapeId="0" xr:uid="{8C3212C9-A2C8-4212-9F9A-176AB04882CB}">
      <text>
        <r>
          <rPr>
            <b/>
            <sz val="9"/>
            <color indexed="81"/>
            <rFont val="Tahoma"/>
            <family val="2"/>
          </rPr>
          <t>Carlos Arnaiz del Pozo:</t>
        </r>
        <r>
          <rPr>
            <sz val="9"/>
            <color indexed="81"/>
            <rFont val="Tahoma"/>
            <family val="2"/>
          </rPr>
          <t xml:space="preserve">
Specify vessel diameter in m</t>
        </r>
      </text>
    </comment>
    <comment ref="L25" authorId="0" shapeId="0" xr:uid="{E12FEACC-790E-4005-95DE-8329CEDBED1E}">
      <text>
        <r>
          <rPr>
            <b/>
            <sz val="9"/>
            <color indexed="81"/>
            <rFont val="Tahoma"/>
            <family val="2"/>
          </rPr>
          <t>Carlos Arnaiz del Pozo:</t>
        </r>
        <r>
          <rPr>
            <sz val="9"/>
            <color indexed="81"/>
            <rFont val="Tahoma"/>
            <family val="2"/>
          </rPr>
          <t xml:space="preserve">
Specify vessel diameter in 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R17" authorId="0" shapeId="0" xr:uid="{2B1AA0D7-2DE6-48E9-BD9E-2DC1AFAAECCB}">
      <text>
        <r>
          <rPr>
            <b/>
            <sz val="9"/>
            <color indexed="81"/>
            <rFont val="Tahoma"/>
            <family val="2"/>
          </rPr>
          <t>Carlos Arnaiz del Pozo:</t>
        </r>
        <r>
          <rPr>
            <sz val="9"/>
            <color indexed="81"/>
            <rFont val="Tahoma"/>
            <family val="2"/>
          </rPr>
          <t xml:space="preserve">
check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7" authorId="0" shapeId="0" xr:uid="{C2FEBAC6-36CD-4D0B-B605-ACE23AEB2BED}">
      <text>
        <r>
          <rPr>
            <b/>
            <sz val="9"/>
            <color indexed="81"/>
            <rFont val="Tahoma"/>
            <family val="2"/>
          </rPr>
          <t>Carlos Arnaiz del Pozo:</t>
        </r>
        <r>
          <rPr>
            <sz val="9"/>
            <color indexed="81"/>
            <rFont val="Tahoma"/>
            <family val="2"/>
          </rPr>
          <t xml:space="preserve">
Specify "shell and tube" or "tube only"</t>
        </r>
      </text>
    </comment>
    <comment ref="AD38" authorId="0" shapeId="0" xr:uid="{97CE8A38-D320-4BFA-A98B-C33A70C0A123}">
      <text>
        <r>
          <rPr>
            <b/>
            <sz val="9"/>
            <color indexed="81"/>
            <rFont val="Tahoma"/>
            <family val="2"/>
          </rPr>
          <t>Carlos Arnaiz del Pozo:</t>
        </r>
        <r>
          <rPr>
            <sz val="9"/>
            <color indexed="81"/>
            <rFont val="Tahoma"/>
            <family val="2"/>
          </rPr>
          <t xml:space="preserve">
check heat transfer enhancement</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rgb="FF000000"/>
            <rFont val="Tahoma"/>
            <family val="2"/>
          </rPr>
          <t>Carlos Arnaiz del Pozo:</t>
        </r>
        <r>
          <rPr>
            <sz val="9"/>
            <color rgb="FF000000"/>
            <rFont val="Tahoma"/>
            <family val="2"/>
          </rPr>
          <t xml:space="preserve">
</t>
        </r>
        <r>
          <rPr>
            <sz val="9"/>
            <color rgb="FF000000"/>
            <rFont val="Tahoma"/>
            <family val="2"/>
          </rPr>
          <t>Check consistency of units</t>
        </r>
      </text>
    </comment>
    <comment ref="J6" authorId="0" shapeId="0" xr:uid="{05C9A9FD-359F-4FC4-B9E3-7637B9EA99D5}">
      <text>
        <r>
          <rPr>
            <b/>
            <sz val="9"/>
            <color rgb="FF000000"/>
            <rFont val="Tahoma"/>
            <family val="2"/>
          </rPr>
          <t>Carlos Arnaiz del Pozo:</t>
        </r>
        <r>
          <rPr>
            <sz val="9"/>
            <color rgb="FF000000"/>
            <rFont val="Tahoma"/>
            <family val="2"/>
          </rPr>
          <t xml:space="preserve">
</t>
        </r>
        <r>
          <rPr>
            <sz val="9"/>
            <color rgb="FF000000"/>
            <rFont val="Tahoma"/>
            <family val="2"/>
          </rPr>
          <t>Check axis units in figures</t>
        </r>
      </text>
    </comment>
    <comment ref="G15" authorId="0" shapeId="0" xr:uid="{01AE3B8C-DF25-4C68-826D-EFE6F87FF4BC}">
      <text>
        <r>
          <rPr>
            <b/>
            <sz val="9"/>
            <color rgb="FF000000"/>
            <rFont val="Tahoma"/>
            <family val="2"/>
          </rPr>
          <t>Carlos Arnaiz del Pozo:</t>
        </r>
        <r>
          <rPr>
            <sz val="9"/>
            <color rgb="FF000000"/>
            <rFont val="Tahoma"/>
            <family val="2"/>
          </rPr>
          <t xml:space="preserve">
</t>
        </r>
        <r>
          <rPr>
            <sz val="9"/>
            <color rgb="FF000000"/>
            <rFont val="Tahoma"/>
            <family val="2"/>
          </rPr>
          <t>Adjust emissions units adequately</t>
        </r>
      </text>
    </comment>
    <comment ref="P41" authorId="0" shapeId="0" xr:uid="{B2341D42-20D2-4104-9031-1ABB0778E549}">
      <text>
        <r>
          <rPr>
            <b/>
            <sz val="9"/>
            <color rgb="FF000000"/>
            <rFont val="Tahoma"/>
            <family val="2"/>
          </rPr>
          <t>Carlos Arnaiz del Pozo:</t>
        </r>
        <r>
          <rPr>
            <sz val="9"/>
            <color rgb="FF000000"/>
            <rFont val="Tahoma"/>
            <family val="2"/>
          </rPr>
          <t xml:space="preserve">
</t>
        </r>
        <r>
          <rPr>
            <sz val="9"/>
            <color rgb="FF000000"/>
            <rFont val="Tahoma"/>
            <family val="2"/>
          </rPr>
          <t>Sesitivity results are provided from P44 onwards based on nº of variables and points</t>
        </r>
      </text>
    </comment>
    <comment ref="F42" authorId="0" shapeId="0" xr:uid="{5D45F256-7713-43AA-84BC-876503727FE9}">
      <text>
        <r>
          <rPr>
            <b/>
            <sz val="9"/>
            <color indexed="81"/>
            <rFont val="Tahoma"/>
            <family val="2"/>
          </rPr>
          <t>Carlos Arnaiz del Pozo:</t>
        </r>
        <r>
          <rPr>
            <sz val="9"/>
            <color indexed="81"/>
            <rFont val="Tahoma"/>
            <family val="2"/>
          </rPr>
          <t xml:space="preserve">
Import value from Ind. Var. Cell in sheet</t>
        </r>
      </text>
    </comment>
    <comment ref="G42" authorId="0" shapeId="0" xr:uid="{2996EC16-68E8-4EF0-AA25-7C221591096B}">
      <text>
        <r>
          <rPr>
            <b/>
            <sz val="9"/>
            <color indexed="81"/>
            <rFont val="Tahoma"/>
            <family val="2"/>
          </rPr>
          <t>Carlos Arnaiz del Pozo:</t>
        </r>
        <r>
          <rPr>
            <sz val="9"/>
            <color indexed="81"/>
            <rFont val="Tahoma"/>
            <family val="2"/>
          </rPr>
          <t xml:space="preserve">
Export to Man. Var. Cell in sheet</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<sst xmlns="http://schemas.openxmlformats.org/spreadsheetml/2006/main" count="4481" uniqueCount="1195">
  <si>
    <t>Other contributors</t>
  </si>
  <si>
    <t xml:space="preserve">Standardized Economic Assessement (SEA) Tool </t>
  </si>
  <si>
    <t>Name</t>
  </si>
  <si>
    <t>Email</t>
  </si>
  <si>
    <t>Issue #</t>
  </si>
  <si>
    <t xml:space="preserve">Carlos Arnaiz del Pozo </t>
  </si>
  <si>
    <t>Schalk Cloete</t>
  </si>
  <si>
    <t>Ángel Jiménez Álvaro</t>
  </si>
  <si>
    <t>Universidad Politécnica de Madrid</t>
  </si>
  <si>
    <t>SINTEF Industry, Flow Technology Group</t>
  </si>
  <si>
    <t>correspondence: cr.arnaiz@upm.es; schalk.cloete@sintef.no</t>
  </si>
  <si>
    <t xml:space="preserve">Attribution: </t>
  </si>
  <si>
    <t xml:space="preserve">Carlos Arnaiz del Pozo, Schalk Cloete, and Ángel Jiménez Álvaro. Standard Economic Assessment (SEA) Tool. Available from: https://bit.ly/3hyF1TT </t>
  </si>
  <si>
    <t>Instructions for Users</t>
  </si>
  <si>
    <t>Link</t>
  </si>
  <si>
    <t xml:space="preserve">   Name</t>
  </si>
  <si>
    <t>SEA Tool</t>
  </si>
  <si>
    <t xml:space="preserve">   Version</t>
  </si>
  <si>
    <t>1.3</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</si>
  <si>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</si>
  <si>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t xml:space="preserve">   Release Date</t>
  </si>
  <si>
    <t>June 2021</t>
  </si>
  <si>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</si>
  <si>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t xml:space="preserve">   License</t>
  </si>
  <si>
    <t>GPL v3</t>
  </si>
  <si>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</si>
  <si>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</si>
  <si>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t>NOTES</t>
  </si>
  <si>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</si>
  <si>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t>SEA Tool v1.3
Licensed under GPL v3 - a copyleft license that allows free use and modification as long as any derivatives are shared under the same license.</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</si>
  <si>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</si>
  <si>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</si>
  <si>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</si>
  <si>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</si>
  <si>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</si>
  <si>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</si>
  <si>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t xml:space="preserve">3. In the Plant Overview sheet, make sure the main product (I32:J32), emissions (I52:J52), and fuel input (I71:I72) are correctly specified. These values are automatically transferred to other sheets. </t>
  </si>
  <si>
    <t>4. When doing an analysis with the Equipment unit sheets, it is highly convenient to copy over the appropriate row from the Unit-X00 Equipment sheet for each equipment item. Then, fill in the appropriate capacity and pressure, and select the material.</t>
  </si>
  <si>
    <t>Cost Estimation</t>
  </si>
  <si>
    <t>Cost Estimate Details</t>
  </si>
  <si>
    <t>Color Coding</t>
  </si>
  <si>
    <t>Plant Name</t>
  </si>
  <si>
    <t>GSR-LT</t>
  </si>
  <si>
    <t>Fill In</t>
  </si>
  <si>
    <t>Stream</t>
  </si>
  <si>
    <t>Property 1</t>
  </si>
  <si>
    <t>Component 1</t>
  </si>
  <si>
    <t>Location</t>
  </si>
  <si>
    <t>Western Europe</t>
  </si>
  <si>
    <t>Select</t>
  </si>
  <si>
    <t>Year</t>
  </si>
  <si>
    <t>Calculated</t>
  </si>
  <si>
    <t xml:space="preserve"> Currency</t>
  </si>
  <si>
    <t>€</t>
  </si>
  <si>
    <t>Notes</t>
  </si>
  <si>
    <t>Heat Balance</t>
  </si>
  <si>
    <t>Heat Input</t>
  </si>
  <si>
    <t>MW</t>
  </si>
  <si>
    <t>H2 ex. Abs.</t>
  </si>
  <si>
    <t>NH3 product</t>
  </si>
  <si>
    <t>Auxiliaries</t>
  </si>
  <si>
    <t>Air Compressor</t>
  </si>
  <si>
    <t>Fuel Compressor</t>
  </si>
  <si>
    <t>CO2 compression</t>
  </si>
  <si>
    <t>CO2 pump</t>
  </si>
  <si>
    <t>Syngas compr.</t>
  </si>
  <si>
    <t>Refrigeration compr.</t>
  </si>
  <si>
    <t>water pumps</t>
  </si>
  <si>
    <t>heat rejection</t>
  </si>
  <si>
    <t>fuel blower</t>
  </si>
  <si>
    <t>Total Aux</t>
  </si>
  <si>
    <t>Generators</t>
  </si>
  <si>
    <t>N2 turbine</t>
  </si>
  <si>
    <t>Steam Turbine</t>
  </si>
  <si>
    <t>Value</t>
  </si>
  <si>
    <t>Units</t>
  </si>
  <si>
    <t>NH3 Expander</t>
  </si>
  <si>
    <r>
      <t>NH</t>
    </r>
    <r>
      <rPr>
        <sz val="11"/>
        <color theme="1"/>
        <rFont val="Calibri"/>
        <family val="2"/>
      </rPr>
      <t>3</t>
    </r>
  </si>
  <si>
    <t>kg/s</t>
  </si>
  <si>
    <t>Net Power</t>
  </si>
  <si>
    <t>Unit Definition</t>
  </si>
  <si>
    <r>
      <t>CO</t>
    </r>
    <r>
      <rPr>
        <b/>
        <sz val="11"/>
        <color theme="1"/>
        <rFont val="Calibri"/>
        <family val="2"/>
      </rPr>
      <t>₂</t>
    </r>
  </si>
  <si>
    <t>Description</t>
  </si>
  <si>
    <t>Code</t>
  </si>
  <si>
    <t>Captured</t>
  </si>
  <si>
    <t>Gas Switching Reforming</t>
  </si>
  <si>
    <t>GSR Island</t>
  </si>
  <si>
    <t>U-100</t>
  </si>
  <si>
    <t>GSR and heat exchangers</t>
  </si>
  <si>
    <t>Flue gas</t>
  </si>
  <si>
    <t>WGS</t>
  </si>
  <si>
    <t>U-200</t>
  </si>
  <si>
    <t>Two stage shift &amp; heat recovery</t>
  </si>
  <si>
    <t>Vented/purification</t>
  </si>
  <si>
    <t>N2 Purification</t>
  </si>
  <si>
    <t>U-300</t>
  </si>
  <si>
    <t>N2 cooling purification and CO2 removal</t>
  </si>
  <si>
    <t>Purge CPU</t>
  </si>
  <si>
    <t>PSA</t>
  </si>
  <si>
    <t>U-400</t>
  </si>
  <si>
    <t>PSA &amp; Booster</t>
  </si>
  <si>
    <t>Total</t>
  </si>
  <si>
    <t>CO2 CPU</t>
  </si>
  <si>
    <t>U-500</t>
  </si>
  <si>
    <t>CO2 purification unit</t>
  </si>
  <si>
    <t>Capture Rate</t>
  </si>
  <si>
    <t>%</t>
  </si>
  <si>
    <t>Synthesis loop</t>
  </si>
  <si>
    <t>U-600</t>
  </si>
  <si>
    <t xml:space="preserve">Ammonia synthesis </t>
  </si>
  <si>
    <t>Specific Emissions</t>
  </si>
  <si>
    <t>kg/kg</t>
  </si>
  <si>
    <t>Refrigeration &amp; Storage</t>
  </si>
  <si>
    <t>U-700</t>
  </si>
  <si>
    <t>Product liquefaction, purification &amp; storage</t>
  </si>
  <si>
    <t>CO2 to CCS</t>
  </si>
  <si>
    <t>Steam cycle &amp; CWT</t>
  </si>
  <si>
    <t>U-800</t>
  </si>
  <si>
    <t>for power generation, turbine and condenser</t>
  </si>
  <si>
    <r>
      <t>CO</t>
    </r>
    <r>
      <rPr>
        <sz val="11"/>
        <color theme="1"/>
        <rFont val="Calibri"/>
        <family val="2"/>
      </rPr>
      <t>₂</t>
    </r>
  </si>
  <si>
    <t>Sheet Shortcuts</t>
  </si>
  <si>
    <t>Stream Summary Configuration</t>
  </si>
  <si>
    <t>LHV</t>
  </si>
  <si>
    <t>Heat</t>
  </si>
  <si>
    <t>NG</t>
  </si>
  <si>
    <t xml:space="preserve">Stream </t>
  </si>
  <si>
    <t>nº</t>
  </si>
  <si>
    <r>
      <t>H</t>
    </r>
    <r>
      <rPr>
        <sz val="11"/>
        <color theme="1"/>
        <rFont val="Calibri"/>
        <family val="2"/>
      </rPr>
      <t>₂</t>
    </r>
  </si>
  <si>
    <t>Capital Cost Estimation</t>
  </si>
  <si>
    <t>ADD</t>
  </si>
  <si>
    <t>REMOVE</t>
  </si>
  <si>
    <r>
      <t>NH</t>
    </r>
    <r>
      <rPr>
        <sz val="11"/>
        <color theme="1"/>
        <rFont val="Calibri"/>
        <family val="2"/>
      </rPr>
      <t>₂</t>
    </r>
  </si>
  <si>
    <t>Fixed &amp; Variable O&amp;M Costs</t>
  </si>
  <si>
    <t>Property</t>
  </si>
  <si>
    <t xml:space="preserve">Cash Flow Analysis </t>
  </si>
  <si>
    <t>Component</t>
  </si>
  <si>
    <t>Estimate Benchmark</t>
  </si>
  <si>
    <t xml:space="preserve"> Input to SSM</t>
  </si>
  <si>
    <t>Stream, Property and Component must contain at least 1 item each</t>
  </si>
  <si>
    <t>Fuel 2</t>
  </si>
  <si>
    <t>Cost Esimtation Type</t>
  </si>
  <si>
    <t>Equipment</t>
  </si>
  <si>
    <t>Scaling Cost Law (Misc. Items)</t>
  </si>
  <si>
    <t>Plant Unit Details</t>
  </si>
  <si>
    <t>C</t>
  </si>
  <si>
    <t>capacity</t>
  </si>
  <si>
    <t>Overview</t>
  </si>
  <si>
    <t xml:space="preserve"> Name</t>
  </si>
  <si>
    <t>S</t>
  </si>
  <si>
    <t>cost</t>
  </si>
  <si>
    <t xml:space="preserve"> Code</t>
  </si>
  <si>
    <t>n</t>
  </si>
  <si>
    <t>nº of trains</t>
  </si>
  <si>
    <t>Task</t>
  </si>
  <si>
    <t>Primary Conversion</t>
  </si>
  <si>
    <t>e</t>
  </si>
  <si>
    <t>train exponent</t>
  </si>
  <si>
    <t>f</t>
  </si>
  <si>
    <t>unit exponent</t>
  </si>
  <si>
    <t>Input</t>
  </si>
  <si>
    <t xml:space="preserve"> Output</t>
  </si>
  <si>
    <t>Unit Code</t>
  </si>
  <si>
    <t>Subtype</t>
  </si>
  <si>
    <t>Capacity</t>
  </si>
  <si>
    <t xml:space="preserve">Pressure </t>
  </si>
  <si>
    <t>Material</t>
  </si>
  <si>
    <t>Scaling</t>
  </si>
  <si>
    <t>Exp.</t>
  </si>
  <si>
    <t>Other Spec.</t>
  </si>
  <si>
    <t>CB0</t>
  </si>
  <si>
    <t>FP</t>
  </si>
  <si>
    <t>FM</t>
  </si>
  <si>
    <t>FBM</t>
  </si>
  <si>
    <t>CMB</t>
  </si>
  <si>
    <t>nº units</t>
  </si>
  <si>
    <t xml:space="preserve">BEC </t>
  </si>
  <si>
    <t>R-102r</t>
  </si>
  <si>
    <t>Vessel</t>
  </si>
  <si>
    <t>Vertical</t>
  </si>
  <si>
    <t>m3</t>
  </si>
  <si>
    <t>Ni</t>
  </si>
  <si>
    <t>R-102s</t>
  </si>
  <si>
    <t>CS</t>
  </si>
  <si>
    <t>P-101</t>
  </si>
  <si>
    <t>Pump</t>
  </si>
  <si>
    <t>Centrifugal pump</t>
  </si>
  <si>
    <t>kW</t>
  </si>
  <si>
    <t>-</t>
  </si>
  <si>
    <t>K-101</t>
  </si>
  <si>
    <t>Compressor</t>
  </si>
  <si>
    <t>Centrifugal</t>
  </si>
  <si>
    <t>D-101</t>
  </si>
  <si>
    <t>Drive</t>
  </si>
  <si>
    <t>Explosion Proof</t>
  </si>
  <si>
    <t>Heat Exchanger</t>
  </si>
  <si>
    <t>Fixed tube, sheet, or U tube</t>
  </si>
  <si>
    <t>m2</t>
  </si>
  <si>
    <t>Ni/Ni</t>
  </si>
  <si>
    <t>shell and tube</t>
  </si>
  <si>
    <t>SS/SS</t>
  </si>
  <si>
    <t>Side 1</t>
  </si>
  <si>
    <t>Side 2</t>
  </si>
  <si>
    <t>HTC</t>
  </si>
  <si>
    <t>Unit</t>
  </si>
  <si>
    <t>UA (kJ/hºC)</t>
  </si>
  <si>
    <t>Type</t>
  </si>
  <si>
    <t>type/pres.</t>
  </si>
  <si>
    <t>value</t>
  </si>
  <si>
    <t>U (W/m2K)</t>
  </si>
  <si>
    <t>E-101</t>
  </si>
  <si>
    <t>evap-cond</t>
  </si>
  <si>
    <t>Ph. Ch.</t>
  </si>
  <si>
    <t>E-102</t>
  </si>
  <si>
    <t>gas-gas</t>
  </si>
  <si>
    <t>E-103</t>
  </si>
  <si>
    <t>E-104</t>
  </si>
  <si>
    <t>Reactor Sizing</t>
  </si>
  <si>
    <t>E-105</t>
  </si>
  <si>
    <t>Total gas flowrate</t>
  </si>
  <si>
    <t>m3/s</t>
  </si>
  <si>
    <t>Miscellaneous Items</t>
  </si>
  <si>
    <t>Fluidization velocity</t>
  </si>
  <si>
    <t>m/s</t>
  </si>
  <si>
    <t>Item Code</t>
  </si>
  <si>
    <t>Unit Description</t>
  </si>
  <si>
    <t>Source</t>
  </si>
  <si>
    <t>Currency</t>
  </si>
  <si>
    <t xml:space="preserve">Location </t>
  </si>
  <si>
    <t>Scaling Parameter</t>
  </si>
  <si>
    <t>n0</t>
  </si>
  <si>
    <t>S0</t>
  </si>
  <si>
    <t>C0</t>
  </si>
  <si>
    <t>BEC</t>
  </si>
  <si>
    <t>Reactor surface area</t>
  </si>
  <si>
    <t>INS</t>
  </si>
  <si>
    <t>Insulation</t>
  </si>
  <si>
    <t>$</t>
  </si>
  <si>
    <t>US Gulf Coast</t>
  </si>
  <si>
    <t>Volume</t>
  </si>
  <si>
    <t>Number of reactors</t>
  </si>
  <si>
    <t>GSV</t>
  </si>
  <si>
    <t>Valves</t>
  </si>
  <si>
    <t>Flow rate</t>
  </si>
  <si>
    <t>Reactor diameter</t>
  </si>
  <si>
    <t>m</t>
  </si>
  <si>
    <t>ROD</t>
  </si>
  <si>
    <t>Rods</t>
  </si>
  <si>
    <t>Mass</t>
  </si>
  <si>
    <t>ton</t>
  </si>
  <si>
    <t>Aspect ratio</t>
  </si>
  <si>
    <t>Reference</t>
  </si>
  <si>
    <t>W/m2K</t>
  </si>
  <si>
    <t>Ref nº</t>
  </si>
  <si>
    <t>OC</t>
  </si>
  <si>
    <t>Oxygen Carrier</t>
  </si>
  <si>
    <t xml:space="preserve"> Gas at 1 atm</t>
  </si>
  <si>
    <t>S-101</t>
  </si>
  <si>
    <t>Desulphurizer</t>
  </si>
  <si>
    <t>Spallina</t>
  </si>
  <si>
    <t>Thermal Input</t>
  </si>
  <si>
    <t>Properties</t>
  </si>
  <si>
    <t>Pressure Exponent</t>
  </si>
  <si>
    <t>R-101</t>
  </si>
  <si>
    <t>Pre-reformer</t>
  </si>
  <si>
    <t>Steel rods ratio</t>
  </si>
  <si>
    <t>Liquid</t>
  </si>
  <si>
    <t xml:space="preserve">Reactor </t>
  </si>
  <si>
    <t>Rod density</t>
  </si>
  <si>
    <t>kg/m3</t>
  </si>
  <si>
    <t>Phase change</t>
  </si>
  <si>
    <t>Shell</t>
  </si>
  <si>
    <t>Installation Factor</t>
  </si>
  <si>
    <t>Basis</t>
  </si>
  <si>
    <t>BEC - Source</t>
  </si>
  <si>
    <t>BEC - Target</t>
  </si>
  <si>
    <t>Insulation thickness</t>
  </si>
  <si>
    <t>Turton</t>
  </si>
  <si>
    <t>Reactor Factor</t>
  </si>
  <si>
    <t>Miscillaneous</t>
  </si>
  <si>
    <t>OC Density</t>
  </si>
  <si>
    <t>Volume fraction</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</si>
  <si>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</si>
  <si>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Secondary Conversion</t>
  </si>
  <si>
    <t>units / factor</t>
  </si>
  <si>
    <t>CS/Ni</t>
  </si>
  <si>
    <t>R-201s</t>
  </si>
  <si>
    <t>R-202r</t>
  </si>
  <si>
    <t>Ni Clad</t>
  </si>
  <si>
    <t>V-201</t>
  </si>
  <si>
    <t>tube only</t>
  </si>
  <si>
    <t>WGS parameters</t>
  </si>
  <si>
    <t>WGS catalyst costs</t>
  </si>
  <si>
    <t>$/m3</t>
  </si>
  <si>
    <t>Insulation cost</t>
  </si>
  <si>
    <t>E-201</t>
  </si>
  <si>
    <t>evap-gas</t>
  </si>
  <si>
    <t>catalyst density</t>
  </si>
  <si>
    <t>E-202</t>
  </si>
  <si>
    <t>E-203</t>
  </si>
  <si>
    <t>E-204</t>
  </si>
  <si>
    <t>liq-gas</t>
  </si>
  <si>
    <t>Reactor Sising</t>
  </si>
  <si>
    <t>C-201</t>
  </si>
  <si>
    <t>Item</t>
  </si>
  <si>
    <t>HTS</t>
  </si>
  <si>
    <t>LTS</t>
  </si>
  <si>
    <t>Volume (m3)</t>
  </si>
  <si>
    <t>CAT1</t>
  </si>
  <si>
    <t>Catalyst</t>
  </si>
  <si>
    <t>factor</t>
  </si>
  <si>
    <t>CAT 2</t>
  </si>
  <si>
    <t>Voidage</t>
  </si>
  <si>
    <t>INS1</t>
  </si>
  <si>
    <t>Aspec Ratio</t>
  </si>
  <si>
    <t>INS 2</t>
  </si>
  <si>
    <t>Diameter</t>
  </si>
  <si>
    <t>Velocity (m/s)</t>
  </si>
  <si>
    <t>Insulation Thickness</t>
  </si>
  <si>
    <t>Reactor factor</t>
  </si>
  <si>
    <t>Separation Vessel</t>
  </si>
  <si>
    <t>vg (m3/s)</t>
  </si>
  <si>
    <t>vl (m3/s)</t>
  </si>
  <si>
    <t>pl (kg/m3)</t>
  </si>
  <si>
    <t>pv (kg/m3)</t>
  </si>
  <si>
    <t>D (m)</t>
  </si>
  <si>
    <t>A (m2)</t>
  </si>
  <si>
    <t>Vg (m3)</t>
  </si>
  <si>
    <t>Vl (m3)</t>
  </si>
  <si>
    <t>Pressure (bar)</t>
  </si>
  <si>
    <t>VES</t>
  </si>
  <si>
    <t>Contaminant Removal</t>
  </si>
  <si>
    <t>CS/CS</t>
  </si>
  <si>
    <t>K-301</t>
  </si>
  <si>
    <t>D-301</t>
  </si>
  <si>
    <t>S-301</t>
  </si>
  <si>
    <t>Heat Exchanger Sizing</t>
  </si>
  <si>
    <t>Simulation Input</t>
  </si>
  <si>
    <t>Side 3</t>
  </si>
  <si>
    <t>E-301</t>
  </si>
  <si>
    <t>E-302</t>
  </si>
  <si>
    <t>cond-evap</t>
  </si>
  <si>
    <t>liquid</t>
  </si>
  <si>
    <t>C-301</t>
  </si>
  <si>
    <t>gas-liquid</t>
  </si>
  <si>
    <t>C-302</t>
  </si>
  <si>
    <t>Absorbent</t>
  </si>
  <si>
    <t>kg</t>
  </si>
  <si>
    <t>Flat plate HTC factor</t>
  </si>
  <si>
    <t>Purification</t>
  </si>
  <si>
    <t xml:space="preserve">Vol scaled </t>
  </si>
  <si>
    <t>(m3/s)</t>
  </si>
  <si>
    <t>A/R</t>
  </si>
  <si>
    <t>Velocity</t>
  </si>
  <si>
    <t>Area</t>
  </si>
  <si>
    <t>Volumen</t>
  </si>
  <si>
    <t xml:space="preserve">P </t>
  </si>
  <si>
    <t>bar</t>
  </si>
  <si>
    <t>Adsorbent</t>
  </si>
  <si>
    <t>Ads. Density</t>
  </si>
  <si>
    <t>nº of columns</t>
  </si>
  <si>
    <t>R-202 Vessel</t>
  </si>
  <si>
    <t>R-202 Tubes</t>
  </si>
  <si>
    <t>K-201</t>
  </si>
  <si>
    <t>Axial</t>
  </si>
  <si>
    <t>CS/SS</t>
  </si>
  <si>
    <t>K-102</t>
  </si>
  <si>
    <t>GT-101</t>
  </si>
  <si>
    <t>Gas Turbine</t>
  </si>
  <si>
    <t>Tubular Reformer Sizing</t>
  </si>
  <si>
    <t>Furnace Factor (-)</t>
  </si>
  <si>
    <t>Catlyst Cost ($/kg)</t>
  </si>
  <si>
    <t>Tube Factor (-)</t>
  </si>
  <si>
    <t>Insultation Thickness (m)</t>
  </si>
  <si>
    <t>Tube vol. Fraction (-)</t>
  </si>
  <si>
    <t>Insulation Cost ($/m3)</t>
  </si>
  <si>
    <t>Tube Diameter (m)</t>
  </si>
  <si>
    <t>Tube Volume (m3)</t>
  </si>
  <si>
    <t>Tube Length (m)</t>
  </si>
  <si>
    <t>Furnace Volume (m3)</t>
  </si>
  <si>
    <t>nº of tubes (-)</t>
  </si>
  <si>
    <t>Furnace Diameter (m)</t>
  </si>
  <si>
    <t>Catalyst Density (kg/m3)</t>
  </si>
  <si>
    <t>Furnace AR</t>
  </si>
  <si>
    <t>E-106</t>
  </si>
  <si>
    <t>Volume Fraction (-)</t>
  </si>
  <si>
    <t>E-107</t>
  </si>
  <si>
    <t>gas-liq</t>
  </si>
  <si>
    <t>E-108</t>
  </si>
  <si>
    <t>C-101</t>
  </si>
  <si>
    <t>CAT</t>
  </si>
  <si>
    <t>Some scope (exchangers) is slightly different with respect to LAC, but in principle we should get a reasonable comparison between Reformer Island and WGS for each. Note that KBR has N2 added already</t>
  </si>
  <si>
    <t>R-103</t>
  </si>
  <si>
    <t>Autothermal Reformer</t>
  </si>
  <si>
    <t>Cloete</t>
  </si>
  <si>
    <t xml:space="preserve">nº </t>
  </si>
  <si>
    <t>tubes</t>
  </si>
  <si>
    <t>heat input</t>
  </si>
  <si>
    <t>Tube scaling exponent</t>
  </si>
  <si>
    <t>Product Conditioning &amp; Storage</t>
  </si>
  <si>
    <t>K-401</t>
  </si>
  <si>
    <t>D-401</t>
  </si>
  <si>
    <t>K</t>
  </si>
  <si>
    <t>C-401</t>
  </si>
  <si>
    <t>PSA unit</t>
  </si>
  <si>
    <t>IEAGHG</t>
  </si>
  <si>
    <t>Molar flow</t>
  </si>
  <si>
    <t>kmoñ/s</t>
  </si>
  <si>
    <t>E-501</t>
  </si>
  <si>
    <t>E-502</t>
  </si>
  <si>
    <t>V-501</t>
  </si>
  <si>
    <t>SS</t>
  </si>
  <si>
    <t>V-502</t>
  </si>
  <si>
    <t>K-501</t>
  </si>
  <si>
    <t>K-502</t>
  </si>
  <si>
    <t>D-501</t>
  </si>
  <si>
    <t>N/A</t>
  </si>
  <si>
    <t>C-501</t>
  </si>
  <si>
    <t>C-502</t>
  </si>
  <si>
    <t>P-501</t>
  </si>
  <si>
    <t>T-501</t>
  </si>
  <si>
    <t>Turbine</t>
  </si>
  <si>
    <t>Radial</t>
  </si>
  <si>
    <t>D-502</t>
  </si>
  <si>
    <t>Knock Out Drum</t>
  </si>
  <si>
    <t>V-401</t>
  </si>
  <si>
    <t>V-404</t>
  </si>
  <si>
    <t>SS Clad</t>
  </si>
  <si>
    <t>V-401-tray</t>
  </si>
  <si>
    <t>Tower Trays</t>
  </si>
  <si>
    <t>Sieve</t>
  </si>
  <si>
    <t>NI Alloy</t>
  </si>
  <si>
    <t>V-404-tray</t>
  </si>
  <si>
    <t>V-402</t>
  </si>
  <si>
    <t>V-403</t>
  </si>
  <si>
    <t>E-401</t>
  </si>
  <si>
    <t>E-402</t>
  </si>
  <si>
    <t>P-401</t>
  </si>
  <si>
    <t>Wash</t>
  </si>
  <si>
    <t>ABS</t>
  </si>
  <si>
    <t>STR</t>
  </si>
  <si>
    <t>Lv (kg/s)</t>
  </si>
  <si>
    <t>A tray (m2)</t>
  </si>
  <si>
    <t>lq-liq</t>
  </si>
  <si>
    <t>Ll (kg/s)</t>
  </si>
  <si>
    <t>Diameter (m)</t>
  </si>
  <si>
    <t>C-402</t>
  </si>
  <si>
    <t>Ph. Ch.-liq</t>
  </si>
  <si>
    <t>tray efficiency</t>
  </si>
  <si>
    <t>liquid-cond</t>
  </si>
  <si>
    <t>ideal trays</t>
  </si>
  <si>
    <t>Flv</t>
  </si>
  <si>
    <t>distance (m)</t>
  </si>
  <si>
    <t>K1</t>
  </si>
  <si>
    <t>height (m)</t>
  </si>
  <si>
    <t>Factor</t>
  </si>
  <si>
    <t>uf (m/s)</t>
  </si>
  <si>
    <t>Vol (m3/h)</t>
  </si>
  <si>
    <t>flooding</t>
  </si>
  <si>
    <t>v (m/s)</t>
  </si>
  <si>
    <t>pressure (bar)</t>
  </si>
  <si>
    <t>volume (m3)</t>
  </si>
  <si>
    <t>V-405</t>
  </si>
  <si>
    <t xml:space="preserve"> Wash Vessel</t>
  </si>
  <si>
    <t>Flow (m3/s)</t>
  </si>
  <si>
    <t>D (m2)</t>
  </si>
  <si>
    <t>CO2 flow</t>
  </si>
  <si>
    <t>AR</t>
  </si>
  <si>
    <t>h (m)</t>
  </si>
  <si>
    <t>Advantage of using the Turton approach: vessel volume is well predicted with inlet gas flows</t>
  </si>
  <si>
    <t>K-701</t>
  </si>
  <si>
    <t>K-702</t>
  </si>
  <si>
    <t>C-602</t>
  </si>
  <si>
    <t>C-603</t>
  </si>
  <si>
    <t>E-601</t>
  </si>
  <si>
    <t>E-602</t>
  </si>
  <si>
    <t>E-603</t>
  </si>
  <si>
    <t>E-604</t>
  </si>
  <si>
    <t>E-605</t>
  </si>
  <si>
    <t>E-606</t>
  </si>
  <si>
    <t>D-601</t>
  </si>
  <si>
    <t>R-601r</t>
  </si>
  <si>
    <t>R-602r</t>
  </si>
  <si>
    <t>R-603r</t>
  </si>
  <si>
    <t>R-601s</t>
  </si>
  <si>
    <t>R-602s</t>
  </si>
  <si>
    <t>R-603s</t>
  </si>
  <si>
    <t>V-601 liner</t>
  </si>
  <si>
    <t>V-602 liner</t>
  </si>
  <si>
    <t>C-601</t>
  </si>
  <si>
    <t>gas-evap</t>
  </si>
  <si>
    <t>mass</t>
  </si>
  <si>
    <t>E-607</t>
  </si>
  <si>
    <t>CAT2</t>
  </si>
  <si>
    <t>CAT3</t>
  </si>
  <si>
    <t>volume</t>
  </si>
  <si>
    <t>Bed1</t>
  </si>
  <si>
    <t>Bed2</t>
  </si>
  <si>
    <t>Bed 3</t>
  </si>
  <si>
    <t>Reactor Volume</t>
  </si>
  <si>
    <t>Aspect Ratio</t>
  </si>
  <si>
    <t>V-601</t>
  </si>
  <si>
    <t>D</t>
  </si>
  <si>
    <t>V-602</t>
  </si>
  <si>
    <t>h</t>
  </si>
  <si>
    <t>Shell volume</t>
  </si>
  <si>
    <t>Shell diameter</t>
  </si>
  <si>
    <t>Shell height</t>
  </si>
  <si>
    <t>Catalyst Density</t>
  </si>
  <si>
    <t>Catalyst Cost</t>
  </si>
  <si>
    <r>
      <t>€</t>
    </r>
    <r>
      <rPr>
        <sz val="6.05"/>
        <rFont val="Calibri"/>
        <family val="2"/>
      </rPr>
      <t>/</t>
    </r>
    <r>
      <rPr>
        <sz val="10"/>
        <rFont val="Calibri"/>
        <family val="2"/>
      </rPr>
      <t>kg</t>
    </r>
  </si>
  <si>
    <t>Diameter Factor</t>
  </si>
  <si>
    <t>Cost</t>
  </si>
  <si>
    <t>€/m3</t>
  </si>
  <si>
    <t>Insulation volume</t>
  </si>
  <si>
    <t>T-801</t>
  </si>
  <si>
    <t>K-801</t>
  </si>
  <si>
    <t>K-802</t>
  </si>
  <si>
    <t>D-801</t>
  </si>
  <si>
    <t>V-801</t>
  </si>
  <si>
    <t>V-802</t>
  </si>
  <si>
    <t>V-803</t>
  </si>
  <si>
    <t>E-801</t>
  </si>
  <si>
    <t>E-802</t>
  </si>
  <si>
    <t>E-803</t>
  </si>
  <si>
    <t>K-803f</t>
  </si>
  <si>
    <t>E-701</t>
  </si>
  <si>
    <t>E-702</t>
  </si>
  <si>
    <t>E-703</t>
  </si>
  <si>
    <t>C-701</t>
  </si>
  <si>
    <t>cond.- liq</t>
  </si>
  <si>
    <t>Storage &amp; Handling</t>
  </si>
  <si>
    <t>https://lib.dr.iastate.edu/cgi/viewcontent.cgi?article=2119&amp;context=etd</t>
  </si>
  <si>
    <t>mass stored</t>
  </si>
  <si>
    <t>tons</t>
  </si>
  <si>
    <t>Scaling Cost Law</t>
  </si>
  <si>
    <t>Power Generation</t>
  </si>
  <si>
    <t>Reference Details</t>
  </si>
  <si>
    <t>Reference  Scaling Parameters</t>
  </si>
  <si>
    <t>Unit Scaling</t>
  </si>
  <si>
    <t>Cost Basis (year)</t>
  </si>
  <si>
    <t>T-901</t>
  </si>
  <si>
    <t>EBTF</t>
  </si>
  <si>
    <t>Gross Power</t>
  </si>
  <si>
    <t>C-901</t>
  </si>
  <si>
    <t>Condenser</t>
  </si>
  <si>
    <t>NETL</t>
  </si>
  <si>
    <t>US Midwest</t>
  </si>
  <si>
    <t>Heat Rejected</t>
  </si>
  <si>
    <t>GW</t>
  </si>
  <si>
    <t>X-900</t>
  </si>
  <si>
    <t>Piping</t>
  </si>
  <si>
    <t>X-000</t>
  </si>
  <si>
    <t>Cooling Tower</t>
  </si>
  <si>
    <t>Web</t>
  </si>
  <si>
    <t>Volumetric Flow</t>
  </si>
  <si>
    <t>Reference Breakdown</t>
  </si>
  <si>
    <t>Cost Concept</t>
  </si>
  <si>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</si>
  <si>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PLANT CAPEX</t>
  </si>
  <si>
    <t>Detail</t>
  </si>
  <si>
    <t>Item 1</t>
  </si>
  <si>
    <t>Item 2</t>
  </si>
  <si>
    <t>Item 3</t>
  </si>
  <si>
    <t>Item 4</t>
  </si>
  <si>
    <t>Item 5</t>
  </si>
  <si>
    <t>Item 6</t>
  </si>
  <si>
    <t>Item 7</t>
  </si>
  <si>
    <t>Item 8</t>
  </si>
  <si>
    <t>Unit Name</t>
  </si>
  <si>
    <t>Label</t>
  </si>
  <si>
    <t>All</t>
  </si>
  <si>
    <t>Bare Erected Cost (BEC) - Estimate</t>
  </si>
  <si>
    <t>Adjusted to  year, currency &amp; location of Estimate</t>
  </si>
  <si>
    <t>Engineering Procurement &amp; Construction (EPCC)</t>
  </si>
  <si>
    <t>% of BEC</t>
  </si>
  <si>
    <t>Process Contingency (PC)</t>
  </si>
  <si>
    <t>Project Contingency (PT)</t>
  </si>
  <si>
    <t>% of (BEC+EPCC+PC)</t>
  </si>
  <si>
    <t>Total Contingency (TC)</t>
  </si>
  <si>
    <t>PC + PT</t>
  </si>
  <si>
    <t>Total Plant Costs (TPC)</t>
  </si>
  <si>
    <t>BEC + EPCC + TC</t>
  </si>
  <si>
    <t>Owners's Cost (OC)</t>
  </si>
  <si>
    <t>% of TPC</t>
  </si>
  <si>
    <t>Total Overnight Costs (TOC)</t>
  </si>
  <si>
    <t>TPC + OC</t>
  </si>
  <si>
    <t>Total Capital Requirement (TCR)</t>
  </si>
  <si>
    <t>% of TOC</t>
  </si>
  <si>
    <t>Bare Erected Cost (BEC)</t>
  </si>
  <si>
    <t>Total Installed Cost</t>
  </si>
  <si>
    <t>111% of TOC</t>
  </si>
  <si>
    <t xml:space="preserve">Cost Basis of Estimate </t>
  </si>
  <si>
    <t xml:space="preserve">Cost Summary </t>
  </si>
  <si>
    <t>€/kW</t>
  </si>
  <si>
    <t>TOC</t>
  </si>
  <si>
    <t>TCR</t>
  </si>
  <si>
    <t>Update manually or click below</t>
  </si>
  <si>
    <t>Add Item</t>
  </si>
  <si>
    <t>Remove Item</t>
  </si>
  <si>
    <t>PLANT OPEX</t>
  </si>
  <si>
    <t>Bibliography</t>
  </si>
  <si>
    <t>FOM</t>
  </si>
  <si>
    <t>Fuel</t>
  </si>
  <si>
    <t>VOM</t>
  </si>
  <si>
    <t>Lists must contain a minimum of 2 Items</t>
  </si>
  <si>
    <r>
      <t>Exchange ($/</t>
    </r>
    <r>
      <rPr>
        <b/>
        <sz val="12"/>
        <color theme="1"/>
        <rFont val="Calibri"/>
        <family val="2"/>
      </rPr>
      <t>€)</t>
    </r>
  </si>
  <si>
    <r>
      <t>Factor (h/</t>
    </r>
    <r>
      <rPr>
        <b/>
        <sz val="12"/>
        <color theme="1"/>
        <rFont val="Calibri"/>
        <family val="2"/>
      </rPr>
      <t>y)</t>
    </r>
  </si>
  <si>
    <t>Fixed Operating and Maintenance Costs (FOM)</t>
  </si>
  <si>
    <t>Fuel &amp; Raw Material Costs</t>
  </si>
  <si>
    <t>Variable Operation and Maintenance Costs (VOM)</t>
  </si>
  <si>
    <t>Calculations</t>
  </si>
  <si>
    <t>Concept</t>
  </si>
  <si>
    <t>unit/year</t>
  </si>
  <si>
    <t>Specific Cost</t>
  </si>
  <si>
    <t>cost/unit</t>
  </si>
  <si>
    <t>cost/year</t>
  </si>
  <si>
    <r>
      <t>cost</t>
    </r>
    <r>
      <rPr>
        <sz val="12"/>
        <color theme="1" tint="4.9989318521683403E-2"/>
        <rFont val="Calibri"/>
        <family val="2"/>
      </rPr>
      <t>/year</t>
    </r>
  </si>
  <si>
    <t>Power Demand</t>
  </si>
  <si>
    <t>Labour</t>
  </si>
  <si>
    <t>operators</t>
  </si>
  <si>
    <t>GJ/y</t>
  </si>
  <si>
    <t>CO2 tax</t>
  </si>
  <si>
    <t>CO2 emissions</t>
  </si>
  <si>
    <t>Maintenance</t>
  </si>
  <si>
    <t>%TOC</t>
  </si>
  <si>
    <t>Electricity</t>
  </si>
  <si>
    <t>MWh/y</t>
  </si>
  <si>
    <t>CO2 T&amp;S</t>
  </si>
  <si>
    <t>ton/y</t>
  </si>
  <si>
    <t>CO2 to storage</t>
  </si>
  <si>
    <t>Insurance</t>
  </si>
  <si>
    <t>Reformer Cat. Lifetime</t>
  </si>
  <si>
    <t>years</t>
  </si>
  <si>
    <t>Total FOM</t>
  </si>
  <si>
    <t>Reformer Cat.</t>
  </si>
  <si>
    <t>WGS Cat. Lifetime</t>
  </si>
  <si>
    <t>WGS Cat.</t>
  </si>
  <si>
    <t>m3/y</t>
  </si>
  <si>
    <t>Ammonia Cat Lifetime</t>
  </si>
  <si>
    <t>Ammonia Cat.</t>
  </si>
  <si>
    <t>kg/y</t>
  </si>
  <si>
    <t>Process water</t>
  </si>
  <si>
    <t>t/y</t>
  </si>
  <si>
    <t>Make up water</t>
  </si>
  <si>
    <t>Make up</t>
  </si>
  <si>
    <t>Total VOM (exl. Fuel &amp; CO2 tax)</t>
  </si>
  <si>
    <t>Cash Flow Analysis</t>
  </si>
  <si>
    <t xml:space="preserve">Overview </t>
  </si>
  <si>
    <t>Indicator</t>
  </si>
  <si>
    <t>Plant &amp; Economic Summary</t>
  </si>
  <si>
    <t>LCOP</t>
  </si>
  <si>
    <t>IRR</t>
  </si>
  <si>
    <t>Output</t>
  </si>
  <si>
    <t>Economic Indicator</t>
  </si>
  <si>
    <t>NPV</t>
  </si>
  <si>
    <t>Efficiency</t>
  </si>
  <si>
    <t>SPP</t>
  </si>
  <si>
    <t>DPP</t>
  </si>
  <si>
    <t>COCA</t>
  </si>
  <si>
    <t>Economic Analysis Assumptions</t>
  </si>
  <si>
    <t>Benchmarking (LCOP)</t>
  </si>
  <si>
    <t>Capacity Factor 1st year</t>
  </si>
  <si>
    <t>Capacity Factor (remaining)</t>
  </si>
  <si>
    <t>Sp. Emissions</t>
  </si>
  <si>
    <t>Plant Lifetime</t>
  </si>
  <si>
    <t>Construction period</t>
  </si>
  <si>
    <t>Economic Analysis Input/Output</t>
  </si>
  <si>
    <t>Price of Product</t>
  </si>
  <si>
    <t xml:space="preserve">Discount rate </t>
  </si>
  <si>
    <t>Discounted Cash Flow</t>
  </si>
  <si>
    <t>Capacity factor</t>
  </si>
  <si>
    <t>Revenue</t>
  </si>
  <si>
    <t>Sales</t>
  </si>
  <si>
    <t>Costs</t>
  </si>
  <si>
    <t>Capital</t>
  </si>
  <si>
    <t>Discount factor</t>
  </si>
  <si>
    <t>Discounted total</t>
  </si>
  <si>
    <t>Cash flow</t>
  </si>
  <si>
    <t>Discounted cash flow</t>
  </si>
  <si>
    <t>Sensitivity Analysis</t>
  </si>
  <si>
    <t>Ind. Var</t>
  </si>
  <si>
    <t>Units - Ind.</t>
  </si>
  <si>
    <t>Man. Var.</t>
  </si>
  <si>
    <t>Units - Man.</t>
  </si>
  <si>
    <t>Ind. Var.</t>
  </si>
  <si>
    <t>Man. Var</t>
  </si>
  <si>
    <t>Base</t>
  </si>
  <si>
    <t>Increment</t>
  </si>
  <si>
    <t>nº of points</t>
  </si>
  <si>
    <t>Initial</t>
  </si>
  <si>
    <t>SENSITIVITY</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</si>
  <si>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</si>
  <si>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</si>
  <si>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</si>
  <si>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</si>
  <si>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</si>
  <si>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</si>
  <si>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</si>
  <si>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</si>
  <si>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</si>
  <si>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</si>
  <si>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</si>
  <si>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 xml:space="preserve">Mixer </t>
  </si>
  <si>
    <t xml:space="preserve">Pump </t>
  </si>
  <si>
    <t xml:space="preserve">Screen </t>
  </si>
  <si>
    <t>Tank</t>
  </si>
  <si>
    <t>Vaporizer</t>
  </si>
  <si>
    <t>Tower Packing</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</si>
  <si>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</si>
  <si>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</si>
  <si>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</si>
  <si>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</si>
  <si>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</si>
  <si>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</si>
  <si>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</si>
  <si>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</si>
  <si>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</si>
  <si>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</si>
  <si>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</si>
  <si>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</si>
  <si>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</si>
  <si>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</si>
  <si>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</si>
  <si>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</si>
  <si>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</si>
  <si>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</si>
  <si>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</si>
  <si>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</si>
  <si>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</si>
  <si>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</si>
  <si>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</si>
  <si>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HeatExchanger_DoublePipe_Material</t>
  </si>
  <si>
    <t>HeatExchanger_MultiplePipe_Material</t>
  </si>
  <si>
    <t>HeatExchanger_FixedtubesheetorUtube_Material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</si>
  <si>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</si>
  <si>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</si>
  <si>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</si>
  <si>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</si>
  <si>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</si>
  <si>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</si>
  <si>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</si>
  <si>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</si>
  <si>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</si>
  <si>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Packing</t>
  </si>
  <si>
    <t>Cl</t>
  </si>
  <si>
    <t>Ceramic</t>
  </si>
  <si>
    <t>Cyclone Scrubber</t>
  </si>
  <si>
    <t>fiberglass</t>
  </si>
  <si>
    <t>Alloy Steel</t>
  </si>
  <si>
    <t>Cu Alloy</t>
  </si>
  <si>
    <t>CS/Cu</t>
  </si>
  <si>
    <t>Cu</t>
  </si>
  <si>
    <t>304 SS</t>
  </si>
  <si>
    <t>Al</t>
  </si>
  <si>
    <t>Correlation Database</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</si>
  <si>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</si>
  <si>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Cu/Cu</t>
  </si>
  <si>
    <t>GL SS Coils</t>
  </si>
  <si>
    <t>Flourocarbon</t>
  </si>
  <si>
    <t>Plastic Saddle</t>
  </si>
  <si>
    <t>Turton (2018)</t>
  </si>
  <si>
    <t>Ni Alloy</t>
  </si>
  <si>
    <t>Glass Lined Ni Coils</t>
  </si>
  <si>
    <t>Ti</t>
  </si>
  <si>
    <t>Ti Clad</t>
  </si>
  <si>
    <t>CORRELATION FORMULATION</t>
  </si>
  <si>
    <t xml:space="preserve">Ti </t>
  </si>
  <si>
    <t>CS/Ti</t>
  </si>
  <si>
    <t>Ni Alloy Clad</t>
  </si>
  <si>
    <t>Ti/Ti</t>
  </si>
  <si>
    <t>Correlation Input</t>
  </si>
  <si>
    <t>Correlation Output</t>
  </si>
  <si>
    <t>FM/T/q</t>
  </si>
  <si>
    <t>BEC in M</t>
  </si>
  <si>
    <t>Spiral Tube</t>
  </si>
  <si>
    <t>Blender</t>
  </si>
  <si>
    <t>Kneader</t>
  </si>
  <si>
    <t>Ribbon</t>
  </si>
  <si>
    <t>Rotatory</t>
  </si>
  <si>
    <t>Centrifuge</t>
  </si>
  <si>
    <t>Auto Batch Separator</t>
  </si>
  <si>
    <t>Centrifugal Separator</t>
  </si>
  <si>
    <t>Oscillating Screen</t>
  </si>
  <si>
    <t>Solid Bowl w/o Motor</t>
  </si>
  <si>
    <t>Reciprocating</t>
  </si>
  <si>
    <t>Apron</t>
  </si>
  <si>
    <t>Belt</t>
  </si>
  <si>
    <t>Pneumatic</t>
  </si>
  <si>
    <t>Screw</t>
  </si>
  <si>
    <t>Crystallizer</t>
  </si>
  <si>
    <t>Batch</t>
  </si>
  <si>
    <t>Totally Enclosed</t>
  </si>
  <si>
    <t>Open/Drip Proof</t>
  </si>
  <si>
    <t>Internal Combustion</t>
  </si>
  <si>
    <t>Drum</t>
  </si>
  <si>
    <t>Rotatory, Gas Fired</t>
  </si>
  <si>
    <t>Tray</t>
  </si>
  <si>
    <t>Dust Collectors</t>
  </si>
  <si>
    <t>Baghouse</t>
  </si>
  <si>
    <t>Electrostatic Precipitator</t>
  </si>
  <si>
    <t>Venturi</t>
  </si>
  <si>
    <t>Centrifugal Radial Fan</t>
  </si>
  <si>
    <t>Centrifugal Backward curved fan</t>
  </si>
  <si>
    <t>Axial Tube Fan</t>
  </si>
  <si>
    <t>Axial Vane Fan</t>
  </si>
  <si>
    <t>Filter</t>
  </si>
  <si>
    <t>Bent</t>
  </si>
  <si>
    <t>Cartridge</t>
  </si>
  <si>
    <t>Disc and Drum</t>
  </si>
  <si>
    <t>Gravity</t>
  </si>
  <si>
    <t>Leaf</t>
  </si>
  <si>
    <t>Pan</t>
  </si>
  <si>
    <t>Plate and Frame</t>
  </si>
  <si>
    <t>Table</t>
  </si>
  <si>
    <t>Tube</t>
  </si>
  <si>
    <t>Fired Heater</t>
  </si>
  <si>
    <t>Reformer Furnace</t>
  </si>
  <si>
    <t>Pyrolisis Furnace</t>
  </si>
  <si>
    <t>Process Heater</t>
  </si>
  <si>
    <t>Hot Water</t>
  </si>
  <si>
    <t>Molten Salt, Mineral Oil,</t>
  </si>
  <si>
    <t>Diphenyl Based Oils</t>
  </si>
  <si>
    <t>Packaged Steam Boilers</t>
  </si>
  <si>
    <t>Evaporator</t>
  </si>
  <si>
    <t>Forced Circulation</t>
  </si>
  <si>
    <t>Falling Film</t>
  </si>
  <si>
    <t>Agitated (Scraped Wall)</t>
  </si>
  <si>
    <t>Short Tube</t>
  </si>
  <si>
    <t>Long Tube</t>
  </si>
  <si>
    <t>Double Pipe</t>
  </si>
  <si>
    <t>Multiple Pipe</t>
  </si>
  <si>
    <t>Floating Head</t>
  </si>
  <si>
    <t>Bayonet</t>
  </si>
  <si>
    <t>Kettle Reboiler</t>
  </si>
  <si>
    <t>Scraped Wall</t>
  </si>
  <si>
    <t>Teflon Tube</t>
  </si>
  <si>
    <t>Air Cooler</t>
  </si>
  <si>
    <t>Spiral Plate</t>
  </si>
  <si>
    <t>Flat Plate</t>
  </si>
  <si>
    <t>Mixer</t>
  </si>
  <si>
    <t>Impeller</t>
  </si>
  <si>
    <t>Propeller</t>
  </si>
  <si>
    <t>Positive Displacement</t>
  </si>
  <si>
    <t>Reciprocating pump</t>
  </si>
  <si>
    <t>Reactor</t>
  </si>
  <si>
    <t>Autoclave</t>
  </si>
  <si>
    <t>Fermenter</t>
  </si>
  <si>
    <t>Inoculum Tank</t>
  </si>
  <si>
    <t>Jacketed Agitated</t>
  </si>
  <si>
    <t>Jacketed Non-Agitated</t>
  </si>
  <si>
    <t>Mixer/Settler</t>
  </si>
  <si>
    <t>Screen</t>
  </si>
  <si>
    <t>DSM</t>
  </si>
  <si>
    <t>Stationary</t>
  </si>
  <si>
    <t>Vibrating</t>
  </si>
  <si>
    <t>Fixed Roof</t>
  </si>
  <si>
    <t>Floating Roof</t>
  </si>
  <si>
    <t>Jacketed Vessel</t>
  </si>
  <si>
    <t>Internal Coil</t>
  </si>
  <si>
    <t>Jacketed Vessel w/ Coil</t>
  </si>
  <si>
    <t>Horizontal</t>
  </si>
  <si>
    <t>Valve</t>
  </si>
  <si>
    <t>Demister</t>
  </si>
  <si>
    <t xml:space="preserve">SSM </t>
  </si>
  <si>
    <t>ESTIMATE BENCHMARK</t>
  </si>
  <si>
    <t>Benchmark Unit Details</t>
  </si>
  <si>
    <t>BENCHMARK ITEMS</t>
  </si>
  <si>
    <t>Benchmark</t>
  </si>
  <si>
    <t xml:space="preserve">BENCHMARK </t>
  </si>
  <si>
    <t>Reference / Estimate Information</t>
  </si>
  <si>
    <t>Scaling  Parameters</t>
  </si>
  <si>
    <t xml:space="preserve"> Description</t>
  </si>
  <si>
    <t>Smax</t>
  </si>
  <si>
    <t>Smin</t>
  </si>
  <si>
    <t>Ref. nº</t>
  </si>
  <si>
    <t xml:space="preserve">Estimate </t>
  </si>
  <si>
    <t>Turton based</t>
  </si>
  <si>
    <t>CO2 captured</t>
  </si>
  <si>
    <t>k/g</t>
  </si>
  <si>
    <t>https://ieaghg.org/exco_docs/2017-02.pdf</t>
  </si>
  <si>
    <t>Point</t>
  </si>
  <si>
    <t>BEC/Capacity</t>
  </si>
  <si>
    <t>Bibiliography</t>
  </si>
  <si>
    <t>Other (DOI, webpage)</t>
  </si>
  <si>
    <t>YEAR</t>
  </si>
  <si>
    <t>CEPCI</t>
  </si>
  <si>
    <t>Index -2018</t>
  </si>
  <si>
    <t>Index-L</t>
  </si>
  <si>
    <r>
      <t>$/</t>
    </r>
    <r>
      <rPr>
        <b/>
        <sz val="11"/>
        <color theme="1"/>
        <rFont val="Calibri"/>
        <family val="2"/>
      </rPr>
      <t>€</t>
    </r>
  </si>
  <si>
    <t>US Southwest</t>
  </si>
  <si>
    <t>US Northwest</t>
  </si>
  <si>
    <t>US West Coast</t>
  </si>
  <si>
    <t>Eastern Europe</t>
  </si>
  <si>
    <t>Mexico</t>
  </si>
  <si>
    <t>South America</t>
  </si>
  <si>
    <t>Japan</t>
  </si>
  <si>
    <t>Australasia</t>
  </si>
  <si>
    <t>India</t>
  </si>
  <si>
    <t>China</t>
  </si>
  <si>
    <t>South East Asia</t>
  </si>
  <si>
    <t>Middle East</t>
  </si>
  <si>
    <t>IEAGHG 2018 numbers</t>
  </si>
  <si>
    <t>Labour weight</t>
  </si>
  <si>
    <t>Labour Compound</t>
  </si>
  <si>
    <t>Weighted location factor</t>
  </si>
  <si>
    <t>Gulf coast</t>
  </si>
  <si>
    <t>Mid West</t>
  </si>
  <si>
    <t>Australia</t>
  </si>
  <si>
    <t>Canada</t>
  </si>
  <si>
    <t xml:space="preserve">Euro </t>
  </si>
  <si>
    <t>South Africa</t>
  </si>
  <si>
    <t>Either Create a template with Turton or Scaling Law from Literature</t>
  </si>
  <si>
    <t>Available in Database</t>
  </si>
  <si>
    <t>Not Available</t>
  </si>
  <si>
    <t>Technology</t>
  </si>
  <si>
    <t>Features</t>
  </si>
  <si>
    <t>Available</t>
  </si>
  <si>
    <t>Estimate Type</t>
  </si>
  <si>
    <t>Oxidant Stream</t>
  </si>
  <si>
    <t>Air Separation Unit</t>
  </si>
  <si>
    <t>Cryogenic Distillation</t>
  </si>
  <si>
    <t>N2 Compressors</t>
  </si>
  <si>
    <t>HP ASU</t>
  </si>
  <si>
    <t>Oxygen Compressors</t>
  </si>
  <si>
    <t>O2 pump</t>
  </si>
  <si>
    <t>Ion Transport Membrane</t>
  </si>
  <si>
    <t>Pressure Swing Adsorption</t>
  </si>
  <si>
    <t>Gasification</t>
  </si>
  <si>
    <t>Syngas Coolers</t>
  </si>
  <si>
    <t xml:space="preserve">Shell </t>
  </si>
  <si>
    <t>Full Quench</t>
  </si>
  <si>
    <t>GE</t>
  </si>
  <si>
    <t>Scrubber</t>
  </si>
  <si>
    <t>E-gas</t>
  </si>
  <si>
    <t>Water Treating</t>
  </si>
  <si>
    <t>MHI</t>
  </si>
  <si>
    <t>Quench</t>
  </si>
  <si>
    <t>Winkler</t>
  </si>
  <si>
    <t>Radiant Syngas Cooler</t>
  </si>
  <si>
    <t>Siemens</t>
  </si>
  <si>
    <t>Ash Handling</t>
  </si>
  <si>
    <t>Coal Milling &amp; Drying</t>
  </si>
  <si>
    <t>Slurry Preparation</t>
  </si>
  <si>
    <t>Reformer</t>
  </si>
  <si>
    <t>Fired Tube Heater</t>
  </si>
  <si>
    <t>Authothermal</t>
  </si>
  <si>
    <t>Chemical Looping Reforming</t>
  </si>
  <si>
    <t>Gas Switching</t>
  </si>
  <si>
    <t>Thermal mass</t>
  </si>
  <si>
    <t>MA-ATR</t>
  </si>
  <si>
    <t>Industrial F-class</t>
  </si>
  <si>
    <t>Intercooler</t>
  </si>
  <si>
    <t>Industrial H-class</t>
  </si>
  <si>
    <t>Recuperator</t>
  </si>
  <si>
    <t>Aero-Derivative</t>
  </si>
  <si>
    <t>Flexible start-up</t>
  </si>
  <si>
    <t>Humid Air Turbine</t>
  </si>
  <si>
    <t>Rankine Cycle</t>
  </si>
  <si>
    <t>Boiler</t>
  </si>
  <si>
    <t>Supercritical</t>
  </si>
  <si>
    <t>Subcritical</t>
  </si>
  <si>
    <t>HSRGs</t>
  </si>
  <si>
    <t>1,2,3 press. Reheat</t>
  </si>
  <si>
    <t>Heat Rejection</t>
  </si>
  <si>
    <t>Cooling Water Tower</t>
  </si>
  <si>
    <t>Nuclear Reactor</t>
  </si>
  <si>
    <t>Nuclear specific</t>
  </si>
  <si>
    <t>Other</t>
  </si>
  <si>
    <t>sCO2 Recuperated</t>
  </si>
  <si>
    <t>Other Fluids (He)</t>
  </si>
  <si>
    <t>Wind Farm</t>
  </si>
  <si>
    <t>PV Field</t>
  </si>
  <si>
    <t>Solar Thermal</t>
  </si>
  <si>
    <t>Fresnel</t>
  </si>
  <si>
    <t>Parabollic Trough</t>
  </si>
  <si>
    <t>Fuel Cell</t>
  </si>
  <si>
    <t>Polymeric</t>
  </si>
  <si>
    <t>Molten Carbonate</t>
  </si>
  <si>
    <t>SOFC</t>
  </si>
  <si>
    <t>CO2 Compression</t>
  </si>
  <si>
    <t>Intercooled Compressor</t>
  </si>
  <si>
    <t>Drying</t>
  </si>
  <si>
    <t>Purification Unit</t>
  </si>
  <si>
    <t>Stages</t>
  </si>
  <si>
    <t>Supercritical Pump</t>
  </si>
  <si>
    <t>H2 Compression</t>
  </si>
  <si>
    <t>Storage Tanks</t>
  </si>
  <si>
    <t>Pressurized</t>
  </si>
  <si>
    <t xml:space="preserve">Vertical </t>
  </si>
  <si>
    <t>Ambient</t>
  </si>
  <si>
    <t>Cryogenic</t>
  </si>
  <si>
    <t>Sphere</t>
  </si>
  <si>
    <t>Regasification of LNG</t>
  </si>
  <si>
    <t>Water Gas Shift</t>
  </si>
  <si>
    <t>Intercooled Adiabatic</t>
  </si>
  <si>
    <t>Staurator</t>
  </si>
  <si>
    <t>Membrane Reactor</t>
  </si>
  <si>
    <t>Surface Membrane</t>
  </si>
  <si>
    <t>SEWGS</t>
  </si>
  <si>
    <t xml:space="preserve"> Purification</t>
  </si>
  <si>
    <t>Chemical Looping</t>
  </si>
  <si>
    <t>Combustion</t>
  </si>
  <si>
    <t>Oxygen Production</t>
  </si>
  <si>
    <t>IFB</t>
  </si>
  <si>
    <t>Chemical Synthesis</t>
  </si>
  <si>
    <t>Haber Bosch</t>
  </si>
  <si>
    <t>Syngas Purification</t>
  </si>
  <si>
    <t>Membrane Purge</t>
  </si>
  <si>
    <t xml:space="preserve">Methanol </t>
  </si>
  <si>
    <t>Pre-combustion Capture</t>
  </si>
  <si>
    <t>Selexol Plant</t>
  </si>
  <si>
    <t>Slective H2S/CO2</t>
  </si>
  <si>
    <t>CO2 only</t>
  </si>
  <si>
    <t>Post-combustion Capture</t>
  </si>
  <si>
    <t>MDEA Plant</t>
  </si>
  <si>
    <t>MEA Plant</t>
  </si>
  <si>
    <t xml:space="preserve">Adsorption </t>
  </si>
  <si>
    <t>SARC</t>
  </si>
  <si>
    <t>HGCU</t>
  </si>
  <si>
    <t>Fludized ZnO</t>
  </si>
  <si>
    <t>Scrubber &amp; Recycle</t>
  </si>
  <si>
    <t>N2 from ASU</t>
  </si>
  <si>
    <t>LTGCU</t>
  </si>
  <si>
    <t>Selexol</t>
  </si>
  <si>
    <t>LTHR</t>
  </si>
  <si>
    <t>Amine</t>
  </si>
  <si>
    <t>Saturator</t>
  </si>
  <si>
    <t>COS Hydrolizer</t>
  </si>
  <si>
    <t>Claus Unit</t>
  </si>
  <si>
    <t>Energy Storage</t>
  </si>
  <si>
    <t>Electrolyzers</t>
  </si>
  <si>
    <t>PEM</t>
  </si>
  <si>
    <t>SOEC</t>
  </si>
  <si>
    <t>O2 storage</t>
  </si>
  <si>
    <t>Liquefaction</t>
  </si>
  <si>
    <t>O2,N2, Air</t>
  </si>
  <si>
    <t>Claude</t>
  </si>
  <si>
    <t>Natural Gas</t>
  </si>
  <si>
    <t>C3MR</t>
  </si>
  <si>
    <t>H2</t>
  </si>
  <si>
    <t>Thermal Storage</t>
  </si>
  <si>
    <t>Molten Salts</t>
  </si>
  <si>
    <t>Thermal Mass</t>
  </si>
  <si>
    <t>Chemical Storage</t>
  </si>
  <si>
    <t>Metal Oxides</t>
  </si>
  <si>
    <t>Adsorption</t>
  </si>
  <si>
    <t>Synthesis Loops</t>
  </si>
  <si>
    <t>Construction</t>
  </si>
  <si>
    <t>Lifetime</t>
  </si>
  <si>
    <t xml:space="preserve">India </t>
  </si>
  <si>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</si>
  <si>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</si>
  <si>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</si>
  <si>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</si>
  <si>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</si>
  <si>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</si>
  <si>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</si>
  <si>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</si>
  <si>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</si>
  <si>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</si>
  <si>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</si>
  <si>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</si>
  <si>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</si>
  <si>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</si>
  <si>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</si>
  <si>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</si>
  <si>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</si>
  <si>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</si>
  <si>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</si>
  <si>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</si>
  <si>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</si>
  <si>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</si>
  <si>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Crystallizer Type</t>
  </si>
  <si>
    <t>Electric Drives</t>
  </si>
  <si>
    <t>Non-Electric Drives</t>
  </si>
  <si>
    <t>Dryer Type</t>
  </si>
  <si>
    <t>Rotary, Gas Fired</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</si>
  <si>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</si>
  <si>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</si>
  <si>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</si>
  <si>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Cyclone Scrubbers</t>
  </si>
  <si>
    <t xml:space="preserve">     ( Centrifugal, Gravity</t>
  </si>
  <si>
    <t xml:space="preserve">     Spray, Impingement, </t>
  </si>
  <si>
    <t xml:space="preserve">     and Wet Dynamic)</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</si>
  <si>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</si>
  <si>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</si>
  <si>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</si>
  <si>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</si>
  <si>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</si>
  <si>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</si>
  <si>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</si>
  <si>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</si>
  <si>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</si>
  <si>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Filter Type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</si>
  <si>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</si>
  <si>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</si>
  <si>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</si>
  <si>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</si>
  <si>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</si>
  <si>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Pyrolysis Furnace</t>
  </si>
  <si>
    <t>Non-reactive Heaters</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</si>
  <si>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</si>
  <si>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</si>
  <si>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</si>
  <si>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</si>
  <si>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</si>
  <si>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</si>
  <si>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Evaporator Types</t>
  </si>
  <si>
    <r>
      <t>A</t>
    </r>
    <r>
      <rPr>
        <vertAlign val="subscript"/>
        <sz val="10"/>
        <rFont val="Arial"/>
        <family val="2"/>
      </rPr>
      <t>min(m2)</t>
    </r>
  </si>
  <si>
    <r>
      <t>A</t>
    </r>
    <r>
      <rPr>
        <vertAlign val="subscript"/>
        <sz val="10"/>
        <rFont val="Arial"/>
        <family val="2"/>
      </rPr>
      <t>max(m2)</t>
    </r>
  </si>
  <si>
    <t>Exchager Type</t>
  </si>
  <si>
    <r>
      <t>B</t>
    </r>
    <r>
      <rPr>
        <vertAlign val="subscript"/>
        <sz val="10"/>
        <rFont val="Arial"/>
        <family val="2"/>
      </rPr>
      <t>1</t>
    </r>
  </si>
  <si>
    <r>
      <t>B</t>
    </r>
    <r>
      <rPr>
        <vertAlign val="subscript"/>
        <sz val="10"/>
        <rFont val="Arial"/>
        <family val="2"/>
      </rPr>
      <t>2</t>
    </r>
  </si>
  <si>
    <t>40 barg  &lt; P &lt; 100 barg</t>
  </si>
  <si>
    <t>P &lt; 40 barg</t>
  </si>
  <si>
    <t>tubes only &gt; 5 barg</t>
  </si>
  <si>
    <t>tubes only &gt; 5barg</t>
  </si>
  <si>
    <t>Spiral Tube - shell and tube</t>
  </si>
  <si>
    <r>
      <t>Materail Factors, F</t>
    </r>
    <r>
      <rPr>
        <vertAlign val="subscript"/>
        <sz val="10"/>
        <rFont val="Arial"/>
        <family val="2"/>
      </rPr>
      <t>M</t>
    </r>
  </si>
  <si>
    <t>Shell - CS</t>
  </si>
  <si>
    <t>Exchanger Type</t>
  </si>
  <si>
    <t>Tube - CS</t>
  </si>
  <si>
    <t>Shell Materail</t>
  </si>
  <si>
    <t>Teflon Tube Exchanger</t>
  </si>
  <si>
    <t>Material In Contact with Process Fluid</t>
  </si>
  <si>
    <t>Tube Material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</si>
  <si>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</si>
  <si>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</si>
  <si>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</si>
  <si>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</si>
  <si>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</si>
  <si>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</si>
  <si>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</si>
  <si>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</si>
  <si>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</si>
  <si>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</si>
  <si>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NA</t>
  </si>
  <si>
    <t>Reactor Type</t>
  </si>
  <si>
    <t>Screen Type</t>
  </si>
  <si>
    <t>Tank Type</t>
  </si>
  <si>
    <t xml:space="preserve">Turbine </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</si>
  <si>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</si>
  <si>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</si>
  <si>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</si>
  <si>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</si>
  <si>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Vaporizer Types</t>
  </si>
  <si>
    <r>
      <t>V</t>
    </r>
    <r>
      <rPr>
        <vertAlign val="subscript"/>
        <sz val="10"/>
        <rFont val="Arial"/>
        <family val="2"/>
      </rPr>
      <t>min(m3)</t>
    </r>
  </si>
  <si>
    <r>
      <t>V</t>
    </r>
    <r>
      <rPr>
        <vertAlign val="subscript"/>
        <sz val="10"/>
        <rFont val="Arial"/>
        <family val="2"/>
      </rPr>
      <t>max(m3)</t>
    </r>
  </si>
  <si>
    <r>
      <t>Bare Module Factors, F</t>
    </r>
    <r>
      <rPr>
        <vertAlign val="subscript"/>
        <sz val="10"/>
        <rFont val="Arial"/>
        <family val="2"/>
      </rPr>
      <t>BM</t>
    </r>
  </si>
  <si>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</si>
  <si>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</si>
  <si>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</si>
  <si>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</si>
  <si>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</si>
  <si>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</si>
  <si>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</si>
  <si>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</si>
  <si>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</si>
  <si>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</si>
  <si>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</si>
  <si>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</si>
  <si>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</si>
  <si>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</si>
  <si>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</si>
  <si>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</si>
  <si>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</si>
  <si>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</si>
  <si>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</si>
  <si>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</si>
  <si>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</si>
  <si>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</si>
  <si>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</si>
  <si>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</si>
  <si>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</si>
  <si>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</si>
  <si>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Reference/ Estimate Information</t>
  </si>
  <si>
    <t>Benchmark Parameters</t>
  </si>
  <si>
    <t>DOI/website</t>
  </si>
  <si>
    <t>$/MWh</t>
  </si>
  <si>
    <t>$/py</t>
  </si>
  <si>
    <t>$/ton</t>
  </si>
  <si>
    <t>$/kg</t>
  </si>
  <si>
    <t>$/GJ</t>
  </si>
  <si>
    <t>Wind</t>
  </si>
  <si>
    <t>M$</t>
  </si>
  <si>
    <t>Turbines</t>
  </si>
  <si>
    <t>$/y</t>
  </si>
  <si>
    <t>Item 9</t>
  </si>
  <si>
    <t>U-900</t>
  </si>
  <si>
    <t>Grid Percent</t>
  </si>
  <si>
    <t>Cogen</t>
  </si>
  <si>
    <t>$/MW-y</t>
  </si>
  <si>
    <t>Item 10</t>
  </si>
  <si>
    <t>Cogeneration</t>
  </si>
  <si>
    <t>U-1000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</si>
</sst>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0.0000"/>
    <numFmt numFmtId="165" formatCode="0.0"/>
    <numFmt numFmtId="166" formatCode="_(* #,##0_);_(* \(#,##0\);_(* &quot;-&quot;??_);_(@_)"/>
    <numFmt numFmtId="167" formatCode="0.000"/>
    <numFmt numFmtId="168" formatCode="0.00000"/>
    <numFmt numFmtId="169" formatCode="0.0E+00"/>
    <numFmt numFmtId="170" formatCode="0.0%"/>
    <numFmt numFmtId="171" formatCode="0.0000000"/>
  </numFmts>
  <fonts count="92" x14ac:knownFonts="1">
    <font>
      <sz val="11"/>
      <color theme="1"/>
      <name val="Calibri"/>
      <family val="2"/>
      <scheme val="minor"/>
    </font>
    <font>
      <sz val="12"/>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i/>
      <sz val="11"/>
      <name val="Calibri"/>
      <family val="2"/>
      <scheme val="minor"/>
    </font>
    <font>
      <b/>
      <sz val="14"/>
      <color rgb="FFFF0000"/>
      <name val="Calibri"/>
      <family val="2"/>
      <scheme val="minor"/>
    </font>
    <font>
      <sz val="11"/>
      <name val="Calibri"/>
      <family val="2"/>
    </font>
    <font>
      <sz val="9.35"/>
      <color theme="1"/>
      <name val="Calibri"/>
      <family val="2"/>
    </font>
    <font>
      <sz val="7.7"/>
      <color theme="1"/>
      <name val="Calibri"/>
      <family val="2"/>
    </font>
    <font>
      <sz val="6.05"/>
      <name val="Calibri"/>
      <family val="2"/>
    </font>
    <font>
      <sz val="10"/>
      <name val="Calibri"/>
      <family val="2"/>
    </font>
    <font>
      <b/>
      <sz val="10"/>
      <color theme="1"/>
      <name val="Calibri"/>
      <family val="2"/>
      <scheme val="minor"/>
    </font>
    <font>
      <sz val="10"/>
      <color theme="1"/>
      <name val="Calibri"/>
      <family val="2"/>
      <scheme val="minor"/>
    </font>
    <font>
      <b/>
      <sz val="11"/>
      <color theme="0"/>
      <name val="Calibri"/>
      <family val="2"/>
      <scheme val="minor"/>
    </font>
    <font>
      <sz val="12"/>
      <color theme="0"/>
      <name val="Calibri"/>
      <family val="2"/>
      <scheme val="minor"/>
    </font>
    <font>
      <b/>
      <sz val="20"/>
      <color rgb="FF000000"/>
      <name val="Calibri"/>
      <family val="2"/>
    </font>
    <font>
      <b/>
      <sz val="24"/>
      <color rgb="FF000000"/>
      <name val="Calibri"/>
      <family val="2"/>
    </font>
    <font>
      <b/>
      <sz val="16"/>
      <color rgb="FF000000"/>
      <name val="Calibri"/>
      <family val="2"/>
    </font>
    <font>
      <b/>
      <sz val="12"/>
      <color rgb="FF000000"/>
      <name val="Calibri"/>
      <family val="2"/>
    </font>
    <font>
      <b/>
      <sz val="14"/>
      <color rgb="FF000000"/>
      <name val="Calibri"/>
      <family val="2"/>
    </font>
    <font>
      <b/>
      <sz val="18"/>
      <color rgb="FF000000"/>
      <name val="Calibri"/>
      <family val="2"/>
    </font>
    <font>
      <b/>
      <sz val="26"/>
      <color rgb="FF000000"/>
      <name val="Calibri"/>
      <family val="2"/>
    </font>
    <font>
      <b/>
      <sz val="10"/>
      <color rgb="FF000000"/>
      <name val="Calibri"/>
      <family val="2"/>
    </font>
    <font>
      <b/>
      <sz val="9"/>
      <color rgb="FF000000"/>
      <name val="Tahoma"/>
      <family val="2"/>
    </font>
    <font>
      <sz val="9"/>
      <color rgb="FF000000"/>
      <name val="Tahoma"/>
      <family val="2"/>
    </font>
  </fonts>
  <fills count="22">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rgb="FFFF0000"/>
        <bgColor indexed="64"/>
      </patternFill>
    </fill>
    <fill>
      <patternFill patternType="solid">
        <fgColor rgb="FFFFFF00"/>
        <bgColor indexed="64"/>
      </patternFill>
    </fill>
  </fills>
  <borders count="3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s>
  <cellStyleXfs count="12">
    <xf numFmtId="0" fontId="0" fillId="0" borderId="0"/>
    <xf numFmtId="0" fontId="3" fillId="0" borderId="0"/>
    <xf numFmtId="43" fontId="3" fillId="0" borderId="0" applyFont="0" applyFill="0" applyBorder="0" applyAlignment="0" applyProtection="0"/>
    <xf numFmtId="0" fontId="17" fillId="9" borderId="0" applyNumberFormat="0" applyBorder="0" applyAlignment="0" applyProtection="0"/>
    <xf numFmtId="0" fontId="18" fillId="10" borderId="0" applyNumberFormat="0" applyBorder="0" applyAlignment="0" applyProtection="0"/>
    <xf numFmtId="0" fontId="19" fillId="11" borderId="18" applyNumberFormat="0" applyAlignment="0" applyProtection="0"/>
    <xf numFmtId="0" fontId="16" fillId="0" borderId="0"/>
    <xf numFmtId="0" fontId="18" fillId="10" borderId="0" applyNumberFormat="0" applyBorder="0" applyAlignment="0" applyProtection="0"/>
    <xf numFmtId="9" fontId="16" fillId="0" borderId="0" applyFont="0" applyFill="0" applyBorder="0" applyAlignment="0" applyProtection="0"/>
    <xf numFmtId="0" fontId="16" fillId="12" borderId="25" applyNumberFormat="0" applyFont="0" applyAlignment="0" applyProtection="0"/>
    <xf numFmtId="0" fontId="42" fillId="16" borderId="0" applyNumberFormat="0" applyBorder="0" applyAlignment="0" applyProtection="0"/>
    <xf numFmtId="0" fontId="65" fillId="0" borderId="0" applyNumberFormat="0" applyFill="0" applyBorder="0" applyAlignment="0" applyProtection="0"/>
  </cellStyleXfs>
  <cellXfs count="1125">
    <xf numFmtId="0" fontId="0" fillId="0" borderId="0" xfId="0"/>
    <xf numFmtId="0" fontId="3" fillId="2" borderId="0" xfId="1" applyFill="1"/>
    <xf numFmtId="0" fontId="4" fillId="2" borderId="0" xfId="1" applyFont="1" applyFill="1"/>
    <xf numFmtId="0" fontId="5" fillId="2" borderId="1" xfId="1" applyFont="1" applyFill="1" applyBorder="1" applyAlignment="1">
      <alignment horizontal="center"/>
    </xf>
    <xf numFmtId="0" fontId="3" fillId="2" borderId="2" xfId="1" applyFill="1" applyBorder="1" applyAlignment="1">
      <alignment horizontal="center"/>
    </xf>
    <xf numFmtId="2" fontId="3" fillId="2" borderId="3" xfId="1" applyNumberFormat="1" applyFill="1" applyBorder="1" applyAlignment="1">
      <alignment horizontal="center"/>
    </xf>
    <xf numFmtId="0" fontId="3" fillId="2" borderId="4" xfId="1" applyFill="1" applyBorder="1" applyAlignment="1">
      <alignment horizontal="center"/>
    </xf>
    <xf numFmtId="0" fontId="3" fillId="2" borderId="5" xfId="1" applyFill="1" applyBorder="1"/>
    <xf numFmtId="0" fontId="3" fillId="2" borderId="6" xfId="1" applyFill="1" applyBorder="1" applyAlignment="1">
      <alignment horizontal="center"/>
    </xf>
    <xf numFmtId="0" fontId="3" fillId="2" borderId="7" xfId="1" applyFill="1" applyBorder="1" applyAlignment="1">
      <alignment horizontal="center"/>
    </xf>
    <xf numFmtId="0" fontId="3" fillId="2" borderId="8" xfId="1" applyFill="1" applyBorder="1"/>
    <xf numFmtId="43" fontId="0" fillId="2" borderId="0" xfId="2" applyFont="1" applyFill="1"/>
    <xf numFmtId="0" fontId="3" fillId="2" borderId="9" xfId="1" applyFill="1" applyBorder="1"/>
    <xf numFmtId="0" fontId="3" fillId="2" borderId="0" xfId="1" applyFill="1" applyAlignment="1">
      <alignment horizontal="center"/>
    </xf>
    <xf numFmtId="164" fontId="3" fillId="2" borderId="0" xfId="1" applyNumberFormat="1" applyFill="1" applyAlignment="1">
      <alignment horizontal="center"/>
    </xf>
    <xf numFmtId="2" fontId="3" fillId="2" borderId="0" xfId="1" applyNumberFormat="1" applyFill="1" applyAlignment="1">
      <alignment horizontal="center"/>
    </xf>
    <xf numFmtId="0" fontId="3" fillId="2" borderId="10" xfId="1" applyFill="1" applyBorder="1" applyAlignment="1">
      <alignment horizontal="center"/>
    </xf>
    <xf numFmtId="0" fontId="3" fillId="2" borderId="11" xfId="1" applyFill="1" applyBorder="1"/>
    <xf numFmtId="0" fontId="3" fillId="2" borderId="12" xfId="1" applyFill="1" applyBorder="1" applyAlignment="1">
      <alignment horizontal="center"/>
    </xf>
    <xf numFmtId="164" fontId="3" fillId="2" borderId="12" xfId="1" applyNumberFormat="1" applyFill="1" applyBorder="1" applyAlignment="1">
      <alignment horizontal="center"/>
    </xf>
    <xf numFmtId="2" fontId="3" fillId="2" borderId="12" xfId="1" applyNumberFormat="1" applyFill="1" applyBorder="1" applyAlignment="1">
      <alignment horizontal="center"/>
    </xf>
    <xf numFmtId="0" fontId="3" fillId="2" borderId="13" xfId="1" applyFill="1" applyBorder="1" applyAlignment="1">
      <alignment horizontal="center"/>
    </xf>
    <xf numFmtId="0" fontId="3" fillId="2" borderId="14" xfId="1" applyFill="1" applyBorder="1"/>
    <xf numFmtId="0" fontId="5" fillId="2" borderId="5" xfId="1" applyFont="1" applyFill="1" applyBorder="1" applyAlignment="1">
      <alignment horizontal="center"/>
    </xf>
    <xf numFmtId="2" fontId="3" fillId="2" borderId="7" xfId="1" applyNumberFormat="1" applyFill="1" applyBorder="1" applyAlignment="1">
      <alignment horizontal="center"/>
    </xf>
    <xf numFmtId="164" fontId="3" fillId="2" borderId="6" xfId="1" applyNumberFormat="1" applyFill="1" applyBorder="1" applyAlignment="1">
      <alignment horizontal="center"/>
    </xf>
    <xf numFmtId="2" fontId="3" fillId="2" borderId="6" xfId="1" applyNumberFormat="1" applyFill="1" applyBorder="1" applyAlignment="1">
      <alignment horizontal="center"/>
    </xf>
    <xf numFmtId="0" fontId="3" fillId="2" borderId="15" xfId="1" applyFill="1" applyBorder="1"/>
    <xf numFmtId="2" fontId="3" fillId="2" borderId="10" xfId="1" applyNumberFormat="1" applyFill="1" applyBorder="1" applyAlignment="1">
      <alignment horizontal="center"/>
    </xf>
    <xf numFmtId="2" fontId="3" fillId="2" borderId="13" xfId="1" applyNumberFormat="1" applyFill="1" applyBorder="1" applyAlignment="1">
      <alignment horizontal="center"/>
    </xf>
    <xf numFmtId="165" fontId="3" fillId="2" borderId="6" xfId="1" applyNumberFormat="1" applyFill="1" applyBorder="1" applyAlignment="1">
      <alignment horizontal="center"/>
    </xf>
    <xf numFmtId="165" fontId="3" fillId="2" borderId="0" xfId="1" applyNumberFormat="1" applyFill="1" applyAlignment="1">
      <alignment horizontal="center"/>
    </xf>
    <xf numFmtId="165" fontId="3" fillId="2" borderId="12" xfId="1" applyNumberFormat="1" applyFill="1" applyBorder="1" applyAlignment="1">
      <alignment horizontal="center"/>
    </xf>
    <xf numFmtId="0" fontId="3" fillId="2" borderId="1" xfId="1" applyFill="1" applyBorder="1"/>
    <xf numFmtId="164" fontId="3" fillId="2" borderId="2" xfId="1" applyNumberFormat="1" applyFill="1" applyBorder="1" applyAlignment="1">
      <alignment horizontal="center"/>
    </xf>
    <xf numFmtId="2" fontId="3" fillId="2" borderId="2" xfId="1" applyNumberFormat="1" applyFill="1" applyBorder="1" applyAlignment="1">
      <alignment horizontal="center"/>
    </xf>
    <xf numFmtId="0" fontId="3" fillId="2" borderId="4" xfId="1" applyFill="1" applyBorder="1"/>
    <xf numFmtId="0" fontId="3" fillId="2" borderId="3" xfId="1" applyFill="1" applyBorder="1" applyAlignment="1">
      <alignment horizontal="center"/>
    </xf>
    <xf numFmtId="166" fontId="0" fillId="2" borderId="0" xfId="2" applyNumberFormat="1" applyFont="1" applyFill="1"/>
    <xf numFmtId="0" fontId="8" fillId="2" borderId="9" xfId="1" applyFont="1" applyFill="1" applyBorder="1"/>
    <xf numFmtId="167" fontId="3" fillId="2" borderId="6" xfId="1" applyNumberFormat="1" applyFill="1" applyBorder="1" applyAlignment="1">
      <alignment horizontal="center"/>
    </xf>
    <xf numFmtId="167" fontId="3" fillId="2" borderId="0" xfId="1" applyNumberFormat="1" applyFill="1" applyAlignment="1">
      <alignment horizontal="center"/>
    </xf>
    <xf numFmtId="167" fontId="3" fillId="2" borderId="12" xfId="1" applyNumberFormat="1" applyFill="1" applyBorder="1" applyAlignment="1">
      <alignment horizontal="center"/>
    </xf>
    <xf numFmtId="0" fontId="9" fillId="2" borderId="13" xfId="1" applyFont="1" applyFill="1" applyBorder="1" applyAlignment="1">
      <alignment horizontal="center"/>
    </xf>
    <xf numFmtId="166" fontId="0" fillId="2" borderId="0" xfId="2" applyNumberFormat="1" applyFont="1" applyFill="1" applyBorder="1" applyAlignment="1">
      <alignment horizontal="center"/>
    </xf>
    <xf numFmtId="2" fontId="3" fillId="2" borderId="8" xfId="1" applyNumberFormat="1" applyFill="1" applyBorder="1"/>
    <xf numFmtId="2" fontId="3" fillId="2" borderId="8" xfId="1" applyNumberFormat="1" applyFill="1" applyBorder="1" applyAlignment="1">
      <alignment horizontal="right"/>
    </xf>
    <xf numFmtId="2" fontId="3" fillId="2" borderId="14" xfId="1" applyNumberFormat="1" applyFill="1" applyBorder="1" applyAlignment="1">
      <alignment horizontal="right"/>
    </xf>
    <xf numFmtId="0" fontId="4" fillId="2" borderId="0" xfId="1" applyFont="1" applyFill="1" applyAlignment="1">
      <alignment horizontal="left"/>
    </xf>
    <xf numFmtId="0" fontId="3" fillId="2" borderId="6" xfId="1" applyFill="1" applyBorder="1"/>
    <xf numFmtId="0" fontId="5" fillId="2" borderId="6" xfId="1" applyFont="1" applyFill="1" applyBorder="1" applyAlignment="1">
      <alignment horizontal="left"/>
    </xf>
    <xf numFmtId="0" fontId="3" fillId="2" borderId="7" xfId="1" applyFill="1" applyBorder="1"/>
    <xf numFmtId="0" fontId="9" fillId="2" borderId="0" xfId="1" applyFont="1" applyFill="1"/>
    <xf numFmtId="0" fontId="5" fillId="2" borderId="11" xfId="1" applyFont="1" applyFill="1" applyBorder="1" applyAlignment="1">
      <alignment horizontal="center"/>
    </xf>
    <xf numFmtId="0" fontId="3" fillId="2" borderId="11" xfId="1" applyFill="1" applyBorder="1" applyAlignment="1">
      <alignment horizontal="left"/>
    </xf>
    <xf numFmtId="0" fontId="3" fillId="2" borderId="0" xfId="1" applyFill="1" applyAlignment="1">
      <alignment horizontal="left"/>
    </xf>
    <xf numFmtId="0" fontId="3" fillId="2" borderId="5" xfId="1" applyFill="1" applyBorder="1" applyAlignment="1">
      <alignment horizontal="left"/>
    </xf>
    <xf numFmtId="0" fontId="3" fillId="2" borderId="5" xfId="1" applyFill="1" applyBorder="1" applyAlignment="1">
      <alignment horizontal="center"/>
    </xf>
    <xf numFmtId="0" fontId="3" fillId="2" borderId="9" xfId="1" applyFill="1" applyBorder="1" applyAlignment="1">
      <alignment horizontal="center"/>
    </xf>
    <xf numFmtId="168" fontId="3" fillId="2" borderId="12" xfId="1" applyNumberFormat="1" applyFill="1" applyBorder="1" applyAlignment="1">
      <alignment horizontal="center"/>
    </xf>
    <xf numFmtId="11" fontId="3" fillId="2" borderId="13" xfId="1" applyNumberFormat="1" applyFill="1" applyBorder="1" applyAlignment="1">
      <alignment horizontal="center"/>
    </xf>
    <xf numFmtId="168" fontId="3" fillId="2" borderId="0" xfId="1" applyNumberFormat="1" applyFill="1" applyAlignment="1">
      <alignment horizontal="center"/>
    </xf>
    <xf numFmtId="11" fontId="3" fillId="2" borderId="0" xfId="1" applyNumberFormat="1" applyFill="1" applyAlignment="1">
      <alignment horizontal="center"/>
    </xf>
    <xf numFmtId="2" fontId="3" fillId="2" borderId="0" xfId="1" applyNumberFormat="1" applyFill="1"/>
    <xf numFmtId="0" fontId="3" fillId="2" borderId="9" xfId="1" applyFill="1" applyBorder="1" applyAlignment="1">
      <alignment horizontal="right"/>
    </xf>
    <xf numFmtId="0" fontId="9" fillId="2" borderId="9" xfId="1" applyFont="1" applyFill="1" applyBorder="1"/>
    <xf numFmtId="0" fontId="5" fillId="2" borderId="9" xfId="1" applyFont="1" applyFill="1" applyBorder="1" applyAlignment="1">
      <alignment horizontal="center"/>
    </xf>
    <xf numFmtId="0" fontId="3" fillId="2" borderId="6" xfId="1" applyFill="1" applyBorder="1" applyAlignment="1">
      <alignment horizontal="left"/>
    </xf>
    <xf numFmtId="165" fontId="3" fillId="2" borderId="8" xfId="1" applyNumberFormat="1" applyFill="1" applyBorder="1"/>
    <xf numFmtId="165" fontId="3" fillId="2" borderId="14" xfId="1" applyNumberFormat="1" applyFill="1" applyBorder="1"/>
    <xf numFmtId="165" fontId="3" fillId="2" borderId="10" xfId="1" applyNumberFormat="1" applyFill="1" applyBorder="1" applyAlignment="1">
      <alignment horizontal="center"/>
    </xf>
    <xf numFmtId="165" fontId="3" fillId="2" borderId="13" xfId="1" applyNumberFormat="1" applyFill="1" applyBorder="1" applyAlignment="1">
      <alignment horizontal="center"/>
    </xf>
    <xf numFmtId="0" fontId="5" fillId="2" borderId="6" xfId="1" applyFont="1" applyFill="1" applyBorder="1" applyAlignment="1">
      <alignment horizontal="center"/>
    </xf>
    <xf numFmtId="0" fontId="3" fillId="2" borderId="11" xfId="1" applyFill="1" applyBorder="1" applyAlignment="1">
      <alignment horizontal="center"/>
    </xf>
    <xf numFmtId="164" fontId="3" fillId="2" borderId="1" xfId="1" applyNumberFormat="1" applyFill="1" applyBorder="1" applyAlignment="1">
      <alignment horizontal="center"/>
    </xf>
    <xf numFmtId="165" fontId="3" fillId="2" borderId="2" xfId="1" applyNumberFormat="1" applyFill="1" applyBorder="1" applyAlignment="1">
      <alignment horizontal="center"/>
    </xf>
    <xf numFmtId="165" fontId="3" fillId="2" borderId="7" xfId="1" applyNumberFormat="1" applyFill="1" applyBorder="1"/>
    <xf numFmtId="165" fontId="3" fillId="2" borderId="10" xfId="1" applyNumberFormat="1" applyFill="1" applyBorder="1"/>
    <xf numFmtId="165" fontId="3" fillId="2" borderId="13" xfId="1" applyNumberFormat="1" applyFill="1" applyBorder="1"/>
    <xf numFmtId="0" fontId="3" fillId="2" borderId="12" xfId="1" applyFill="1" applyBorder="1"/>
    <xf numFmtId="0" fontId="5" fillId="2" borderId="0" xfId="1" applyFont="1" applyFill="1" applyAlignment="1">
      <alignment horizontal="center"/>
    </xf>
    <xf numFmtId="0" fontId="3" fillId="2" borderId="10" xfId="1" applyFill="1" applyBorder="1"/>
    <xf numFmtId="0" fontId="3"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2" fillId="0" borderId="4" xfId="0" applyFont="1" applyBorder="1" applyAlignment="1">
      <alignment horizontal="center" vertical="center"/>
    </xf>
    <xf numFmtId="0" fontId="12" fillId="3" borderId="4" xfId="0" applyFont="1" applyFill="1" applyBorder="1" applyAlignment="1">
      <alignment horizontal="center" vertical="center"/>
    </xf>
    <xf numFmtId="0" fontId="12" fillId="4" borderId="4" xfId="0" applyFont="1" applyFill="1" applyBorder="1" applyAlignment="1">
      <alignment horizontal="center" vertical="center"/>
    </xf>
    <xf numFmtId="0" fontId="12" fillId="5" borderId="4" xfId="0" applyFont="1" applyFill="1" applyBorder="1" applyAlignment="1">
      <alignment horizontal="center" vertical="center"/>
    </xf>
    <xf numFmtId="0" fontId="0" fillId="0" borderId="9" xfId="0" applyBorder="1"/>
    <xf numFmtId="0" fontId="0" fillId="0" borderId="8" xfId="0" applyBorder="1"/>
    <xf numFmtId="0" fontId="11" fillId="0" borderId="4" xfId="0" applyFont="1" applyBorder="1" applyAlignment="1">
      <alignment horizontal="center"/>
    </xf>
    <xf numFmtId="0" fontId="0" fillId="5" borderId="14" xfId="0" applyFill="1" applyBorder="1"/>
    <xf numFmtId="0" fontId="10" fillId="4" borderId="4" xfId="0" applyFont="1" applyFill="1" applyBorder="1"/>
    <xf numFmtId="0" fontId="0" fillId="0" borderId="0" xfId="0"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0" borderId="7" xfId="0" applyBorder="1"/>
    <xf numFmtId="0" fontId="0" fillId="0" borderId="0" xfId="0" applyAlignment="1">
      <alignment vertical="top" wrapText="1"/>
    </xf>
    <xf numFmtId="0" fontId="11" fillId="0" borderId="0" xfId="0" applyFont="1"/>
    <xf numFmtId="0" fontId="2" fillId="3" borderId="4" xfId="0" applyFont="1" applyFill="1" applyBorder="1" applyAlignment="1">
      <alignment horizontal="center" vertical="center"/>
    </xf>
    <xf numFmtId="0" fontId="2" fillId="3" borderId="3" xfId="0" applyFont="1" applyFill="1" applyBorder="1" applyAlignment="1">
      <alignment horizontal="center" vertical="center"/>
    </xf>
    <xf numFmtId="0" fontId="0" fillId="0" borderId="0" xfId="0" applyAlignment="1">
      <alignment horizontal="center"/>
    </xf>
    <xf numFmtId="0" fontId="12" fillId="0" borderId="2" xfId="0" applyFont="1" applyBorder="1" applyAlignment="1">
      <alignment horizontal="center" vertical="center"/>
    </xf>
    <xf numFmtId="0" fontId="12" fillId="0" borderId="4" xfId="0" applyFont="1" applyBorder="1" applyAlignment="1">
      <alignment horizontal="center" vertical="center"/>
    </xf>
    <xf numFmtId="0" fontId="12" fillId="0" borderId="3" xfId="0" applyFont="1" applyBorder="1" applyAlignment="1">
      <alignment horizontal="center" vertical="center"/>
    </xf>
    <xf numFmtId="0" fontId="12" fillId="0" borderId="1" xfId="0" applyFont="1" applyBorder="1" applyAlignment="1">
      <alignment horizontal="center" vertical="center"/>
    </xf>
    <xf numFmtId="0" fontId="13" fillId="0" borderId="15" xfId="0" applyFont="1" applyBorder="1" applyAlignment="1">
      <alignment horizontal="center" vertical="center"/>
    </xf>
    <xf numFmtId="0" fontId="13" fillId="0" borderId="7" xfId="0" applyFont="1" applyBorder="1" applyAlignment="1">
      <alignment horizontal="center" vertical="center"/>
    </xf>
    <xf numFmtId="0" fontId="13" fillId="0" borderId="8" xfId="0" applyFont="1" applyBorder="1" applyAlignment="1">
      <alignment horizontal="center" vertical="center"/>
    </xf>
    <xf numFmtId="0" fontId="13" fillId="0" borderId="10" xfId="0" applyFont="1" applyBorder="1" applyAlignment="1">
      <alignment horizontal="center" vertical="center"/>
    </xf>
    <xf numFmtId="0" fontId="13" fillId="0" borderId="14" xfId="0" applyFont="1" applyBorder="1" applyAlignment="1">
      <alignment horizontal="center" vertical="center"/>
    </xf>
    <xf numFmtId="0" fontId="13" fillId="0" borderId="5" xfId="0" applyFont="1" applyBorder="1" applyAlignment="1">
      <alignment horizontal="center" vertical="center"/>
    </xf>
    <xf numFmtId="0" fontId="13" fillId="0" borderId="9" xfId="0" applyFont="1" applyBorder="1" applyAlignment="1">
      <alignment horizontal="center" vertical="center"/>
    </xf>
    <xf numFmtId="0" fontId="13" fillId="0" borderId="11" xfId="0" applyFont="1" applyBorder="1" applyAlignment="1">
      <alignment horizontal="center" vertical="center"/>
    </xf>
    <xf numFmtId="0" fontId="13" fillId="0" borderId="0" xfId="0" applyFont="1" applyAlignment="1">
      <alignment horizontal="center" vertical="center"/>
    </xf>
    <xf numFmtId="0" fontId="13" fillId="0" borderId="8" xfId="0" applyFont="1" applyBorder="1"/>
    <xf numFmtId="0" fontId="13" fillId="0" borderId="13" xfId="0" applyFont="1" applyBorder="1" applyAlignment="1">
      <alignment horizontal="center" vertical="center"/>
    </xf>
    <xf numFmtId="0" fontId="2" fillId="0" borderId="0" xfId="0" applyFont="1" applyAlignment="1">
      <alignment horizontal="center"/>
    </xf>
    <xf numFmtId="0" fontId="2" fillId="2" borderId="5" xfId="0" applyFont="1" applyFill="1" applyBorder="1" applyAlignment="1">
      <alignment vertical="center"/>
    </xf>
    <xf numFmtId="0" fontId="2" fillId="2" borderId="9" xfId="0" applyFont="1" applyFill="1" applyBorder="1" applyAlignment="1">
      <alignment horizontal="center"/>
    </xf>
    <xf numFmtId="0" fontId="2" fillId="2" borderId="11" xfId="0" applyFont="1" applyFill="1" applyBorder="1" applyAlignment="1">
      <alignment horizontal="center"/>
    </xf>
    <xf numFmtId="0" fontId="2" fillId="2" borderId="10" xfId="0" applyFont="1" applyFill="1" applyBorder="1" applyAlignment="1">
      <alignment horizontal="center"/>
    </xf>
    <xf numFmtId="0" fontId="2" fillId="2" borderId="12" xfId="0" applyFont="1" applyFill="1" applyBorder="1" applyAlignment="1">
      <alignment horizontal="center"/>
    </xf>
    <xf numFmtId="0" fontId="2" fillId="2" borderId="13" xfId="0" applyFont="1" applyFill="1" applyBorder="1" applyAlignment="1">
      <alignment horizontal="center"/>
    </xf>
    <xf numFmtId="0" fontId="2" fillId="2" borderId="6" xfId="0" applyFont="1" applyFill="1" applyBorder="1" applyAlignment="1">
      <alignment vertical="center"/>
    </xf>
    <xf numFmtId="0" fontId="2" fillId="2" borderId="7" xfId="0" applyFont="1" applyFill="1" applyBorder="1" applyAlignment="1">
      <alignment vertical="center"/>
    </xf>
    <xf numFmtId="0" fontId="2" fillId="2" borderId="5" xfId="0" applyFont="1" applyFill="1" applyBorder="1" applyAlignment="1">
      <alignment horizontal="center"/>
    </xf>
    <xf numFmtId="0" fontId="2"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2"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2" fontId="0" fillId="0" borderId="0" xfId="0" applyNumberFormat="1" applyAlignment="1">
      <alignment horizontal="center" vertical="center"/>
    </xf>
    <xf numFmtId="1" fontId="0" fillId="0" borderId="0" xfId="0" applyNumberFormat="1" applyAlignment="1">
      <alignment horizontal="center" vertical="center"/>
    </xf>
    <xf numFmtId="2" fontId="0" fillId="0" borderId="8" xfId="0" applyNumberFormat="1" applyBorder="1" applyAlignment="1">
      <alignment horizontal="center" vertical="center"/>
    </xf>
    <xf numFmtId="167" fontId="0" fillId="0" borderId="0" xfId="0" applyNumberFormat="1" applyAlignment="1">
      <alignment horizontal="center" vertical="center"/>
    </xf>
    <xf numFmtId="1" fontId="0" fillId="0" borderId="9" xfId="0" applyNumberFormat="1" applyBorder="1" applyAlignment="1">
      <alignment horizontal="center" vertical="center"/>
    </xf>
    <xf numFmtId="0" fontId="22" fillId="2" borderId="0" xfId="0" applyFont="1" applyFill="1"/>
    <xf numFmtId="165" fontId="0" fillId="0" borderId="0" xfId="0" applyNumberFormat="1" applyAlignment="1">
      <alignment horizontal="center" vertical="center"/>
    </xf>
    <xf numFmtId="165" fontId="0" fillId="0" borderId="0" xfId="0" applyNumberFormat="1" applyAlignment="1">
      <alignment horizontal="center"/>
    </xf>
    <xf numFmtId="0" fontId="24" fillId="2" borderId="0" xfId="0" applyFont="1" applyFill="1"/>
    <xf numFmtId="0" fontId="25" fillId="2" borderId="0" xfId="1" applyFont="1" applyFill="1" applyAlignment="1">
      <alignment horizontal="center"/>
    </xf>
    <xf numFmtId="0" fontId="25" fillId="2" borderId="0" xfId="1" applyFont="1" applyFill="1"/>
    <xf numFmtId="164" fontId="25" fillId="2" borderId="0" xfId="1" applyNumberFormat="1" applyFont="1" applyFill="1" applyAlignment="1">
      <alignment horizontal="center"/>
    </xf>
    <xf numFmtId="165" fontId="25" fillId="2" borderId="0" xfId="1" applyNumberFormat="1" applyFont="1" applyFill="1" applyAlignment="1">
      <alignment horizontal="center"/>
    </xf>
    <xf numFmtId="165" fontId="25" fillId="2" borderId="0" xfId="1" applyNumberFormat="1" applyFont="1" applyFill="1"/>
    <xf numFmtId="0" fontId="0" fillId="2" borderId="15" xfId="0" applyFill="1" applyBorder="1" applyAlignment="1">
      <alignment horizontal="center" vertical="center"/>
    </xf>
    <xf numFmtId="0" fontId="2" fillId="2" borderId="4" xfId="0" applyFont="1" applyFill="1" applyBorder="1" applyAlignment="1">
      <alignment horizontal="center"/>
    </xf>
    <xf numFmtId="0" fontId="0" fillId="0" borderId="22" xfId="0" applyBorder="1" applyAlignment="1">
      <alignment horizontal="center" vertical="center" wrapText="1"/>
    </xf>
    <xf numFmtId="0" fontId="11"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2" fillId="0" borderId="19" xfId="0" applyFont="1" applyBorder="1" applyAlignment="1">
      <alignment horizontal="center" vertical="center"/>
    </xf>
    <xf numFmtId="0" fontId="0" fillId="0" borderId="14" xfId="0" applyBorder="1" applyAlignment="1">
      <alignment horizontal="center" vertical="center"/>
    </xf>
    <xf numFmtId="0" fontId="22" fillId="0" borderId="0" xfId="0" applyFont="1"/>
    <xf numFmtId="165" fontId="0" fillId="0" borderId="8" xfId="0" applyNumberFormat="1" applyBorder="1" applyAlignment="1">
      <alignment horizontal="center" vertical="center"/>
    </xf>
    <xf numFmtId="0" fontId="0" fillId="2" borderId="14" xfId="0" applyFill="1" applyBorder="1"/>
    <xf numFmtId="170" fontId="0" fillId="0" borderId="0" xfId="8" applyNumberFormat="1" applyFont="1" applyFill="1" applyBorder="1" applyAlignment="1">
      <alignment horizontal="center"/>
    </xf>
    <xf numFmtId="170" fontId="0" fillId="0" borderId="0" xfId="8" applyNumberFormat="1" applyFont="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1" fillId="2" borderId="0" xfId="0" applyFont="1" applyFill="1" applyAlignment="1">
      <alignment horizontal="center" vertical="center"/>
    </xf>
    <xf numFmtId="0" fontId="0" fillId="0" borderId="15" xfId="0" applyBorder="1" applyAlignment="1">
      <alignment horizontal="center" vertical="center"/>
    </xf>
    <xf numFmtId="0" fontId="12" fillId="2" borderId="0" xfId="0" applyFont="1" applyFill="1" applyAlignment="1">
      <alignment vertical="center"/>
    </xf>
    <xf numFmtId="0" fontId="30" fillId="4" borderId="4" xfId="0" applyFont="1" applyFill="1" applyBorder="1" applyAlignment="1">
      <alignment horizontal="center" vertical="center"/>
    </xf>
    <xf numFmtId="0" fontId="2" fillId="2" borderId="0" xfId="0" applyFont="1" applyFill="1"/>
    <xf numFmtId="0" fontId="12" fillId="0" borderId="0" xfId="0" applyFont="1" applyAlignment="1">
      <alignment vertical="center"/>
    </xf>
    <xf numFmtId="0" fontId="12" fillId="0" borderId="0" xfId="0" applyFont="1" applyAlignment="1">
      <alignment horizontal="center"/>
    </xf>
    <xf numFmtId="0" fontId="13" fillId="2" borderId="0" xfId="0" applyFont="1" applyFill="1" applyAlignment="1">
      <alignment horizontal="center"/>
    </xf>
    <xf numFmtId="0" fontId="13" fillId="2" borderId="0" xfId="0" applyFont="1" applyFill="1" applyAlignment="1">
      <alignment horizontal="center" vertical="center"/>
    </xf>
    <xf numFmtId="0" fontId="11" fillId="2" borderId="4" xfId="0" applyFont="1" applyFill="1" applyBorder="1" applyAlignment="1">
      <alignment horizontal="center" vertical="center" wrapText="1"/>
    </xf>
    <xf numFmtId="0" fontId="0" fillId="2" borderId="4" xfId="0" applyFill="1" applyBorder="1" applyAlignment="1">
      <alignment horizontal="center" vertical="center" wrapText="1"/>
    </xf>
    <xf numFmtId="0" fontId="2" fillId="0" borderId="9" xfId="0" applyFont="1" applyBorder="1" applyAlignment="1">
      <alignment horizontal="center" vertical="center"/>
    </xf>
    <xf numFmtId="2" fontId="0" fillId="0" borderId="10" xfId="0" applyNumberFormat="1" applyBorder="1" applyAlignment="1">
      <alignment horizontal="center" vertical="center"/>
    </xf>
    <xf numFmtId="0" fontId="2" fillId="0" borderId="5" xfId="0" applyFont="1" applyBorder="1" applyAlignment="1">
      <alignment horizontal="center" vertical="center"/>
    </xf>
    <xf numFmtId="165" fontId="0" fillId="0" borderId="6" xfId="0" applyNumberFormat="1" applyBorder="1" applyAlignment="1">
      <alignment horizontal="center" vertical="center"/>
    </xf>
    <xf numFmtId="0" fontId="0" fillId="0" borderId="0" xfId="0"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2" fillId="0" borderId="11" xfId="0" applyFont="1" applyBorder="1" applyAlignment="1">
      <alignment horizontal="center" vertical="center"/>
    </xf>
    <xf numFmtId="2" fontId="0" fillId="0" borderId="13" xfId="0" applyNumberFormat="1" applyBorder="1" applyAlignment="1">
      <alignment horizontal="center" vertical="center"/>
    </xf>
    <xf numFmtId="0" fontId="3" fillId="0" borderId="3" xfId="1" applyBorder="1" applyAlignment="1">
      <alignment horizontal="center"/>
    </xf>
    <xf numFmtId="0" fontId="3" fillId="0" borderId="10" xfId="1" applyBorder="1" applyAlignment="1">
      <alignment horizontal="center"/>
    </xf>
    <xf numFmtId="0" fontId="3" fillId="0" borderId="13" xfId="1" applyBorder="1" applyAlignment="1">
      <alignment horizontal="center"/>
    </xf>
    <xf numFmtId="171" fontId="3" fillId="2" borderId="6" xfId="1" applyNumberFormat="1" applyFill="1" applyBorder="1" applyAlignment="1">
      <alignment horizontal="center"/>
    </xf>
    <xf numFmtId="171" fontId="3" fillId="2" borderId="12" xfId="1" applyNumberFormat="1" applyFill="1" applyBorder="1" applyAlignment="1">
      <alignment horizontal="center"/>
    </xf>
    <xf numFmtId="0" fontId="23" fillId="0" borderId="0" xfId="1" applyFont="1"/>
    <xf numFmtId="49" fontId="0" fillId="0" borderId="0" xfId="0" applyNumberFormat="1" applyAlignment="1">
      <alignment horizontal="center" vertical="center"/>
    </xf>
    <xf numFmtId="49" fontId="0" fillId="0" borderId="0" xfId="0" applyNumberFormat="1"/>
    <xf numFmtId="0" fontId="0" fillId="2" borderId="0" xfId="0" applyFill="1" applyAlignment="1">
      <alignment vertical="center"/>
    </xf>
    <xf numFmtId="0" fontId="22" fillId="13" borderId="0" xfId="0" applyFont="1" applyFill="1"/>
    <xf numFmtId="0" fontId="23" fillId="13" borderId="0" xfId="1" applyFont="1" applyFill="1"/>
    <xf numFmtId="0" fontId="22" fillId="13" borderId="0" xfId="0" applyFont="1" applyFill="1" applyAlignment="1">
      <alignment horizontal="center" vertical="center"/>
    </xf>
    <xf numFmtId="1" fontId="0" fillId="0" borderId="0" xfId="0" applyNumberFormat="1" applyAlignment="1">
      <alignment horizontal="center"/>
    </xf>
    <xf numFmtId="0" fontId="31" fillId="2" borderId="0" xfId="0" applyFont="1" applyFill="1"/>
    <xf numFmtId="2" fontId="0" fillId="2" borderId="0" xfId="0" applyNumberFormat="1" applyFill="1" applyAlignment="1">
      <alignment horizontal="center" vertical="center"/>
    </xf>
    <xf numFmtId="0" fontId="29" fillId="2" borderId="0" xfId="0" applyFont="1" applyFill="1"/>
    <xf numFmtId="0" fontId="24" fillId="2" borderId="0" xfId="0" applyFont="1" applyFill="1" applyAlignment="1">
      <alignment horizontal="center"/>
    </xf>
    <xf numFmtId="0" fontId="24" fillId="0" borderId="0" xfId="0" applyFont="1"/>
    <xf numFmtId="2" fontId="2" fillId="2" borderId="0" xfId="9" applyNumberFormat="1" applyFont="1" applyFill="1" applyBorder="1" applyAlignment="1">
      <alignment horizontal="center" vertical="center"/>
    </xf>
    <xf numFmtId="0" fontId="33" fillId="2" borderId="0" xfId="0" applyFont="1" applyFill="1"/>
    <xf numFmtId="0" fontId="29" fillId="2" borderId="0" xfId="0" applyFont="1" applyFill="1" applyAlignment="1">
      <alignment horizontal="center" vertical="center"/>
    </xf>
    <xf numFmtId="0" fontId="2" fillId="15" borderId="12" xfId="0" applyFont="1" applyFill="1" applyBorder="1" applyAlignment="1">
      <alignment horizontal="center" vertical="center"/>
    </xf>
    <xf numFmtId="0" fontId="21" fillId="0" borderId="0" xfId="0" applyFont="1" applyAlignment="1">
      <alignment horizontal="center" vertical="center"/>
    </xf>
    <xf numFmtId="0" fontId="0" fillId="2" borderId="4" xfId="0" applyFill="1" applyBorder="1"/>
    <xf numFmtId="0" fontId="11" fillId="2" borderId="4" xfId="0" applyFont="1" applyFill="1" applyBorder="1" applyAlignment="1">
      <alignment horizontal="center" vertical="center"/>
    </xf>
    <xf numFmtId="0" fontId="35" fillId="2" borderId="4" xfId="0" applyFont="1" applyFill="1" applyBorder="1" applyAlignment="1">
      <alignment horizontal="center" vertical="center"/>
    </xf>
    <xf numFmtId="0" fontId="36" fillId="2" borderId="4" xfId="0" applyFont="1" applyFill="1" applyBorder="1" applyAlignment="1">
      <alignment horizontal="center" vertical="center"/>
    </xf>
    <xf numFmtId="0" fontId="12" fillId="5" borderId="7" xfId="0" applyFont="1" applyFill="1" applyBorder="1" applyAlignment="1">
      <alignment horizontal="center" vertical="center"/>
    </xf>
    <xf numFmtId="0" fontId="12" fillId="3" borderId="15" xfId="0" applyFont="1" applyFill="1" applyBorder="1" applyAlignment="1">
      <alignment horizontal="center" vertical="center"/>
    </xf>
    <xf numFmtId="0" fontId="12" fillId="5" borderId="5" xfId="0" applyFont="1" applyFill="1" applyBorder="1" applyAlignment="1">
      <alignment horizontal="center" vertical="center"/>
    </xf>
    <xf numFmtId="0" fontId="12" fillId="5" borderId="15" xfId="0" applyFont="1" applyFill="1" applyBorder="1" applyAlignment="1">
      <alignment horizontal="center" vertical="center"/>
    </xf>
    <xf numFmtId="165" fontId="0" fillId="0" borderId="10" xfId="0" applyNumberFormat="1" applyBorder="1" applyAlignment="1">
      <alignment horizontal="center" vertical="center"/>
    </xf>
    <xf numFmtId="165" fontId="0" fillId="0" borderId="9" xfId="0" applyNumberFormat="1" applyBorder="1" applyAlignment="1">
      <alignment horizontal="center" vertical="center"/>
    </xf>
    <xf numFmtId="1" fontId="0" fillId="0" borderId="9" xfId="0" applyNumberFormat="1" applyBorder="1"/>
    <xf numFmtId="1" fontId="0" fillId="0" borderId="0" xfId="0" applyNumberFormat="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2" fillId="0" borderId="21" xfId="0" applyFont="1" applyBorder="1" applyAlignment="1">
      <alignment horizontal="center" vertical="center" wrapText="1"/>
    </xf>
    <xf numFmtId="0" fontId="2" fillId="5" borderId="4" xfId="0" applyFont="1" applyFill="1" applyBorder="1" applyAlignment="1">
      <alignment horizontal="center" vertical="center"/>
    </xf>
    <xf numFmtId="165" fontId="0" fillId="0" borderId="7" xfId="0" applyNumberFormat="1" applyBorder="1" applyAlignment="1">
      <alignment horizontal="center" vertical="center"/>
    </xf>
    <xf numFmtId="0" fontId="0" fillId="0" borderId="6" xfId="0" applyBorder="1" applyAlignment="1">
      <alignment horizontal="center"/>
    </xf>
    <xf numFmtId="1" fontId="0" fillId="2" borderId="0" xfId="0" applyNumberFormat="1" applyFill="1"/>
    <xf numFmtId="0" fontId="21" fillId="2" borderId="0" xfId="0" applyFont="1" applyFill="1"/>
    <xf numFmtId="2" fontId="0" fillId="2" borderId="0" xfId="0" applyNumberFormat="1" applyFill="1"/>
    <xf numFmtId="168" fontId="0" fillId="2" borderId="0" xfId="0" applyNumberFormat="1" applyFill="1"/>
    <xf numFmtId="2" fontId="0" fillId="0" borderId="4" xfId="0" applyNumberFormat="1" applyBorder="1" applyAlignment="1">
      <alignment horizontal="center" vertical="center"/>
    </xf>
    <xf numFmtId="0" fontId="0" fillId="0" borderId="17" xfId="0" applyBorder="1" applyAlignment="1">
      <alignment horizontal="center" vertical="center" wrapText="1"/>
    </xf>
    <xf numFmtId="0" fontId="39" fillId="2" borderId="0" xfId="0" applyFont="1" applyFill="1" applyAlignment="1">
      <alignment vertical="center"/>
    </xf>
    <xf numFmtId="0" fontId="26" fillId="2" borderId="12" xfId="0" applyFont="1" applyFill="1" applyBorder="1" applyAlignment="1">
      <alignment vertical="center" wrapText="1"/>
    </xf>
    <xf numFmtId="0" fontId="39" fillId="2" borderId="0" xfId="0" applyFont="1" applyFill="1" applyAlignment="1">
      <alignment horizontal="center" vertical="center"/>
    </xf>
    <xf numFmtId="0" fontId="0" fillId="0" borderId="26" xfId="0" applyBorder="1" applyAlignment="1">
      <alignment horizontal="center" vertical="center" wrapText="1"/>
    </xf>
    <xf numFmtId="0" fontId="38" fillId="2" borderId="4" xfId="0" applyFont="1" applyFill="1" applyBorder="1" applyAlignment="1">
      <alignment horizontal="center" vertical="center"/>
    </xf>
    <xf numFmtId="0" fontId="2" fillId="2" borderId="7" xfId="0" applyFont="1" applyFill="1" applyBorder="1" applyAlignment="1">
      <alignment horizontal="center" vertical="center"/>
    </xf>
    <xf numFmtId="168" fontId="0" fillId="0" borderId="0" xfId="0" applyNumberFormat="1"/>
    <xf numFmtId="0" fontId="12" fillId="4" borderId="15" xfId="0" applyFont="1" applyFill="1" applyBorder="1" applyAlignment="1">
      <alignment horizontal="center" vertical="center"/>
    </xf>
    <xf numFmtId="0" fontId="2" fillId="14" borderId="5" xfId="0" applyFont="1" applyFill="1" applyBorder="1" applyAlignment="1">
      <alignment horizontal="center" vertical="center"/>
    </xf>
    <xf numFmtId="0" fontId="2" fillId="14" borderId="9" xfId="0" applyFont="1" applyFill="1" applyBorder="1" applyAlignment="1">
      <alignment horizontal="center" vertical="center"/>
    </xf>
    <xf numFmtId="0" fontId="2" fillId="14" borderId="11" xfId="0" applyFont="1" applyFill="1" applyBorder="1" applyAlignment="1">
      <alignment horizontal="center" vertical="center"/>
    </xf>
    <xf numFmtId="0" fontId="2"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2" borderId="5" xfId="0" applyFill="1" applyBorder="1" applyAlignment="1">
      <alignment horizontal="center"/>
    </xf>
    <xf numFmtId="0" fontId="18" fillId="10" borderId="9" xfId="4" applyBorder="1" applyAlignment="1">
      <alignment horizontal="center"/>
    </xf>
    <xf numFmtId="0" fontId="18" fillId="10" borderId="11" xfId="4" applyBorder="1" applyAlignment="1">
      <alignment horizontal="center"/>
    </xf>
    <xf numFmtId="0" fontId="0" fillId="0" borderId="6" xfId="0" applyBorder="1"/>
    <xf numFmtId="0" fontId="0" fillId="13" borderId="0" xfId="0" applyFill="1"/>
    <xf numFmtId="1" fontId="0" fillId="0" borderId="11" xfId="0" applyNumberFormat="1" applyBorder="1" applyAlignment="1">
      <alignment horizontal="center" vertical="center"/>
    </xf>
    <xf numFmtId="1" fontId="0" fillId="0" borderId="12" xfId="0" applyNumberFormat="1" applyBorder="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8" fillId="10" borderId="9" xfId="4" applyNumberFormat="1" applyBorder="1" applyAlignment="1">
      <alignment horizontal="center" vertical="center"/>
    </xf>
    <xf numFmtId="2" fontId="0" fillId="2" borderId="11" xfId="0" applyNumberFormat="1" applyFill="1" applyBorder="1" applyAlignment="1">
      <alignment horizontal="center"/>
    </xf>
    <xf numFmtId="9" fontId="43" fillId="16" borderId="4" xfId="10" applyNumberFormat="1" applyFont="1" applyBorder="1" applyAlignment="1">
      <alignment horizontal="center" vertical="center"/>
    </xf>
    <xf numFmtId="0" fontId="13" fillId="0" borderId="12" xfId="0" applyFont="1" applyBorder="1" applyAlignment="1">
      <alignment horizontal="center" vertical="center"/>
    </xf>
    <xf numFmtId="0" fontId="13" fillId="0" borderId="0" xfId="0" applyFont="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Alignment="1">
      <alignment horizontal="center" vertical="center"/>
    </xf>
    <xf numFmtId="0" fontId="24" fillId="2" borderId="6" xfId="0" applyFont="1" applyFill="1" applyBorder="1"/>
    <xf numFmtId="0" fontId="24" fillId="2" borderId="10" xfId="0" applyFont="1" applyFill="1" applyBorder="1"/>
    <xf numFmtId="0" fontId="24" fillId="2" borderId="13" xfId="0" applyFont="1" applyFill="1" applyBorder="1"/>
    <xf numFmtId="0" fontId="24" fillId="2" borderId="5" xfId="0" applyFont="1" applyFill="1" applyBorder="1"/>
    <xf numFmtId="0" fontId="24" fillId="2" borderId="7" xfId="0" applyFont="1" applyFill="1" applyBorder="1"/>
    <xf numFmtId="0" fontId="24" fillId="2" borderId="9" xfId="0" applyFont="1" applyFill="1" applyBorder="1"/>
    <xf numFmtId="165"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2"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2" fillId="2" borderId="1" xfId="0" applyFont="1" applyFill="1" applyBorder="1" applyAlignment="1">
      <alignment horizontal="center"/>
    </xf>
    <xf numFmtId="0" fontId="0" fillId="2" borderId="2" xfId="0" applyFill="1" applyBorder="1" applyAlignment="1">
      <alignment horizontal="center" vertical="center"/>
    </xf>
    <xf numFmtId="0" fontId="2" fillId="2" borderId="7" xfId="0" applyFont="1" applyFill="1" applyBorder="1" applyAlignment="1">
      <alignment horizontal="center"/>
    </xf>
    <xf numFmtId="0" fontId="0" fillId="2" borderId="4" xfId="0" applyFill="1" applyBorder="1" applyAlignment="1">
      <alignment horizontal="center" vertical="center"/>
    </xf>
    <xf numFmtId="0" fontId="0" fillId="2" borderId="11" xfId="0" applyFill="1" applyBorder="1" applyAlignment="1">
      <alignment horizontal="center"/>
    </xf>
    <xf numFmtId="0" fontId="2" fillId="2" borderId="4" xfId="0" applyFont="1" applyFill="1" applyBorder="1" applyAlignment="1">
      <alignment horizontal="center" vertical="center"/>
    </xf>
    <xf numFmtId="0" fontId="12" fillId="0" borderId="10" xfId="0" applyFont="1" applyBorder="1" applyAlignment="1">
      <alignment vertical="center"/>
    </xf>
    <xf numFmtId="0" fontId="24" fillId="2" borderId="0" xfId="0" applyFont="1" applyFill="1" applyAlignment="1">
      <alignment horizontal="center" vertical="center"/>
    </xf>
    <xf numFmtId="165" fontId="0" fillId="0" borderId="13" xfId="0" applyNumberFormat="1" applyBorder="1" applyAlignment="1">
      <alignment horizontal="center" vertical="center"/>
    </xf>
    <xf numFmtId="0" fontId="12" fillId="3" borderId="1" xfId="0" applyFont="1" applyFill="1" applyBorder="1" applyAlignment="1">
      <alignment horizontal="center" vertical="center"/>
    </xf>
    <xf numFmtId="0" fontId="12"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2" fillId="0" borderId="9" xfId="0" applyFont="1" applyBorder="1" applyAlignment="1">
      <alignment vertical="center"/>
    </xf>
    <xf numFmtId="0" fontId="0" fillId="0" borderId="13" xfId="0" applyBorder="1"/>
    <xf numFmtId="0" fontId="0" fillId="0" borderId="9" xfId="0" applyBorder="1" applyAlignment="1">
      <alignment vertical="center"/>
    </xf>
    <xf numFmtId="0" fontId="24" fillId="0" borderId="0" xfId="0" applyFont="1" applyAlignment="1">
      <alignment horizontal="center" vertical="center"/>
    </xf>
    <xf numFmtId="167" fontId="0" fillId="0" borderId="7" xfId="0" applyNumberFormat="1"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2" fillId="0" borderId="7" xfId="0" applyFont="1" applyBorder="1" applyAlignment="1">
      <alignment vertical="center"/>
    </xf>
    <xf numFmtId="0" fontId="12" fillId="0" borderId="11" xfId="0" applyFont="1" applyBorder="1" applyAlignment="1">
      <alignment vertical="center"/>
    </xf>
    <xf numFmtId="0" fontId="12" fillId="0" borderId="12" xfId="0" applyFont="1" applyBorder="1" applyAlignment="1">
      <alignment vertical="center"/>
    </xf>
    <xf numFmtId="0" fontId="12" fillId="0" borderId="13" xfId="0" applyFont="1" applyBorder="1" applyAlignment="1">
      <alignment vertical="center"/>
    </xf>
    <xf numFmtId="0" fontId="12" fillId="0" borderId="8" xfId="0" applyFont="1" applyBorder="1" applyAlignment="1">
      <alignment vertical="center"/>
    </xf>
    <xf numFmtId="0" fontId="0" fillId="0" borderId="5" xfId="0" applyBorder="1" applyAlignment="1">
      <alignment vertical="center"/>
    </xf>
    <xf numFmtId="0" fontId="13" fillId="2" borderId="0" xfId="0" applyFont="1" applyFill="1" applyAlignment="1">
      <alignment horizontal="center" vertical="center" wrapText="1"/>
    </xf>
    <xf numFmtId="0" fontId="0" fillId="0" borderId="0" xfId="0" applyAlignment="1">
      <alignment horizontal="center" vertical="center" wrapText="1"/>
    </xf>
    <xf numFmtId="0" fontId="11" fillId="0" borderId="0" xfId="0" applyFont="1" applyAlignment="1">
      <alignment vertical="center" wrapText="1"/>
    </xf>
    <xf numFmtId="0" fontId="0" fillId="0" borderId="0" xfId="0" quotePrefix="1" applyAlignment="1">
      <alignment horizontal="center" vertical="center"/>
    </xf>
    <xf numFmtId="167" fontId="0" fillId="0" borderId="10" xfId="0" applyNumberFormat="1" applyBorder="1" applyAlignment="1">
      <alignment horizontal="center" vertical="center"/>
    </xf>
    <xf numFmtId="0" fontId="13" fillId="0" borderId="0" xfId="0" applyFont="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7" fontId="0" fillId="0" borderId="13" xfId="0" applyNumberFormat="1" applyBorder="1" applyAlignment="1">
      <alignment horizontal="center" vertical="center"/>
    </xf>
    <xf numFmtId="0" fontId="38" fillId="2" borderId="14" xfId="0" applyFont="1" applyFill="1" applyBorder="1" applyAlignment="1">
      <alignment horizontal="center" vertical="center"/>
    </xf>
    <xf numFmtId="0" fontId="13" fillId="2" borderId="4" xfId="0" applyFont="1" applyFill="1" applyBorder="1" applyAlignment="1">
      <alignment horizontal="center" vertical="center" wrapText="1"/>
    </xf>
    <xf numFmtId="0" fontId="48" fillId="2" borderId="4" xfId="0" applyFont="1" applyFill="1" applyBorder="1" applyAlignment="1">
      <alignment horizontal="center" vertical="center" wrapText="1"/>
    </xf>
    <xf numFmtId="0" fontId="49" fillId="2" borderId="4"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7"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2" xfId="0" applyFont="1" applyBorder="1" applyAlignment="1">
      <alignment horizontal="center" vertical="center" wrapText="1"/>
    </xf>
    <xf numFmtId="0" fontId="13" fillId="0" borderId="13" xfId="0" applyFont="1" applyBorder="1" applyAlignment="1">
      <alignment horizontal="center" vertical="center" wrapText="1"/>
    </xf>
    <xf numFmtId="0" fontId="46" fillId="2" borderId="0" xfId="0" applyFont="1" applyFill="1"/>
    <xf numFmtId="0" fontId="47" fillId="2" borderId="4" xfId="0" applyFont="1" applyFill="1" applyBorder="1" applyAlignment="1">
      <alignment horizontal="center" vertical="center"/>
    </xf>
    <xf numFmtId="0" fontId="2" fillId="0" borderId="8" xfId="0" applyFont="1" applyBorder="1" applyAlignment="1">
      <alignment horizontal="center" vertical="center"/>
    </xf>
    <xf numFmtId="0" fontId="2" fillId="0" borderId="14" xfId="0" applyFont="1" applyBorder="1" applyAlignment="1">
      <alignment horizontal="center" vertical="center"/>
    </xf>
    <xf numFmtId="0" fontId="12" fillId="0" borderId="0" xfId="0" applyFont="1" applyAlignment="1">
      <alignment horizontal="center" vertical="center"/>
    </xf>
    <xf numFmtId="0" fontId="11" fillId="2" borderId="0" xfId="0" applyFont="1" applyFill="1" applyAlignment="1">
      <alignment vertical="center" wrapText="1"/>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6" fillId="2" borderId="0" xfId="0" applyFont="1" applyFill="1" applyAlignment="1">
      <alignment vertical="center" wrapText="1"/>
    </xf>
    <xf numFmtId="165" fontId="0" fillId="0" borderId="12" xfId="0" applyNumberFormat="1" applyBorder="1" applyAlignment="1">
      <alignment horizontal="center" vertical="center"/>
    </xf>
    <xf numFmtId="0" fontId="50" fillId="2" borderId="0" xfId="1" applyFont="1" applyFill="1"/>
    <xf numFmtId="0" fontId="31" fillId="0" borderId="0" xfId="0" applyFont="1"/>
    <xf numFmtId="164" fontId="50" fillId="2" borderId="0" xfId="1" applyNumberFormat="1" applyFont="1" applyFill="1" applyAlignment="1">
      <alignment horizontal="center"/>
    </xf>
    <xf numFmtId="2" fontId="50" fillId="2" borderId="0" xfId="1" applyNumberFormat="1" applyFont="1" applyFill="1" applyAlignment="1">
      <alignment horizontal="center"/>
    </xf>
    <xf numFmtId="0" fontId="19" fillId="2" borderId="0" xfId="5" applyFill="1" applyBorder="1" applyAlignment="1">
      <alignment horizontal="center" vertical="center"/>
    </xf>
    <xf numFmtId="0" fontId="50" fillId="2" borderId="0" xfId="1" applyFont="1" applyFill="1" applyAlignment="1">
      <alignment horizontal="center"/>
    </xf>
    <xf numFmtId="165" fontId="50" fillId="2" borderId="0" xfId="1" applyNumberFormat="1" applyFont="1" applyFill="1" applyAlignment="1">
      <alignment horizontal="center"/>
    </xf>
    <xf numFmtId="0" fontId="45" fillId="2" borderId="0" xfId="0" applyFont="1" applyFill="1" applyAlignment="1">
      <alignment horizontal="left" vertical="center"/>
    </xf>
    <xf numFmtId="0" fontId="11" fillId="2" borderId="0" xfId="0" applyFont="1" applyFill="1" applyAlignment="1">
      <alignment horizontal="left" vertical="center"/>
    </xf>
    <xf numFmtId="0" fontId="0" fillId="2" borderId="0" xfId="0" applyFill="1" applyAlignment="1">
      <alignment horizontal="left"/>
    </xf>
    <xf numFmtId="0" fontId="34" fillId="2" borderId="0" xfId="0" applyFont="1" applyFill="1" applyAlignment="1">
      <alignment vertical="top"/>
    </xf>
    <xf numFmtId="0" fontId="13" fillId="2" borderId="5" xfId="0" applyFont="1" applyFill="1" applyBorder="1" applyAlignment="1">
      <alignment horizontal="center" vertical="center" wrapText="1"/>
    </xf>
    <xf numFmtId="0" fontId="13" fillId="2" borderId="9" xfId="0" applyFont="1" applyFill="1" applyBorder="1" applyAlignment="1">
      <alignment horizontal="center" vertical="center" wrapText="1"/>
    </xf>
    <xf numFmtId="0" fontId="13" fillId="2" borderId="11" xfId="0" applyFont="1" applyFill="1" applyBorder="1" applyAlignment="1">
      <alignment horizontal="center" vertical="center" wrapText="1"/>
    </xf>
    <xf numFmtId="165" fontId="0" fillId="2" borderId="0" xfId="0" applyNumberFormat="1" applyFill="1" applyAlignment="1">
      <alignment horizontal="center" vertical="center"/>
    </xf>
    <xf numFmtId="165" fontId="28" fillId="2" borderId="0" xfId="0" applyNumberFormat="1" applyFont="1" applyFill="1" applyAlignment="1">
      <alignment horizontal="center" vertical="center" wrapText="1"/>
    </xf>
    <xf numFmtId="0" fontId="2" fillId="0" borderId="0" xfId="0" applyFont="1"/>
    <xf numFmtId="0" fontId="0" fillId="2" borderId="0" xfId="0" applyFill="1" applyAlignment="1">
      <alignment horizontal="center"/>
    </xf>
    <xf numFmtId="0" fontId="16" fillId="0" borderId="0" xfId="6" applyAlignment="1">
      <alignment horizontal="center"/>
    </xf>
    <xf numFmtId="165" fontId="37" fillId="0" borderId="0" xfId="0" applyNumberFormat="1" applyFont="1" applyAlignment="1">
      <alignment horizontal="center" vertical="center"/>
    </xf>
    <xf numFmtId="165" fontId="24" fillId="2" borderId="0" xfId="0" applyNumberFormat="1" applyFont="1" applyFill="1" applyAlignment="1">
      <alignment horizontal="center" vertical="center"/>
    </xf>
    <xf numFmtId="0" fontId="24" fillId="2" borderId="15" xfId="0" applyFont="1" applyFill="1" applyBorder="1"/>
    <xf numFmtId="0" fontId="24" fillId="2" borderId="14" xfId="0" applyFont="1" applyFill="1" applyBorder="1"/>
    <xf numFmtId="0" fontId="0" fillId="0" borderId="0" xfId="0" applyAlignment="1">
      <alignment vertical="center" wrapText="1"/>
    </xf>
    <xf numFmtId="0" fontId="0" fillId="2" borderId="0" xfId="0" applyFill="1" applyAlignment="1">
      <alignment horizontal="center" vertical="center"/>
    </xf>
    <xf numFmtId="0" fontId="12" fillId="2" borderId="5" xfId="0" applyFont="1" applyFill="1" applyBorder="1" applyAlignment="1">
      <alignment horizontal="center" vertical="center"/>
    </xf>
    <xf numFmtId="2" fontId="2" fillId="0" borderId="4" xfId="9" applyNumberFormat="1" applyFont="1" applyFill="1" applyBorder="1" applyAlignment="1">
      <alignment horizontal="center" vertical="center"/>
    </xf>
    <xf numFmtId="2" fontId="2"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10"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1" fillId="6" borderId="4" xfId="0" applyFont="1" applyFill="1" applyBorder="1" applyAlignment="1">
      <alignment horizontal="center" vertical="center"/>
    </xf>
    <xf numFmtId="9" fontId="24" fillId="2" borderId="0" xfId="0" applyNumberFormat="1" applyFont="1" applyFill="1" applyAlignment="1">
      <alignment horizontal="center" vertical="center"/>
    </xf>
    <xf numFmtId="9" fontId="24" fillId="2" borderId="0" xfId="8" applyFont="1" applyFill="1" applyBorder="1" applyAlignment="1">
      <alignment horizontal="center" vertical="center"/>
    </xf>
    <xf numFmtId="0" fontId="2" fillId="0" borderId="27" xfId="0" applyFont="1" applyBorder="1" applyAlignment="1">
      <alignment horizontal="center" vertical="center"/>
    </xf>
    <xf numFmtId="0" fontId="0" fillId="0" borderId="28" xfId="0" applyBorder="1" applyAlignment="1">
      <alignment horizontal="center" vertical="center" wrapText="1"/>
    </xf>
    <xf numFmtId="165" fontId="54" fillId="2" borderId="0" xfId="0" applyNumberFormat="1" applyFont="1" applyFill="1" applyAlignment="1">
      <alignment horizontal="center" vertical="center"/>
    </xf>
    <xf numFmtId="0" fontId="13" fillId="0" borderId="4" xfId="0" applyFont="1" applyBorder="1" applyAlignment="1">
      <alignment horizontal="center" vertical="center"/>
    </xf>
    <xf numFmtId="0" fontId="11" fillId="7" borderId="4" xfId="0" applyFont="1" applyFill="1" applyBorder="1" applyAlignment="1">
      <alignment horizontal="center" vertical="center"/>
    </xf>
    <xf numFmtId="0" fontId="51" fillId="7" borderId="4" xfId="0" applyFont="1" applyFill="1" applyBorder="1" applyAlignment="1">
      <alignment horizontal="center" vertical="center"/>
    </xf>
    <xf numFmtId="165" fontId="51" fillId="7" borderId="4" xfId="0" applyNumberFormat="1" applyFont="1" applyFill="1" applyBorder="1" applyAlignment="1">
      <alignment horizontal="center" vertical="center"/>
    </xf>
    <xf numFmtId="167" fontId="24" fillId="0" borderId="3" xfId="0" applyNumberFormat="1" applyFont="1" applyBorder="1" applyAlignment="1">
      <alignment horizontal="center" vertical="center"/>
    </xf>
    <xf numFmtId="0" fontId="21" fillId="0" borderId="4" xfId="0" applyFont="1" applyBorder="1" applyAlignment="1">
      <alignment horizontal="center" vertical="center"/>
    </xf>
    <xf numFmtId="0" fontId="11" fillId="3" borderId="15" xfId="0" applyFont="1" applyFill="1" applyBorder="1" applyAlignment="1">
      <alignment horizontal="center" vertical="center"/>
    </xf>
    <xf numFmtId="0" fontId="11" fillId="3" borderId="1" xfId="0" applyFont="1" applyFill="1" applyBorder="1" applyAlignment="1">
      <alignment horizontal="center" vertical="center"/>
    </xf>
    <xf numFmtId="0" fontId="11" fillId="3" borderId="14" xfId="0" applyFont="1" applyFill="1" applyBorder="1" applyAlignment="1">
      <alignment horizontal="center" vertical="center"/>
    </xf>
    <xf numFmtId="0" fontId="11" fillId="5" borderId="14" xfId="0" applyFont="1" applyFill="1" applyBorder="1" applyAlignment="1">
      <alignment horizontal="center" vertical="center"/>
    </xf>
    <xf numFmtId="0" fontId="11" fillId="5" borderId="15" xfId="0" applyFont="1" applyFill="1" applyBorder="1" applyAlignment="1">
      <alignment horizontal="center" vertical="center"/>
    </xf>
    <xf numFmtId="0" fontId="11" fillId="5" borderId="4" xfId="0" applyFont="1" applyFill="1" applyBorder="1" applyAlignment="1">
      <alignment horizontal="center" vertical="center"/>
    </xf>
    <xf numFmtId="0" fontId="11" fillId="3" borderId="11" xfId="0" applyFont="1" applyFill="1" applyBorder="1" applyAlignment="1">
      <alignment horizontal="center" vertical="center"/>
    </xf>
    <xf numFmtId="0" fontId="11" fillId="5" borderId="7" xfId="0" applyFont="1" applyFill="1" applyBorder="1" applyAlignment="1">
      <alignment horizontal="center" vertical="center"/>
    </xf>
    <xf numFmtId="0" fontId="11" fillId="5" borderId="5" xfId="0" applyFont="1" applyFill="1" applyBorder="1" applyAlignment="1">
      <alignment horizontal="center" vertical="center"/>
    </xf>
    <xf numFmtId="0" fontId="11" fillId="3" borderId="4" xfId="0" applyFont="1" applyFill="1" applyBorder="1" applyAlignment="1">
      <alignment horizontal="center" vertical="center"/>
    </xf>
    <xf numFmtId="0" fontId="11" fillId="6" borderId="12" xfId="0" applyFont="1" applyFill="1" applyBorder="1" applyAlignment="1">
      <alignment horizontal="center" vertical="center"/>
    </xf>
    <xf numFmtId="0" fontId="11" fillId="5" borderId="3" xfId="0" applyFont="1" applyFill="1" applyBorder="1" applyAlignment="1">
      <alignment horizontal="center" vertical="center"/>
    </xf>
    <xf numFmtId="165" fontId="13" fillId="0" borderId="4" xfId="0" applyNumberFormat="1" applyFont="1" applyBorder="1" applyAlignment="1">
      <alignment horizontal="center" vertical="center"/>
    </xf>
    <xf numFmtId="2" fontId="13" fillId="0" borderId="4" xfId="0" applyNumberFormat="1" applyFont="1" applyBorder="1" applyAlignment="1">
      <alignment horizontal="center" vertical="center"/>
    </xf>
    <xf numFmtId="0" fontId="11" fillId="4" borderId="4" xfId="0" applyFont="1" applyFill="1" applyBorder="1" applyAlignment="1">
      <alignment horizontal="center" vertical="center"/>
    </xf>
    <xf numFmtId="0" fontId="55" fillId="5" borderId="4" xfId="0" applyFont="1" applyFill="1" applyBorder="1" applyAlignment="1">
      <alignment horizontal="center" vertical="center" wrapText="1"/>
    </xf>
    <xf numFmtId="0" fontId="12" fillId="6" borderId="15" xfId="0" applyFont="1" applyFill="1" applyBorder="1" applyAlignment="1">
      <alignment horizontal="center" vertical="center"/>
    </xf>
    <xf numFmtId="0" fontId="12" fillId="6" borderId="4" xfId="0" applyFont="1" applyFill="1" applyBorder="1" applyAlignment="1">
      <alignment horizontal="center" vertical="center"/>
    </xf>
    <xf numFmtId="0" fontId="24" fillId="0" borderId="6" xfId="6" applyFont="1" applyBorder="1" applyAlignment="1">
      <alignment horizontal="center" vertical="center"/>
    </xf>
    <xf numFmtId="0" fontId="24" fillId="0" borderId="9" xfId="6" applyFont="1" applyBorder="1" applyAlignment="1">
      <alignment horizontal="center" vertical="center"/>
    </xf>
    <xf numFmtId="0" fontId="24" fillId="0" borderId="0" xfId="6" applyFont="1" applyAlignment="1">
      <alignment horizontal="center" vertical="center"/>
    </xf>
    <xf numFmtId="0" fontId="24" fillId="0" borderId="10" xfId="6" applyFont="1" applyBorder="1" applyAlignment="1">
      <alignment horizontal="center" vertical="center"/>
    </xf>
    <xf numFmtId="0" fontId="24" fillId="0" borderId="11" xfId="6" applyFont="1" applyBorder="1" applyAlignment="1">
      <alignment horizontal="center" vertical="center"/>
    </xf>
    <xf numFmtId="0" fontId="24" fillId="0" borderId="12" xfId="6" applyFont="1" applyBorder="1" applyAlignment="1">
      <alignment horizontal="center" vertical="center"/>
    </xf>
    <xf numFmtId="0" fontId="24" fillId="0" borderId="13" xfId="6" applyFont="1" applyBorder="1" applyAlignment="1">
      <alignment horizontal="center" vertical="center"/>
    </xf>
    <xf numFmtId="0" fontId="11" fillId="7" borderId="4" xfId="6" applyFont="1" applyFill="1" applyBorder="1" applyAlignment="1">
      <alignment horizontal="center" vertical="center"/>
    </xf>
    <xf numFmtId="0" fontId="56" fillId="0" borderId="15" xfId="0" applyFont="1" applyBorder="1" applyAlignment="1">
      <alignment horizontal="center" vertical="center" wrapText="1"/>
    </xf>
    <xf numFmtId="0" fontId="12" fillId="2" borderId="15" xfId="0" applyFont="1" applyFill="1" applyBorder="1" applyAlignment="1">
      <alignment horizontal="center" vertical="center"/>
    </xf>
    <xf numFmtId="0" fontId="57" fillId="0" borderId="7" xfId="0" applyFont="1" applyBorder="1" applyAlignment="1">
      <alignment horizontal="center" vertical="center"/>
    </xf>
    <xf numFmtId="0" fontId="12" fillId="2" borderId="4" xfId="0" applyFont="1" applyFill="1" applyBorder="1" applyAlignment="1">
      <alignment horizontal="center" vertical="center"/>
    </xf>
    <xf numFmtId="0" fontId="57" fillId="0" borderId="3" xfId="0" applyFont="1" applyBorder="1" applyAlignment="1">
      <alignment horizontal="center" vertical="center"/>
    </xf>
    <xf numFmtId="0" fontId="58" fillId="2" borderId="4" xfId="0" applyFont="1" applyFill="1" applyBorder="1" applyAlignment="1">
      <alignment horizontal="center" vertical="center"/>
    </xf>
    <xf numFmtId="165" fontId="57" fillId="0" borderId="4" xfId="0" applyNumberFormat="1" applyFont="1" applyBorder="1" applyAlignment="1">
      <alignment horizontal="center" vertical="center"/>
    </xf>
    <xf numFmtId="0" fontId="55" fillId="3" borderId="4" xfId="0" applyFont="1" applyFill="1" applyBorder="1" applyAlignment="1">
      <alignment horizontal="center" vertical="center" wrapText="1"/>
    </xf>
    <xf numFmtId="0" fontId="60" fillId="6" borderId="4" xfId="0" applyFont="1" applyFill="1" applyBorder="1" applyAlignment="1">
      <alignment horizontal="center" vertical="center"/>
    </xf>
    <xf numFmtId="0" fontId="60" fillId="3" borderId="4" xfId="0" applyFont="1" applyFill="1" applyBorder="1" applyAlignment="1">
      <alignment horizontal="center" vertical="center"/>
    </xf>
    <xf numFmtId="0" fontId="61" fillId="5" borderId="4" xfId="0" applyFont="1" applyFill="1" applyBorder="1" applyAlignment="1">
      <alignment horizontal="center" vertical="center"/>
    </xf>
    <xf numFmtId="0" fontId="60" fillId="6" borderId="13" xfId="0" applyFont="1" applyFill="1" applyBorder="1" applyAlignment="1">
      <alignment horizontal="center" vertical="center"/>
    </xf>
    <xf numFmtId="0" fontId="60" fillId="3" borderId="14" xfId="0" applyFont="1" applyFill="1" applyBorder="1" applyAlignment="1">
      <alignment horizontal="center" vertical="center"/>
    </xf>
    <xf numFmtId="0" fontId="60" fillId="6" borderId="14" xfId="0" applyFont="1" applyFill="1" applyBorder="1" applyAlignment="1">
      <alignment horizontal="center" vertical="center"/>
    </xf>
    <xf numFmtId="0" fontId="61" fillId="5" borderId="11" xfId="0" applyFont="1" applyFill="1" applyBorder="1" applyAlignment="1">
      <alignment horizontal="center" vertical="center"/>
    </xf>
    <xf numFmtId="0" fontId="2" fillId="3" borderId="5" xfId="0" applyFont="1" applyFill="1" applyBorder="1" applyAlignment="1">
      <alignment horizontal="center" vertical="center"/>
    </xf>
    <xf numFmtId="0" fontId="44" fillId="0" borderId="4" xfId="0" applyFont="1" applyBorder="1" applyAlignment="1">
      <alignment horizontal="center" vertical="center"/>
    </xf>
    <xf numFmtId="0" fontId="24" fillId="0" borderId="4" xfId="0" applyFont="1" applyBorder="1" applyAlignment="1">
      <alignment horizontal="center" vertical="center"/>
    </xf>
    <xf numFmtId="0" fontId="32" fillId="0" borderId="13" xfId="0" applyFont="1" applyBorder="1" applyAlignment="1">
      <alignment horizontal="center" vertical="center"/>
    </xf>
    <xf numFmtId="0" fontId="11" fillId="6" borderId="3" xfId="0" applyFont="1" applyFill="1" applyBorder="1" applyAlignment="1">
      <alignment horizontal="center" vertical="center"/>
    </xf>
    <xf numFmtId="0" fontId="11" fillId="19" borderId="4" xfId="0" applyFont="1" applyFill="1" applyBorder="1" applyAlignment="1">
      <alignment horizontal="center" vertical="center"/>
    </xf>
    <xf numFmtId="0" fontId="13" fillId="0" borderId="4" xfId="0" applyFont="1" applyBorder="1" applyAlignment="1">
      <alignment horizontal="center" vertical="center" wrapText="1"/>
    </xf>
    <xf numFmtId="9" fontId="0" fillId="0" borderId="4" xfId="0" applyNumberFormat="1" applyBorder="1" applyAlignment="1">
      <alignment horizontal="center" vertical="center"/>
    </xf>
    <xf numFmtId="1" fontId="0" fillId="0" borderId="4" xfId="0" applyNumberFormat="1" applyBorder="1" applyAlignment="1">
      <alignment horizontal="center" vertical="center"/>
    </xf>
    <xf numFmtId="9" fontId="0" fillId="0" borderId="4" xfId="8" applyFont="1" applyFill="1" applyBorder="1" applyAlignment="1">
      <alignment horizontal="center" vertical="center"/>
    </xf>
    <xf numFmtId="0" fontId="0" fillId="0" borderId="4" xfId="0" applyBorder="1"/>
    <xf numFmtId="0" fontId="0" fillId="0" borderId="15" xfId="0" applyBorder="1"/>
    <xf numFmtId="0" fontId="0" fillId="0" borderId="5" xfId="0" applyBorder="1"/>
    <xf numFmtId="0" fontId="0" fillId="0" borderId="4" xfId="0" applyBorder="1" applyAlignment="1">
      <alignment horizontal="center" vertical="center" wrapText="1"/>
    </xf>
    <xf numFmtId="0" fontId="2" fillId="0" borderId="5" xfId="0" applyFont="1" applyBorder="1" applyAlignment="1">
      <alignment vertical="center"/>
    </xf>
    <xf numFmtId="0" fontId="2" fillId="0" borderId="9" xfId="0" applyFont="1" applyBorder="1" applyAlignment="1">
      <alignment vertical="center"/>
    </xf>
    <xf numFmtId="0" fontId="24" fillId="2" borderId="9" xfId="0" applyFont="1" applyFill="1" applyBorder="1" applyAlignment="1">
      <alignment horizontal="center" vertical="center"/>
    </xf>
    <xf numFmtId="0" fontId="24" fillId="2" borderId="11" xfId="0" applyFont="1" applyFill="1" applyBorder="1" applyAlignment="1">
      <alignment horizontal="center" vertical="center"/>
    </xf>
    <xf numFmtId="0" fontId="24" fillId="2" borderId="12" xfId="0" applyFont="1" applyFill="1" applyBorder="1" applyAlignment="1">
      <alignment horizontal="center" vertical="center"/>
    </xf>
    <xf numFmtId="0" fontId="13" fillId="0" borderId="3" xfId="0" applyFont="1" applyBorder="1" applyAlignment="1">
      <alignment horizontal="center" vertical="center"/>
    </xf>
    <xf numFmtId="0" fontId="16" fillId="0" borderId="8" xfId="6" applyBorder="1" applyAlignment="1">
      <alignment horizontal="center" vertical="center"/>
    </xf>
    <xf numFmtId="0" fontId="0" fillId="0" borderId="8" xfId="6" applyFont="1" applyBorder="1" applyAlignment="1">
      <alignment horizontal="center" vertical="center"/>
    </xf>
    <xf numFmtId="0" fontId="16" fillId="0" borderId="14" xfId="6" applyBorder="1" applyAlignment="1">
      <alignment horizontal="center" vertical="center"/>
    </xf>
    <xf numFmtId="0" fontId="16" fillId="0" borderId="4" xfId="6" applyBorder="1" applyAlignment="1">
      <alignment horizontal="center" vertical="center"/>
    </xf>
    <xf numFmtId="0" fontId="24" fillId="0" borderId="2" xfId="6" applyFont="1" applyBorder="1" applyAlignment="1">
      <alignment horizontal="center" vertical="center"/>
    </xf>
    <xf numFmtId="0" fontId="37" fillId="0" borderId="6" xfId="6" applyFont="1" applyBorder="1" applyAlignment="1">
      <alignment horizontal="center" vertical="center"/>
    </xf>
    <xf numFmtId="0" fontId="11" fillId="0" borderId="1" xfId="6" applyFont="1" applyBorder="1" applyAlignment="1">
      <alignment horizontal="center" vertical="center"/>
    </xf>
    <xf numFmtId="0" fontId="11" fillId="0" borderId="2" xfId="6" applyFont="1" applyBorder="1" applyAlignment="1">
      <alignment horizontal="center" vertical="center"/>
    </xf>
    <xf numFmtId="0" fontId="11" fillId="0" borderId="3" xfId="6" applyFont="1" applyBorder="1" applyAlignment="1">
      <alignment horizontal="center" vertical="center"/>
    </xf>
    <xf numFmtId="2" fontId="24" fillId="0" borderId="0" xfId="6" applyNumberFormat="1" applyFont="1" applyAlignment="1">
      <alignment horizontal="center" vertical="center"/>
    </xf>
    <xf numFmtId="2" fontId="24" fillId="0" borderId="9" xfId="6" applyNumberFormat="1" applyFont="1" applyBorder="1" applyAlignment="1">
      <alignment horizontal="center" vertical="center"/>
    </xf>
    <xf numFmtId="2" fontId="24" fillId="0" borderId="10" xfId="6" applyNumberFormat="1" applyFont="1" applyBorder="1" applyAlignment="1">
      <alignment horizontal="center" vertical="center"/>
    </xf>
    <xf numFmtId="0" fontId="0" fillId="0" borderId="9" xfId="0" applyBorder="1" applyAlignment="1">
      <alignment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12" xfId="0" applyBorder="1" applyAlignment="1">
      <alignment vertical="center" wrapText="1"/>
    </xf>
    <xf numFmtId="0" fontId="0" fillId="0" borderId="13" xfId="0" applyBorder="1" applyAlignment="1">
      <alignment vertical="center" wrapText="1"/>
    </xf>
    <xf numFmtId="0" fontId="0" fillId="0" borderId="4" xfId="0" applyBorder="1" applyAlignment="1">
      <alignment horizontal="center"/>
    </xf>
    <xf numFmtId="0" fontId="14" fillId="0" borderId="14" xfId="0" applyFont="1" applyBorder="1" applyAlignment="1">
      <alignment horizontal="center" vertical="center"/>
    </xf>
    <xf numFmtId="0" fontId="2" fillId="3" borderId="15" xfId="0" applyFont="1" applyFill="1" applyBorder="1" applyAlignment="1">
      <alignment horizontal="center" vertical="center"/>
    </xf>
    <xf numFmtId="0" fontId="0" fillId="0" borderId="10" xfId="0" applyBorder="1" applyAlignment="1">
      <alignment horizontal="center" vertical="center" wrapText="1"/>
    </xf>
    <xf numFmtId="0" fontId="11" fillId="3" borderId="5" xfId="0" applyFont="1" applyFill="1" applyBorder="1" applyAlignment="1">
      <alignment horizontal="center" vertical="center"/>
    </xf>
    <xf numFmtId="0" fontId="0" fillId="0" borderId="8" xfId="0" applyBorder="1" applyAlignment="1">
      <alignment horizontal="center" vertical="center" wrapText="1"/>
    </xf>
    <xf numFmtId="0" fontId="11" fillId="3" borderId="4" xfId="0" applyFont="1" applyFill="1" applyBorder="1" applyAlignment="1">
      <alignment horizontal="center" vertical="center" wrapText="1"/>
    </xf>
    <xf numFmtId="0" fontId="11" fillId="6" borderId="4" xfId="0" applyFont="1" applyFill="1" applyBorder="1" applyAlignment="1">
      <alignment horizontal="center" vertical="center" wrapText="1"/>
    </xf>
    <xf numFmtId="0" fontId="11" fillId="6" borderId="3" xfId="0" applyFont="1" applyFill="1" applyBorder="1" applyAlignment="1">
      <alignment horizontal="center" vertical="center" wrapText="1"/>
    </xf>
    <xf numFmtId="0" fontId="13"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1" fillId="0" borderId="9" xfId="0" applyFont="1" applyBorder="1" applyAlignment="1">
      <alignment vertical="center"/>
    </xf>
    <xf numFmtId="0" fontId="11" fillId="0" borderId="10" xfId="0" applyFont="1" applyBorder="1" applyAlignment="1">
      <alignment vertical="center"/>
    </xf>
    <xf numFmtId="0" fontId="11" fillId="0" borderId="11" xfId="0" applyFont="1" applyBorder="1" applyAlignment="1">
      <alignment vertical="center"/>
    </xf>
    <xf numFmtId="0" fontId="11" fillId="0" borderId="13" xfId="0" applyFont="1" applyBorder="1" applyAlignment="1">
      <alignment vertical="center"/>
    </xf>
    <xf numFmtId="0" fontId="66" fillId="0" borderId="4" xfId="11" applyFont="1" applyBorder="1" applyAlignment="1">
      <alignment horizontal="center" vertical="center"/>
    </xf>
    <xf numFmtId="0" fontId="62" fillId="0" borderId="10" xfId="0" applyFont="1" applyBorder="1" applyAlignment="1">
      <alignment horizontal="center" vertical="center"/>
    </xf>
    <xf numFmtId="0" fontId="14" fillId="0" borderId="0" xfId="0" applyFont="1"/>
    <xf numFmtId="0" fontId="12" fillId="0" borderId="0" xfId="0" applyFont="1"/>
    <xf numFmtId="0" fontId="67" fillId="0" borderId="0" xfId="0" applyFont="1"/>
    <xf numFmtId="0" fontId="69" fillId="2" borderId="4" xfId="0" applyFont="1" applyFill="1" applyBorder="1" applyAlignment="1">
      <alignment horizontal="center" vertical="center"/>
    </xf>
    <xf numFmtId="0" fontId="11" fillId="0" borderId="15" xfId="6" applyFont="1" applyBorder="1" applyAlignment="1">
      <alignment horizontal="center" vertical="center"/>
    </xf>
    <xf numFmtId="0" fontId="11" fillId="0" borderId="14" xfId="6" applyFont="1" applyBorder="1" applyAlignment="1">
      <alignment horizontal="center" vertical="center"/>
    </xf>
    <xf numFmtId="0" fontId="52" fillId="5" borderId="4" xfId="0" applyFont="1" applyFill="1" applyBorder="1" applyAlignment="1">
      <alignment horizontal="center" vertical="center"/>
    </xf>
    <xf numFmtId="2" fontId="24" fillId="0" borderId="11" xfId="6" applyNumberFormat="1" applyFont="1" applyBorder="1" applyAlignment="1">
      <alignment horizontal="center" vertical="center"/>
    </xf>
    <xf numFmtId="2" fontId="24" fillId="0" borderId="12" xfId="6" applyNumberFormat="1" applyFont="1" applyBorder="1" applyAlignment="1">
      <alignment horizontal="center" vertical="center"/>
    </xf>
    <xf numFmtId="2" fontId="24" fillId="0" borderId="13" xfId="6" applyNumberFormat="1" applyFont="1" applyBorder="1" applyAlignment="1">
      <alignment horizontal="center" vertical="center"/>
    </xf>
    <xf numFmtId="9" fontId="24" fillId="0" borderId="5" xfId="6" applyNumberFormat="1" applyFont="1" applyBorder="1" applyAlignment="1">
      <alignment horizontal="center" vertical="center"/>
    </xf>
    <xf numFmtId="9" fontId="24" fillId="0" borderId="6" xfId="6" applyNumberFormat="1" applyFont="1" applyBorder="1" applyAlignment="1">
      <alignment horizontal="center" vertical="center"/>
    </xf>
    <xf numFmtId="9" fontId="24" fillId="0" borderId="7" xfId="6" applyNumberFormat="1" applyFont="1" applyBorder="1" applyAlignment="1">
      <alignment horizontal="center" vertical="center"/>
    </xf>
    <xf numFmtId="0" fontId="22" fillId="2" borderId="5" xfId="0" applyFont="1" applyFill="1" applyBorder="1" applyAlignment="1">
      <alignment horizontal="center"/>
    </xf>
    <xf numFmtId="0" fontId="22" fillId="2" borderId="7" xfId="0" applyFont="1" applyFill="1" applyBorder="1" applyAlignment="1">
      <alignment horizontal="center"/>
    </xf>
    <xf numFmtId="0" fontId="22" fillId="2" borderId="11" xfId="0" applyFont="1" applyFill="1" applyBorder="1" applyAlignment="1">
      <alignment horizontal="center"/>
    </xf>
    <xf numFmtId="0" fontId="22" fillId="2" borderId="13" xfId="0" applyFont="1" applyFill="1" applyBorder="1" applyAlignment="1">
      <alignment horizontal="center"/>
    </xf>
    <xf numFmtId="0" fontId="0" fillId="2" borderId="7" xfId="0" applyFill="1" applyBorder="1" applyAlignment="1">
      <alignment horizontal="center"/>
    </xf>
    <xf numFmtId="0" fontId="0" fillId="2" borderId="13" xfId="0" applyFill="1" applyBorder="1" applyAlignment="1">
      <alignment horizontal="center"/>
    </xf>
    <xf numFmtId="0" fontId="11" fillId="0" borderId="15" xfId="0" applyFont="1" applyBorder="1" applyAlignment="1">
      <alignment horizontal="center" vertical="center"/>
    </xf>
    <xf numFmtId="0" fontId="21" fillId="0" borderId="14" xfId="0" applyFont="1" applyBorder="1" applyAlignment="1">
      <alignment horizontal="center" vertical="center"/>
    </xf>
    <xf numFmtId="169" fontId="44"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2" fontId="44" fillId="0" borderId="14" xfId="3" applyNumberFormat="1" applyFont="1" applyFill="1" applyBorder="1" applyAlignment="1">
      <alignment horizontal="center" vertical="center"/>
    </xf>
    <xf numFmtId="0" fontId="11" fillId="5" borderId="1" xfId="0" applyFont="1" applyFill="1" applyBorder="1" applyAlignment="1">
      <alignment horizontal="center" vertical="center"/>
    </xf>
    <xf numFmtId="165" fontId="24" fillId="0" borderId="4" xfId="0" applyNumberFormat="1" applyFont="1" applyBorder="1" applyAlignment="1">
      <alignment horizontal="center" vertical="center"/>
    </xf>
    <xf numFmtId="2" fontId="24" fillId="0" borderId="4" xfId="0" applyNumberFormat="1" applyFont="1" applyBorder="1" applyAlignment="1">
      <alignment horizontal="center" vertical="center"/>
    </xf>
    <xf numFmtId="0" fontId="0" fillId="0" borderId="15" xfId="0" applyBorder="1" applyAlignment="1">
      <alignment vertical="center"/>
    </xf>
    <xf numFmtId="0" fontId="0" fillId="0" borderId="8" xfId="0" applyBorder="1" applyAlignment="1">
      <alignment vertical="center"/>
    </xf>
    <xf numFmtId="0" fontId="0" fillId="0" borderId="14" xfId="0" applyBorder="1" applyAlignment="1">
      <alignment vertical="center"/>
    </xf>
    <xf numFmtId="0" fontId="0" fillId="0" borderId="14" xfId="0" applyBorder="1"/>
    <xf numFmtId="0" fontId="0" fillId="2" borderId="10" xfId="0" applyFill="1" applyBorder="1" applyAlignment="1">
      <alignment horizontal="center" vertical="center"/>
    </xf>
    <xf numFmtId="0" fontId="2" fillId="2" borderId="0" xfId="0" applyFont="1" applyFill="1" applyAlignment="1">
      <alignment horizontal="center"/>
    </xf>
    <xf numFmtId="0" fontId="0" fillId="2" borderId="29" xfId="0" applyFill="1" applyBorder="1" applyAlignment="1">
      <alignment horizontal="center" vertical="center"/>
    </xf>
    <xf numFmtId="0" fontId="11" fillId="0" borderId="0" xfId="0" applyFont="1" applyAlignment="1">
      <alignment vertical="center"/>
    </xf>
    <xf numFmtId="0" fontId="11" fillId="2" borderId="12" xfId="0" applyFont="1" applyFill="1" applyBorder="1" applyAlignment="1">
      <alignment vertical="center" wrapText="1"/>
    </xf>
    <xf numFmtId="0" fontId="24" fillId="3" borderId="12" xfId="0" applyFont="1" applyFill="1" applyBorder="1" applyAlignment="1">
      <alignment horizontal="center" vertical="center"/>
    </xf>
    <xf numFmtId="0" fontId="24" fillId="3" borderId="11" xfId="0" applyFont="1" applyFill="1" applyBorder="1" applyAlignment="1">
      <alignment horizontal="center" vertical="center"/>
    </xf>
    <xf numFmtId="0" fontId="70" fillId="3" borderId="12" xfId="0" applyFont="1" applyFill="1" applyBorder="1" applyAlignment="1">
      <alignment horizontal="center" vertical="center"/>
    </xf>
    <xf numFmtId="0" fontId="0" fillId="2" borderId="30" xfId="0"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62" fillId="0" borderId="0" xfId="0" applyFont="1" applyAlignment="1">
      <alignment horizontal="center" vertical="center"/>
    </xf>
    <xf numFmtId="0" fontId="63" fillId="0" borderId="0" xfId="0" applyFont="1" applyAlignment="1">
      <alignment vertical="center"/>
    </xf>
    <xf numFmtId="0" fontId="14" fillId="0" borderId="0" xfId="0" applyFont="1" applyAlignment="1">
      <alignment horizontal="center" vertical="center"/>
    </xf>
    <xf numFmtId="0" fontId="64" fillId="0" borderId="0" xfId="0" applyFont="1" applyAlignment="1">
      <alignment vertical="center"/>
    </xf>
    <xf numFmtId="0" fontId="67" fillId="0" borderId="0" xfId="0" applyFont="1" applyAlignment="1">
      <alignment vertical="center"/>
    </xf>
    <xf numFmtId="0" fontId="67" fillId="0" borderId="0" xfId="0" applyFont="1" applyAlignment="1">
      <alignment horizontal="center" vertical="center"/>
    </xf>
    <xf numFmtId="0" fontId="14" fillId="0" borderId="0" xfId="0" applyFont="1" applyAlignment="1">
      <alignment vertical="center"/>
    </xf>
    <xf numFmtId="0" fontId="14" fillId="0" borderId="0" xfId="0" applyFont="1" applyAlignment="1">
      <alignment horizontal="center"/>
    </xf>
    <xf numFmtId="0" fontId="13" fillId="0" borderId="0" xfId="0" applyFont="1" applyAlignment="1">
      <alignment vertical="center"/>
    </xf>
    <xf numFmtId="0" fontId="13" fillId="0" borderId="0" xfId="0" applyFont="1" applyAlignment="1">
      <alignment horizontal="left" vertical="center"/>
    </xf>
    <xf numFmtId="0" fontId="11" fillId="5" borderId="11" xfId="0" applyFont="1" applyFill="1" applyBorder="1" applyAlignment="1">
      <alignment horizontal="center" vertical="center"/>
    </xf>
    <xf numFmtId="0" fontId="11" fillId="5" borderId="13" xfId="0" applyFont="1" applyFill="1" applyBorder="1" applyAlignment="1">
      <alignment horizontal="center" vertical="center"/>
    </xf>
    <xf numFmtId="0" fontId="11" fillId="4" borderId="15" xfId="0" applyFont="1" applyFill="1" applyBorder="1" applyAlignment="1">
      <alignment horizontal="center" vertical="center"/>
    </xf>
    <xf numFmtId="0" fontId="11" fillId="4" borderId="14" xfId="0" applyFont="1" applyFill="1" applyBorder="1" applyAlignment="1">
      <alignment horizontal="center" vertical="center"/>
    </xf>
    <xf numFmtId="0" fontId="12" fillId="0" borderId="10" xfId="0" applyFont="1" applyBorder="1" applyAlignment="1">
      <alignment horizontal="center" vertical="center"/>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12" fillId="0" borderId="13" xfId="0" applyFont="1" applyBorder="1" applyAlignment="1">
      <alignment horizontal="center" vertical="center"/>
    </xf>
    <xf numFmtId="0" fontId="12"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3" fillId="0" borderId="5" xfId="0" applyFont="1" applyBorder="1" applyAlignment="1">
      <alignment vertical="center"/>
    </xf>
    <xf numFmtId="0" fontId="13" fillId="0" borderId="6" xfId="0" applyFont="1" applyBorder="1" applyAlignment="1">
      <alignment vertical="center"/>
    </xf>
    <xf numFmtId="0" fontId="11" fillId="0" borderId="6" xfId="0" applyFont="1" applyBorder="1" applyAlignment="1">
      <alignment vertical="center"/>
    </xf>
    <xf numFmtId="0" fontId="22" fillId="2" borderId="10" xfId="0" applyFont="1" applyFill="1" applyBorder="1"/>
    <xf numFmtId="165" fontId="0" fillId="0" borderId="0" xfId="0" applyNumberFormat="1"/>
    <xf numFmtId="0" fontId="11" fillId="3" borderId="8" xfId="0" applyFont="1" applyFill="1" applyBorder="1" applyAlignment="1">
      <alignment horizontal="center" vertical="center"/>
    </xf>
    <xf numFmtId="167" fontId="0" fillId="0" borderId="15" xfId="0" applyNumberFormat="1" applyBorder="1" applyAlignment="1">
      <alignment horizontal="center" vertical="center"/>
    </xf>
    <xf numFmtId="167" fontId="0" fillId="0" borderId="8" xfId="0" applyNumberFormat="1" applyBorder="1" applyAlignment="1">
      <alignment horizontal="center" vertical="center"/>
    </xf>
    <xf numFmtId="167" fontId="0" fillId="0" borderId="14" xfId="0" applyNumberFormat="1" applyBorder="1" applyAlignment="1">
      <alignment horizontal="center" vertical="center"/>
    </xf>
    <xf numFmtId="0" fontId="51" fillId="3" borderId="1" xfId="0" applyFont="1" applyFill="1" applyBorder="1" applyAlignment="1">
      <alignment horizontal="center" vertical="center"/>
    </xf>
    <xf numFmtId="0" fontId="51" fillId="5" borderId="1" xfId="0" applyFont="1" applyFill="1" applyBorder="1" applyAlignment="1">
      <alignment horizontal="center" vertical="center"/>
    </xf>
    <xf numFmtId="0" fontId="51"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9" fillId="2" borderId="0" xfId="0" applyFont="1" applyFill="1" applyAlignment="1">
      <alignment vertical="center"/>
    </xf>
    <xf numFmtId="0" fontId="14" fillId="0" borderId="0" xfId="0" applyFont="1" applyAlignment="1">
      <alignment wrapText="1"/>
    </xf>
    <xf numFmtId="0" fontId="12" fillId="0" borderId="0" xfId="0" applyFont="1" applyAlignment="1">
      <alignment vertical="center" wrapText="1"/>
    </xf>
    <xf numFmtId="0" fontId="11" fillId="0" borderId="9" xfId="0" applyFont="1" applyBorder="1" applyAlignment="1">
      <alignment vertical="center" wrapText="1"/>
    </xf>
    <xf numFmtId="0" fontId="13" fillId="0" borderId="0" xfId="0" applyFont="1" applyAlignment="1">
      <alignment wrapText="1"/>
    </xf>
    <xf numFmtId="0" fontId="11" fillId="0" borderId="12" xfId="0" applyFont="1" applyBorder="1" applyAlignment="1">
      <alignment vertical="center" wrapText="1"/>
    </xf>
    <xf numFmtId="0" fontId="38" fillId="2" borderId="4" xfId="0" applyFont="1" applyFill="1" applyBorder="1" applyAlignment="1">
      <alignment horizontal="center" vertical="center" wrapText="1"/>
    </xf>
    <xf numFmtId="0" fontId="38" fillId="2" borderId="4" xfId="0" applyFont="1" applyFill="1" applyBorder="1" applyAlignment="1">
      <alignment vertical="center" wrapText="1"/>
    </xf>
    <xf numFmtId="0" fontId="20" fillId="2" borderId="0" xfId="0" applyFont="1" applyFill="1" applyAlignment="1">
      <alignment horizontal="center" vertical="center"/>
    </xf>
    <xf numFmtId="2" fontId="22" fillId="2" borderId="10" xfId="0" applyNumberFormat="1" applyFont="1" applyFill="1" applyBorder="1"/>
    <xf numFmtId="0" fontId="0" fillId="2" borderId="0" xfId="8" applyNumberFormat="1" applyFont="1" applyFill="1" applyBorder="1" applyAlignment="1">
      <alignment horizontal="center" vertical="center"/>
    </xf>
    <xf numFmtId="0" fontId="0" fillId="0" borderId="5" xfId="0" applyBorder="1" applyAlignment="1">
      <alignment horizontal="center" vertical="center" wrapText="1"/>
    </xf>
    <xf numFmtId="0" fontId="0" fillId="0" borderId="15"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0" borderId="14" xfId="0" applyBorder="1" applyAlignment="1">
      <alignment horizontal="center" vertical="center" wrapText="1"/>
    </xf>
    <xf numFmtId="0" fontId="51" fillId="2" borderId="0" xfId="0" applyFont="1" applyFill="1" applyAlignment="1">
      <alignment horizontal="center" vertical="center"/>
    </xf>
    <xf numFmtId="0" fontId="24" fillId="2" borderId="0" xfId="8" applyNumberFormat="1" applyFont="1" applyFill="1" applyBorder="1" applyAlignment="1">
      <alignment horizontal="center" vertical="center"/>
    </xf>
    <xf numFmtId="0" fontId="71" fillId="2" borderId="0" xfId="0" applyFont="1" applyFill="1" applyAlignment="1">
      <alignment horizontal="center" vertical="center"/>
    </xf>
    <xf numFmtId="0" fontId="24" fillId="2" borderId="10" xfId="0" applyFont="1" applyFill="1" applyBorder="1" applyAlignment="1">
      <alignment horizontal="center" vertical="center"/>
    </xf>
    <xf numFmtId="0" fontId="24" fillId="0" borderId="9" xfId="0" applyFont="1" applyBorder="1" applyAlignment="1">
      <alignment horizontal="center" vertical="center" wrapText="1"/>
    </xf>
    <xf numFmtId="0" fontId="24" fillId="0" borderId="8" xfId="0" applyFont="1" applyBorder="1" applyAlignment="1">
      <alignment horizontal="center" vertical="center" wrapText="1"/>
    </xf>
    <xf numFmtId="0" fontId="24" fillId="0" borderId="11" xfId="0" applyFont="1" applyBorder="1" applyAlignment="1">
      <alignment horizontal="center" vertical="center" wrapText="1"/>
    </xf>
    <xf numFmtId="0" fontId="24" fillId="0" borderId="14" xfId="0" applyFont="1" applyBorder="1" applyAlignment="1">
      <alignment horizontal="center" vertical="center" wrapText="1"/>
    </xf>
    <xf numFmtId="0" fontId="24" fillId="3" borderId="14" xfId="0" applyFont="1" applyFill="1" applyBorder="1" applyAlignment="1">
      <alignment horizontal="center" vertical="center"/>
    </xf>
    <xf numFmtId="0" fontId="47" fillId="0" borderId="4" xfId="6" applyFont="1" applyBorder="1" applyAlignment="1">
      <alignment horizontal="center" vertical="center"/>
    </xf>
    <xf numFmtId="0" fontId="72" fillId="0" borderId="4" xfId="6" applyFont="1" applyBorder="1" applyAlignment="1">
      <alignment horizontal="center" vertical="center"/>
    </xf>
    <xf numFmtId="0" fontId="0" fillId="0" borderId="5"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37" fillId="6" borderId="4" xfId="6" applyFont="1" applyFill="1" applyBorder="1" applyAlignment="1">
      <alignment horizontal="center" vertical="center"/>
    </xf>
    <xf numFmtId="0" fontId="37" fillId="6" borderId="4" xfId="0" applyFont="1" applyFill="1" applyBorder="1" applyAlignment="1">
      <alignment horizontal="center" vertical="center"/>
    </xf>
    <xf numFmtId="0" fontId="24" fillId="5" borderId="4" xfId="0" applyFont="1" applyFill="1" applyBorder="1" applyAlignment="1">
      <alignment horizontal="center" vertical="center"/>
    </xf>
    <xf numFmtId="0" fontId="24" fillId="3" borderId="4" xfId="0" applyFont="1" applyFill="1" applyBorder="1" applyAlignment="1">
      <alignment horizontal="center" vertical="center"/>
    </xf>
    <xf numFmtId="0" fontId="24" fillId="5" borderId="14" xfId="0" applyFont="1" applyFill="1" applyBorder="1" applyAlignment="1">
      <alignment horizontal="center" vertical="center"/>
    </xf>
    <xf numFmtId="0" fontId="73" fillId="2" borderId="0" xfId="6" applyFont="1" applyFill="1" applyAlignment="1">
      <alignment horizontal="center" vertical="center"/>
    </xf>
    <xf numFmtId="0" fontId="73" fillId="2" borderId="0" xfId="0" applyFont="1" applyFill="1" applyAlignment="1">
      <alignment horizontal="center" vertical="center"/>
    </xf>
    <xf numFmtId="2" fontId="24" fillId="2" borderId="0" xfId="0" applyNumberFormat="1" applyFont="1" applyFill="1" applyAlignment="1">
      <alignment horizontal="center" vertical="center"/>
    </xf>
    <xf numFmtId="2" fontId="0" fillId="2" borderId="7" xfId="0" applyNumberFormat="1" applyFill="1" applyBorder="1" applyAlignment="1">
      <alignment horizontal="center" vertical="center"/>
    </xf>
    <xf numFmtId="2" fontId="0" fillId="2" borderId="6" xfId="0" applyNumberFormat="1" applyFill="1" applyBorder="1" applyAlignment="1">
      <alignment horizontal="center" vertical="center"/>
    </xf>
    <xf numFmtId="0" fontId="0" fillId="0" borderId="12" xfId="0" applyBorder="1" applyAlignment="1">
      <alignment horizontal="center" vertical="center" wrapText="1"/>
    </xf>
    <xf numFmtId="0" fontId="0" fillId="0" borderId="9" xfId="0" applyBorder="1" applyAlignment="1">
      <alignment horizontal="center"/>
    </xf>
    <xf numFmtId="0" fontId="0" fillId="2" borderId="7" xfId="0" applyFill="1" applyBorder="1" applyAlignment="1">
      <alignment horizontal="center" vertical="center"/>
    </xf>
    <xf numFmtId="0" fontId="20" fillId="2" borderId="15" xfId="0" applyFont="1" applyFill="1" applyBorder="1" applyAlignment="1">
      <alignment horizontal="center" vertical="center"/>
    </xf>
    <xf numFmtId="0" fontId="20" fillId="2" borderId="7" xfId="0" applyFont="1" applyFill="1" applyBorder="1" applyAlignment="1">
      <alignment horizontal="center" vertical="center"/>
    </xf>
    <xf numFmtId="0" fontId="16" fillId="2" borderId="10" xfId="8" applyNumberFormat="1" applyFont="1" applyFill="1" applyBorder="1" applyAlignment="1">
      <alignment horizontal="center" vertical="center"/>
    </xf>
    <xf numFmtId="0" fontId="16" fillId="2" borderId="0" xfId="8" applyNumberFormat="1" applyFont="1" applyFill="1" applyBorder="1" applyAlignment="1">
      <alignment horizontal="center" vertical="center"/>
    </xf>
    <xf numFmtId="1" fontId="0" fillId="2" borderId="7" xfId="0" applyNumberFormat="1" applyFill="1" applyBorder="1" applyAlignment="1">
      <alignment horizontal="center"/>
    </xf>
    <xf numFmtId="2" fontId="0" fillId="2" borderId="1" xfId="0" applyNumberFormat="1" applyFill="1" applyBorder="1" applyAlignment="1">
      <alignment horizontal="center" vertical="center"/>
    </xf>
    <xf numFmtId="1" fontId="0" fillId="2" borderId="10" xfId="0" applyNumberFormat="1" applyFill="1" applyBorder="1" applyAlignment="1">
      <alignment horizontal="center"/>
    </xf>
    <xf numFmtId="2" fontId="0" fillId="2" borderId="4" xfId="0" applyNumberFormat="1" applyFill="1" applyBorder="1" applyAlignment="1">
      <alignment horizontal="center" vertical="center"/>
    </xf>
    <xf numFmtId="165" fontId="0" fillId="2" borderId="1" xfId="0" applyNumberFormat="1" applyFill="1" applyBorder="1" applyAlignment="1">
      <alignment horizontal="center" vertical="center"/>
    </xf>
    <xf numFmtId="165" fontId="0" fillId="2" borderId="10" xfId="0" applyNumberFormat="1" applyFill="1" applyBorder="1" applyAlignment="1">
      <alignment horizontal="center" vertical="center"/>
    </xf>
    <xf numFmtId="165" fontId="0" fillId="2" borderId="4" xfId="0" applyNumberFormat="1" applyFill="1" applyBorder="1" applyAlignment="1">
      <alignment horizontal="center" vertical="center"/>
    </xf>
    <xf numFmtId="0" fontId="0" fillId="2" borderId="12" xfId="0" applyFill="1" applyBorder="1" applyAlignment="1">
      <alignment horizontal="center" vertical="center"/>
    </xf>
    <xf numFmtId="1" fontId="0" fillId="2" borderId="13" xfId="0" applyNumberFormat="1" applyFill="1" applyBorder="1" applyAlignment="1">
      <alignment horizontal="center"/>
    </xf>
    <xf numFmtId="0" fontId="0" fillId="2" borderId="13" xfId="0" applyFill="1" applyBorder="1" applyAlignment="1">
      <alignment horizontal="center" vertical="center"/>
    </xf>
    <xf numFmtId="1" fontId="0" fillId="2" borderId="0" xfId="0" applyNumberFormat="1" applyFill="1" applyAlignment="1">
      <alignment horizontal="center" vertical="center"/>
    </xf>
    <xf numFmtId="1" fontId="0" fillId="0" borderId="6" xfId="0" applyNumberFormat="1" applyBorder="1" applyAlignment="1">
      <alignment horizontal="center" vertical="center"/>
    </xf>
    <xf numFmtId="0" fontId="0" fillId="2" borderId="10" xfId="0" applyFill="1" applyBorder="1" applyAlignment="1">
      <alignment vertical="center"/>
    </xf>
    <xf numFmtId="0" fontId="0" fillId="0" borderId="5" xfId="0" applyBorder="1" applyAlignment="1">
      <alignment vertical="center" wrapText="1"/>
    </xf>
    <xf numFmtId="0" fontId="0" fillId="0" borderId="15" xfId="0" applyBorder="1" applyAlignment="1">
      <alignment vertical="center" wrapText="1"/>
    </xf>
    <xf numFmtId="2" fontId="0" fillId="2" borderId="10" xfId="0" applyNumberFormat="1" applyFill="1" applyBorder="1"/>
    <xf numFmtId="0" fontId="0" fillId="2" borderId="10" xfId="0" applyFill="1" applyBorder="1" applyAlignment="1">
      <alignment horizontal="center"/>
    </xf>
    <xf numFmtId="1" fontId="0" fillId="2" borderId="10" xfId="0" applyNumberFormat="1" applyFill="1" applyBorder="1" applyAlignment="1">
      <alignment horizontal="center" vertical="center"/>
    </xf>
    <xf numFmtId="0" fontId="0" fillId="0" borderId="8" xfId="0" applyBorder="1" applyAlignment="1">
      <alignment vertical="center" wrapText="1"/>
    </xf>
    <xf numFmtId="165" fontId="0" fillId="2" borderId="14" xfId="0" applyNumberFormat="1" applyFill="1" applyBorder="1" applyAlignment="1">
      <alignment horizontal="center" vertical="center"/>
    </xf>
    <xf numFmtId="0" fontId="0" fillId="2" borderId="14" xfId="0" applyFill="1" applyBorder="1" applyAlignment="1">
      <alignment horizontal="center" vertical="center"/>
    </xf>
    <xf numFmtId="0" fontId="0" fillId="0" borderId="14" xfId="0" applyBorder="1" applyAlignment="1">
      <alignment vertical="center" wrapText="1"/>
    </xf>
    <xf numFmtId="0" fontId="11" fillId="2" borderId="0" xfId="0" applyFont="1" applyFill="1" applyAlignment="1">
      <alignment vertical="center"/>
    </xf>
    <xf numFmtId="0" fontId="2" fillId="2" borderId="0" xfId="0" applyFont="1" applyFill="1" applyAlignment="1">
      <alignment horizontal="center" vertical="center"/>
    </xf>
    <xf numFmtId="0" fontId="0" fillId="2" borderId="5" xfId="0" applyFill="1" applyBorder="1" applyAlignment="1">
      <alignment horizontal="center" vertical="center"/>
    </xf>
    <xf numFmtId="0" fontId="0" fillId="2" borderId="6" xfId="0" applyFill="1" applyBorder="1" applyAlignment="1">
      <alignment horizontal="center" vertical="center"/>
    </xf>
    <xf numFmtId="0" fontId="13" fillId="2" borderId="4" xfId="0" applyFont="1" applyFill="1" applyBorder="1" applyAlignment="1">
      <alignment horizontal="center" vertical="center"/>
    </xf>
    <xf numFmtId="9" fontId="0" fillId="2" borderId="0" xfId="8" applyFont="1" applyFill="1" applyBorder="1" applyAlignment="1">
      <alignment vertical="center"/>
    </xf>
    <xf numFmtId="165" fontId="0" fillId="2" borderId="6" xfId="0" applyNumberFormat="1" applyFill="1" applyBorder="1" applyAlignment="1">
      <alignment horizontal="center" vertical="center"/>
    </xf>
    <xf numFmtId="1" fontId="0" fillId="2" borderId="6" xfId="0" applyNumberFormat="1" applyFill="1" applyBorder="1" applyAlignment="1">
      <alignment horizontal="center" vertical="center"/>
    </xf>
    <xf numFmtId="1" fontId="0" fillId="2" borderId="7" xfId="0" applyNumberFormat="1" applyFill="1" applyBorder="1" applyAlignment="1">
      <alignment horizontal="center" vertical="center"/>
    </xf>
    <xf numFmtId="9" fontId="0" fillId="0" borderId="8" xfId="0" applyNumberFormat="1" applyBorder="1" applyAlignment="1">
      <alignment horizontal="center" vertical="center"/>
    </xf>
    <xf numFmtId="165" fontId="0" fillId="2" borderId="12" xfId="0" applyNumberFormat="1" applyFill="1" applyBorder="1" applyAlignment="1">
      <alignment horizontal="center" vertical="center"/>
    </xf>
    <xf numFmtId="1" fontId="0" fillId="2" borderId="12" xfId="0" applyNumberFormat="1" applyFill="1" applyBorder="1" applyAlignment="1">
      <alignment horizontal="center" vertical="center"/>
    </xf>
    <xf numFmtId="1" fontId="0" fillId="2" borderId="13" xfId="0" applyNumberFormat="1" applyFill="1" applyBorder="1" applyAlignment="1">
      <alignment horizontal="center" vertical="center"/>
    </xf>
    <xf numFmtId="0" fontId="0" fillId="0" borderId="8" xfId="0" applyBorder="1" applyAlignment="1">
      <alignment horizontal="center"/>
    </xf>
    <xf numFmtId="10" fontId="0" fillId="2" borderId="0" xfId="0" applyNumberFormat="1" applyFill="1" applyAlignment="1">
      <alignment vertical="center"/>
    </xf>
    <xf numFmtId="165" fontId="0" fillId="2" borderId="9" xfId="0" applyNumberFormat="1" applyFill="1" applyBorder="1" applyAlignment="1">
      <alignment horizontal="center" vertical="center"/>
    </xf>
    <xf numFmtId="165" fontId="0" fillId="0" borderId="4" xfId="0" applyNumberFormat="1" applyBorder="1" applyAlignment="1">
      <alignment horizontal="center" vertical="center"/>
    </xf>
    <xf numFmtId="165" fontId="0" fillId="0" borderId="10" xfId="0" applyNumberFormat="1" applyBorder="1" applyAlignment="1">
      <alignment horizontal="center" vertical="center" wrapText="1"/>
    </xf>
    <xf numFmtId="2" fontId="0" fillId="0" borderId="10" xfId="0" applyNumberFormat="1" applyBorder="1" applyAlignment="1">
      <alignment horizontal="center" vertical="center" wrapText="1"/>
    </xf>
    <xf numFmtId="165" fontId="0" fillId="0" borderId="13" xfId="0" applyNumberFormat="1" applyBorder="1" applyAlignment="1">
      <alignment horizontal="center" vertical="center" wrapText="1"/>
    </xf>
    <xf numFmtId="2" fontId="0" fillId="0" borderId="13" xfId="0" applyNumberFormat="1" applyBorder="1" applyAlignment="1">
      <alignment horizontal="center" vertical="center" wrapText="1"/>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2" fillId="0" borderId="3" xfId="0" applyFont="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xf>
    <xf numFmtId="165" fontId="0" fillId="0" borderId="15" xfId="0" applyNumberFormat="1" applyBorder="1" applyAlignment="1">
      <alignment horizontal="center" vertical="center"/>
    </xf>
    <xf numFmtId="1" fontId="0" fillId="0" borderId="10" xfId="0" applyNumberFormat="1" applyBorder="1" applyAlignment="1">
      <alignment horizontal="center" vertical="center"/>
    </xf>
    <xf numFmtId="0" fontId="55" fillId="3" borderId="14" xfId="0" applyFont="1" applyFill="1" applyBorder="1" applyAlignment="1">
      <alignment horizontal="center" vertical="center" wrapText="1"/>
    </xf>
    <xf numFmtId="0" fontId="24" fillId="2" borderId="4" xfId="0" applyFont="1" applyFill="1" applyBorder="1" applyAlignment="1">
      <alignment horizontal="center" vertical="center"/>
    </xf>
    <xf numFmtId="0" fontId="0" fillId="3" borderId="8" xfId="0" applyFill="1" applyBorder="1" applyAlignment="1">
      <alignment horizontal="center" vertical="center"/>
    </xf>
    <xf numFmtId="167" fontId="0" fillId="2" borderId="0" xfId="0" applyNumberFormat="1" applyFill="1" applyAlignment="1">
      <alignment horizontal="center" vertical="center"/>
    </xf>
    <xf numFmtId="0" fontId="0" fillId="2" borderId="2" xfId="0" applyFill="1" applyBorder="1" applyAlignment="1">
      <alignment vertical="center"/>
    </xf>
    <xf numFmtId="0" fontId="0" fillId="5" borderId="5" xfId="0" applyFill="1" applyBorder="1" applyAlignment="1">
      <alignment horizontal="center" vertical="center"/>
    </xf>
    <xf numFmtId="164" fontId="16" fillId="2" borderId="5" xfId="8" applyNumberFormat="1" applyFont="1" applyFill="1" applyBorder="1" applyAlignment="1">
      <alignment horizontal="center" vertical="center"/>
    </xf>
    <xf numFmtId="0" fontId="16" fillId="5" borderId="9" xfId="8" applyNumberFormat="1" applyFont="1" applyFill="1" applyBorder="1" applyAlignment="1">
      <alignment horizontal="center" vertical="center"/>
    </xf>
    <xf numFmtId="0" fontId="0" fillId="5" borderId="9" xfId="0" applyFill="1" applyBorder="1" applyAlignment="1">
      <alignment horizontal="center" vertical="center"/>
    </xf>
    <xf numFmtId="11" fontId="0" fillId="2" borderId="9" xfId="0" applyNumberFormat="1" applyFill="1" applyBorder="1" applyAlignment="1">
      <alignment horizontal="center" vertical="center"/>
    </xf>
    <xf numFmtId="0" fontId="0" fillId="3" borderId="9" xfId="0" applyFill="1" applyBorder="1" applyAlignment="1">
      <alignment horizontal="center" vertical="center"/>
    </xf>
    <xf numFmtId="0" fontId="0" fillId="5" borderId="11" xfId="0" applyFill="1" applyBorder="1" applyAlignment="1">
      <alignment horizontal="center" vertical="center"/>
    </xf>
    <xf numFmtId="1" fontId="0" fillId="2" borderId="11" xfId="0" applyNumberFormat="1" applyFill="1" applyBorder="1" applyAlignment="1">
      <alignment horizontal="center" vertical="center"/>
    </xf>
    <xf numFmtId="165" fontId="0" fillId="2" borderId="8" xfId="0" applyNumberFormat="1" applyFill="1" applyBorder="1" applyAlignment="1">
      <alignment horizontal="center" vertical="center"/>
    </xf>
    <xf numFmtId="0" fontId="24" fillId="2" borderId="5" xfId="0" applyFont="1" applyFill="1" applyBorder="1" applyAlignment="1">
      <alignment horizontal="center" vertical="center"/>
    </xf>
    <xf numFmtId="0" fontId="24" fillId="2" borderId="6" xfId="0" applyFont="1" applyFill="1" applyBorder="1" applyAlignment="1">
      <alignment horizontal="center" vertical="center"/>
    </xf>
    <xf numFmtId="164" fontId="0" fillId="0" borderId="0" xfId="0" applyNumberFormat="1" applyAlignment="1">
      <alignment horizontal="center" vertical="center"/>
    </xf>
    <xf numFmtId="0" fontId="58" fillId="3" borderId="4" xfId="0" applyFont="1" applyFill="1" applyBorder="1" applyAlignment="1">
      <alignment horizontal="center" vertical="center"/>
    </xf>
    <xf numFmtId="2" fontId="24" fillId="2" borderId="6" xfId="0" applyNumberFormat="1" applyFont="1" applyFill="1" applyBorder="1" applyAlignment="1">
      <alignment horizontal="center" vertical="center"/>
    </xf>
    <xf numFmtId="165" fontId="24" fillId="2" borderId="12" xfId="0" applyNumberFormat="1" applyFont="1" applyFill="1" applyBorder="1" applyAlignment="1">
      <alignment horizontal="center" vertical="center"/>
    </xf>
    <xf numFmtId="165" fontId="24" fillId="2" borderId="14" xfId="0" applyNumberFormat="1" applyFont="1" applyFill="1" applyBorder="1" applyAlignment="1">
      <alignment horizontal="center" vertical="center"/>
    </xf>
    <xf numFmtId="0" fontId="24" fillId="2" borderId="13" xfId="0" applyFont="1" applyFill="1" applyBorder="1" applyAlignment="1">
      <alignment horizontal="center" vertical="center"/>
    </xf>
    <xf numFmtId="0" fontId="37" fillId="2" borderId="0" xfId="0" applyFont="1" applyFill="1" applyAlignment="1">
      <alignment vertical="center"/>
    </xf>
    <xf numFmtId="0" fontId="31" fillId="2" borderId="0" xfId="0" applyFont="1" applyFill="1" applyAlignment="1">
      <alignment horizontal="center" vertical="center"/>
    </xf>
    <xf numFmtId="165" fontId="0" fillId="0" borderId="14" xfId="0" applyNumberFormat="1" applyBorder="1" applyAlignment="1">
      <alignment horizontal="center" vertical="center"/>
    </xf>
    <xf numFmtId="0" fontId="2" fillId="2" borderId="0" xfId="0" applyFont="1" applyFill="1" applyAlignment="1">
      <alignment vertical="center"/>
    </xf>
    <xf numFmtId="164" fontId="16" fillId="2" borderId="7" xfId="8" applyNumberFormat="1" applyFont="1" applyFill="1" applyBorder="1" applyAlignment="1">
      <alignment horizontal="center" vertical="center"/>
    </xf>
    <xf numFmtId="11" fontId="0" fillId="2" borderId="10" xfId="0" applyNumberFormat="1" applyFill="1" applyBorder="1" applyAlignment="1">
      <alignment horizontal="center" vertical="center"/>
    </xf>
    <xf numFmtId="0" fontId="20" fillId="2" borderId="5" xfId="0" applyFont="1" applyFill="1" applyBorder="1" applyAlignment="1">
      <alignment horizontal="center" vertical="center"/>
    </xf>
    <xf numFmtId="1" fontId="0" fillId="2" borderId="15" xfId="0" applyNumberFormat="1" applyFill="1" applyBorder="1" applyAlignment="1">
      <alignment horizontal="center" vertical="center"/>
    </xf>
    <xf numFmtId="1" fontId="0" fillId="2" borderId="4" xfId="0" applyNumberFormat="1" applyFill="1" applyBorder="1" applyAlignment="1">
      <alignment horizontal="center" vertical="center"/>
    </xf>
    <xf numFmtId="165" fontId="0" fillId="2" borderId="2" xfId="0" applyNumberFormat="1" applyFill="1" applyBorder="1" applyAlignment="1">
      <alignment horizontal="center" vertical="center"/>
    </xf>
    <xf numFmtId="1" fontId="0" fillId="2" borderId="2" xfId="0" applyNumberFormat="1" applyFill="1" applyBorder="1" applyAlignment="1">
      <alignment horizontal="center" vertical="center"/>
    </xf>
    <xf numFmtId="0" fontId="20" fillId="2" borderId="4" xfId="0" applyFont="1" applyFill="1" applyBorder="1" applyAlignment="1">
      <alignment horizontal="center" vertical="center"/>
    </xf>
    <xf numFmtId="170" fontId="0" fillId="0" borderId="0" xfId="8" applyNumberFormat="1" applyFont="1" applyBorder="1" applyAlignment="1">
      <alignment horizontal="center" vertical="center"/>
    </xf>
    <xf numFmtId="164" fontId="0" fillId="0" borderId="4" xfId="0" applyNumberFormat="1" applyBorder="1" applyAlignment="1">
      <alignment horizontal="center" vertical="center"/>
    </xf>
    <xf numFmtId="1" fontId="0" fillId="2" borderId="3" xfId="0" applyNumberFormat="1" applyFill="1" applyBorder="1" applyAlignment="1">
      <alignment horizontal="center" vertical="center"/>
    </xf>
    <xf numFmtId="0" fontId="65" fillId="0" borderId="10" xfId="11" applyBorder="1"/>
    <xf numFmtId="0" fontId="2" fillId="0" borderId="2" xfId="0" applyFont="1" applyBorder="1" applyAlignment="1">
      <alignment horizontal="center" vertical="center"/>
    </xf>
    <xf numFmtId="2" fontId="0" fillId="20" borderId="12" xfId="0" applyNumberFormat="1" applyFill="1" applyBorder="1" applyAlignment="1">
      <alignment horizontal="center" vertical="center"/>
    </xf>
    <xf numFmtId="0" fontId="2" fillId="20" borderId="3" xfId="0" applyFont="1" applyFill="1" applyBorder="1" applyAlignment="1">
      <alignment horizontal="center" vertical="center"/>
    </xf>
    <xf numFmtId="0" fontId="0" fillId="21" borderId="0" xfId="0" applyFill="1" applyAlignment="1">
      <alignment horizontal="center" vertical="center"/>
    </xf>
    <xf numFmtId="165" fontId="0" fillId="21" borderId="14" xfId="0" applyNumberFormat="1" applyFill="1" applyBorder="1" applyAlignment="1">
      <alignment horizontal="center" vertical="center"/>
    </xf>
    <xf numFmtId="2" fontId="0" fillId="21" borderId="13" xfId="0" applyNumberFormat="1" applyFill="1" applyBorder="1" applyAlignment="1">
      <alignment horizontal="center" vertical="center"/>
    </xf>
    <xf numFmtId="0" fontId="0" fillId="21" borderId="9" xfId="0" applyFill="1" applyBorder="1" applyAlignment="1">
      <alignment horizontal="center" vertical="center"/>
    </xf>
    <xf numFmtId="165" fontId="0" fillId="2" borderId="5" xfId="0" applyNumberFormat="1" applyFill="1" applyBorder="1" applyAlignment="1">
      <alignment horizontal="center" vertical="center"/>
    </xf>
    <xf numFmtId="165" fontId="0" fillId="0" borderId="11" xfId="0" applyNumberFormat="1" applyBorder="1" applyAlignment="1">
      <alignment horizontal="center" vertical="center"/>
    </xf>
    <xf numFmtId="2" fontId="22" fillId="0" borderId="10" xfId="0" applyNumberFormat="1" applyFont="1" applyBorder="1"/>
    <xf numFmtId="0" fontId="0" fillId="0" borderId="1" xfId="0" applyBorder="1" applyAlignment="1">
      <alignment horizontal="center"/>
    </xf>
    <xf numFmtId="167" fontId="0" fillId="2" borderId="2" xfId="0" applyNumberFormat="1" applyFill="1" applyBorder="1" applyAlignment="1">
      <alignment horizontal="center" vertical="center"/>
    </xf>
    <xf numFmtId="165" fontId="0" fillId="0" borderId="6" xfId="0" applyNumberFormat="1" applyBorder="1" applyAlignment="1">
      <alignment horizontal="center"/>
    </xf>
    <xf numFmtId="1" fontId="0" fillId="0" borderId="6" xfId="0" applyNumberFormat="1" applyBorder="1" applyAlignment="1">
      <alignment horizontal="center"/>
    </xf>
    <xf numFmtId="1" fontId="0" fillId="0" borderId="12" xfId="0" applyNumberFormat="1" applyBorder="1" applyAlignment="1">
      <alignment horizontal="center"/>
    </xf>
    <xf numFmtId="1" fontId="0" fillId="2" borderId="8" xfId="0" applyNumberFormat="1" applyFill="1" applyBorder="1" applyAlignment="1">
      <alignment horizontal="center" vertical="center"/>
    </xf>
    <xf numFmtId="165" fontId="0" fillId="3" borderId="7" xfId="0" applyNumberFormat="1" applyFill="1" applyBorder="1" applyAlignment="1">
      <alignment horizontal="center" vertical="center"/>
    </xf>
    <xf numFmtId="10" fontId="0" fillId="2" borderId="9" xfId="0" applyNumberFormat="1" applyFill="1" applyBorder="1" applyAlignment="1">
      <alignment horizontal="center" vertical="center"/>
    </xf>
    <xf numFmtId="10" fontId="0" fillId="2" borderId="5" xfId="0" applyNumberFormat="1" applyFill="1" applyBorder="1" applyAlignment="1">
      <alignment horizontal="center" vertical="center"/>
    </xf>
    <xf numFmtId="10" fontId="0" fillId="2" borderId="11" xfId="0" applyNumberFormat="1" applyFill="1" applyBorder="1" applyAlignment="1">
      <alignment horizontal="center" vertical="center"/>
    </xf>
    <xf numFmtId="0" fontId="2" fillId="2" borderId="5" xfId="0" applyFont="1" applyFill="1" applyBorder="1" applyAlignment="1">
      <alignment horizontal="center" vertical="center"/>
    </xf>
    <xf numFmtId="0" fontId="46" fillId="0" borderId="0" xfId="0" applyFont="1" applyAlignment="1">
      <alignment vertical="center"/>
    </xf>
    <xf numFmtId="9" fontId="0" fillId="0" borderId="0" xfId="8" applyFont="1" applyBorder="1" applyAlignment="1"/>
    <xf numFmtId="0" fontId="24" fillId="3" borderId="9" xfId="0" applyFont="1" applyFill="1" applyBorder="1" applyAlignment="1">
      <alignment horizontal="center" vertical="center"/>
    </xf>
    <xf numFmtId="49" fontId="46" fillId="2" borderId="0" xfId="0" applyNumberFormat="1" applyFont="1" applyFill="1" applyAlignment="1">
      <alignment horizontal="center" vertical="center"/>
    </xf>
    <xf numFmtId="0" fontId="46" fillId="2" borderId="0" xfId="0" applyFont="1" applyFill="1" applyAlignment="1">
      <alignment vertical="center"/>
    </xf>
    <xf numFmtId="0" fontId="0" fillId="21" borderId="8" xfId="0" applyFill="1" applyBorder="1" applyAlignment="1">
      <alignment horizontal="center" vertical="center"/>
    </xf>
    <xf numFmtId="2" fontId="24" fillId="2" borderId="0" xfId="6" applyNumberFormat="1" applyFont="1" applyFill="1" applyAlignment="1">
      <alignment horizontal="center" vertical="center"/>
    </xf>
    <xf numFmtId="9" fontId="24" fillId="2" borderId="0" xfId="8" applyFont="1" applyFill="1" applyAlignment="1">
      <alignment horizontal="center" vertical="center"/>
    </xf>
    <xf numFmtId="9" fontId="0" fillId="2" borderId="6" xfId="8" applyFont="1" applyFill="1" applyBorder="1" applyAlignment="1">
      <alignment horizontal="center" vertical="center"/>
    </xf>
    <xf numFmtId="9" fontId="0" fillId="2" borderId="0" xfId="8" applyFont="1" applyFill="1" applyBorder="1" applyAlignment="1">
      <alignment horizontal="center" vertical="center"/>
    </xf>
    <xf numFmtId="9" fontId="0" fillId="2" borderId="12" xfId="8" applyFont="1" applyFill="1" applyBorder="1" applyAlignment="1">
      <alignment horizontal="center" vertical="center"/>
    </xf>
    <xf numFmtId="165" fontId="0" fillId="2" borderId="6" xfId="0" applyNumberFormat="1" applyFill="1" applyBorder="1" applyAlignment="1">
      <alignment horizontal="center"/>
    </xf>
    <xf numFmtId="0" fontId="0" fillId="2" borderId="6" xfId="0" applyFill="1" applyBorder="1" applyAlignment="1">
      <alignment horizontal="center"/>
    </xf>
    <xf numFmtId="1" fontId="0" fillId="2" borderId="6" xfId="0" applyNumberFormat="1" applyFill="1" applyBorder="1" applyAlignment="1">
      <alignment horizontal="center"/>
    </xf>
    <xf numFmtId="165" fontId="0" fillId="2" borderId="0" xfId="0" applyNumberFormat="1" applyFill="1" applyAlignment="1">
      <alignment horizontal="center"/>
    </xf>
    <xf numFmtId="1" fontId="0" fillId="2" borderId="0" xfId="0" applyNumberFormat="1" applyFill="1" applyAlignment="1">
      <alignment horizontal="center"/>
    </xf>
    <xf numFmtId="2" fontId="13" fillId="2" borderId="4" xfId="0" applyNumberFormat="1" applyFont="1" applyFill="1" applyBorder="1" applyAlignment="1">
      <alignment horizontal="center" vertical="center"/>
    </xf>
    <xf numFmtId="4" fontId="78" fillId="0" borderId="0" xfId="1" applyNumberFormat="1" applyFont="1" applyAlignment="1">
      <alignment vertical="center"/>
    </xf>
    <xf numFmtId="0" fontId="22" fillId="0" borderId="9" xfId="0" applyFont="1" applyBorder="1" applyAlignment="1">
      <alignment horizontal="center" vertical="center"/>
    </xf>
    <xf numFmtId="0" fontId="22" fillId="0" borderId="0" xfId="0" applyFont="1" applyAlignment="1">
      <alignment horizontal="center" vertical="center"/>
    </xf>
    <xf numFmtId="165" fontId="22" fillId="0" borderId="0" xfId="0" applyNumberFormat="1" applyFont="1" applyAlignment="1">
      <alignment horizontal="center" vertical="center"/>
    </xf>
    <xf numFmtId="2" fontId="22" fillId="0" borderId="10" xfId="0" applyNumberFormat="1" applyFont="1" applyBorder="1" applyAlignment="1">
      <alignment horizontal="center" vertical="center"/>
    </xf>
    <xf numFmtId="0" fontId="22" fillId="0" borderId="12" xfId="0" applyFont="1" applyBorder="1" applyAlignment="1">
      <alignment horizontal="center" vertical="center"/>
    </xf>
    <xf numFmtId="0" fontId="3" fillId="0" borderId="5" xfId="1" applyBorder="1" applyAlignment="1">
      <alignment horizontal="center" vertical="center"/>
    </xf>
    <xf numFmtId="0" fontId="3" fillId="0" borderId="7" xfId="1" applyBorder="1" applyAlignment="1">
      <alignment horizontal="center" vertical="center"/>
    </xf>
    <xf numFmtId="0" fontId="79" fillId="2" borderId="6" xfId="0" applyFont="1" applyFill="1" applyBorder="1" applyAlignment="1">
      <alignment horizontal="center" vertical="center"/>
    </xf>
    <xf numFmtId="0" fontId="3" fillId="0" borderId="9" xfId="1" applyBorder="1" applyAlignment="1">
      <alignment horizontal="center" vertical="center"/>
    </xf>
    <xf numFmtId="0" fontId="3" fillId="0" borderId="10" xfId="1" applyBorder="1" applyAlignment="1">
      <alignment horizontal="center" vertical="center"/>
    </xf>
    <xf numFmtId="165" fontId="3" fillId="0" borderId="0" xfId="1" applyNumberFormat="1" applyAlignment="1">
      <alignment horizontal="center" vertical="center"/>
    </xf>
    <xf numFmtId="0" fontId="3" fillId="0" borderId="11" xfId="1" applyBorder="1" applyAlignment="1">
      <alignment horizontal="center" vertical="center"/>
    </xf>
    <xf numFmtId="165" fontId="3" fillId="0" borderId="12" xfId="1" applyNumberFormat="1" applyBorder="1" applyAlignment="1">
      <alignment horizontal="center" vertical="center"/>
    </xf>
    <xf numFmtId="0" fontId="3" fillId="0" borderId="13" xfId="1" applyBorder="1" applyAlignment="1">
      <alignment horizontal="center" vertical="center"/>
    </xf>
    <xf numFmtId="0" fontId="3" fillId="0" borderId="6" xfId="1" applyBorder="1" applyAlignment="1">
      <alignment horizontal="center" vertical="center"/>
    </xf>
    <xf numFmtId="0" fontId="2" fillId="3" borderId="7" xfId="0" applyFont="1" applyFill="1" applyBorder="1" applyAlignment="1">
      <alignment horizontal="center" vertical="center"/>
    </xf>
    <xf numFmtId="1" fontId="0" fillId="2" borderId="14" xfId="0" applyNumberFormat="1" applyFill="1" applyBorder="1" applyAlignment="1">
      <alignment horizontal="center" vertical="center"/>
    </xf>
    <xf numFmtId="165" fontId="0" fillId="2" borderId="11" xfId="0" applyNumberFormat="1" applyFill="1" applyBorder="1" applyAlignment="1">
      <alignment horizontal="center" vertical="center"/>
    </xf>
    <xf numFmtId="2" fontId="24" fillId="2" borderId="12" xfId="0" applyNumberFormat="1" applyFont="1" applyFill="1" applyBorder="1" applyAlignment="1">
      <alignment horizontal="center" vertical="center"/>
    </xf>
    <xf numFmtId="165" fontId="24" fillId="2" borderId="15" xfId="0" applyNumberFormat="1" applyFont="1" applyFill="1" applyBorder="1" applyAlignment="1">
      <alignment horizontal="center" vertical="center"/>
    </xf>
    <xf numFmtId="165" fontId="24" fillId="2" borderId="8" xfId="0" applyNumberFormat="1" applyFont="1" applyFill="1" applyBorder="1" applyAlignment="1">
      <alignment horizontal="center" vertical="center"/>
    </xf>
    <xf numFmtId="2" fontId="0" fillId="0" borderId="5" xfId="0" applyNumberFormat="1" applyBorder="1" applyAlignment="1">
      <alignment horizontal="center" vertical="center"/>
    </xf>
    <xf numFmtId="0" fontId="65" fillId="0" borderId="6" xfId="11" applyBorder="1" applyAlignment="1">
      <alignment horizontal="center" vertical="center"/>
    </xf>
    <xf numFmtId="10" fontId="0" fillId="0" borderId="8" xfId="8" applyNumberFormat="1" applyFont="1" applyFill="1" applyBorder="1" applyAlignment="1">
      <alignment horizontal="center" vertical="center"/>
    </xf>
    <xf numFmtId="165" fontId="22" fillId="2" borderId="0" xfId="0" applyNumberFormat="1" applyFont="1" applyFill="1" applyAlignment="1">
      <alignment horizontal="center" vertical="center"/>
    </xf>
    <xf numFmtId="167" fontId="22" fillId="2" borderId="0" xfId="0" applyNumberFormat="1" applyFont="1" applyFill="1" applyAlignment="1">
      <alignment horizontal="center" vertical="center"/>
    </xf>
    <xf numFmtId="2" fontId="22" fillId="2" borderId="0" xfId="0" applyNumberFormat="1" applyFont="1" applyFill="1" applyAlignment="1">
      <alignment horizontal="center" vertical="center"/>
    </xf>
    <xf numFmtId="164" fontId="22" fillId="2" borderId="0" xfId="8" applyNumberFormat="1" applyFont="1" applyFill="1" applyBorder="1" applyAlignment="1">
      <alignment horizontal="center" vertical="center"/>
    </xf>
    <xf numFmtId="0" fontId="22" fillId="2" borderId="0" xfId="0" applyFont="1" applyFill="1" applyAlignment="1">
      <alignment horizontal="center" vertical="center"/>
    </xf>
    <xf numFmtId="11" fontId="22" fillId="2" borderId="0" xfId="0" applyNumberFormat="1" applyFont="1" applyFill="1" applyAlignment="1">
      <alignment horizontal="center" vertical="center"/>
    </xf>
    <xf numFmtId="0" fontId="81" fillId="2" borderId="0" xfId="0" applyFont="1" applyFill="1" applyAlignment="1">
      <alignment horizontal="center" vertical="center"/>
    </xf>
    <xf numFmtId="0" fontId="22" fillId="2" borderId="0" xfId="8" applyNumberFormat="1" applyFont="1" applyFill="1" applyBorder="1" applyAlignment="1">
      <alignment horizontal="center" vertical="center"/>
    </xf>
    <xf numFmtId="2" fontId="0" fillId="0" borderId="0" xfId="0" applyNumberFormat="1" applyAlignment="1">
      <alignment horizontal="center"/>
    </xf>
    <xf numFmtId="0" fontId="23" fillId="2" borderId="0" xfId="1" applyFont="1" applyFill="1" applyAlignment="1">
      <alignment horizontal="center"/>
    </xf>
    <xf numFmtId="165" fontId="22" fillId="0" borderId="0" xfId="0" applyNumberFormat="1" applyFont="1"/>
    <xf numFmtId="9" fontId="22" fillId="2" borderId="0" xfId="8" applyFont="1" applyFill="1" applyBorder="1"/>
    <xf numFmtId="0" fontId="23" fillId="2" borderId="0" xfId="1" applyFont="1" applyFill="1" applyAlignment="1">
      <alignment horizontal="center" vertical="center"/>
    </xf>
    <xf numFmtId="165" fontId="23" fillId="2" borderId="0" xfId="1" applyNumberFormat="1" applyFont="1" applyFill="1" applyAlignment="1">
      <alignment horizontal="center" vertical="center"/>
    </xf>
    <xf numFmtId="165" fontId="23" fillId="2" borderId="0" xfId="1" applyNumberFormat="1" applyFont="1" applyFill="1" applyAlignment="1">
      <alignment horizontal="center"/>
    </xf>
    <xf numFmtId="0" fontId="23" fillId="2" borderId="0" xfId="1" applyFont="1" applyFill="1"/>
    <xf numFmtId="168" fontId="24" fillId="0" borderId="7" xfId="0" applyNumberFormat="1" applyFont="1" applyBorder="1" applyAlignment="1">
      <alignment horizontal="center" vertical="center"/>
    </xf>
    <xf numFmtId="168" fontId="24" fillId="0" borderId="10" xfId="0" applyNumberFormat="1" applyFont="1" applyBorder="1" applyAlignment="1">
      <alignment horizontal="center" vertical="center"/>
    </xf>
    <xf numFmtId="168" fontId="24" fillId="0" borderId="13" xfId="0" applyNumberFormat="1" applyFont="1" applyBorder="1" applyAlignment="1">
      <alignment horizontal="center" vertical="center"/>
    </xf>
    <xf numFmtId="0" fontId="24" fillId="0" borderId="8" xfId="0" applyFont="1" applyBorder="1" applyAlignment="1">
      <alignment horizontal="center" vertical="center"/>
    </xf>
    <xf numFmtId="0" fontId="24" fillId="0" borderId="1" xfId="0" applyFont="1" applyBorder="1" applyAlignment="1">
      <alignment horizontal="center" vertical="center"/>
    </xf>
    <xf numFmtId="0" fontId="24" fillId="0" borderId="2" xfId="0" applyFont="1" applyBorder="1" applyAlignment="1">
      <alignment horizontal="center" vertical="center"/>
    </xf>
    <xf numFmtId="0" fontId="24" fillId="0" borderId="3" xfId="0" applyFont="1" applyBorder="1" applyAlignment="1">
      <alignment horizontal="center" vertical="center"/>
    </xf>
    <xf numFmtId="0" fontId="24" fillId="0" borderId="14" xfId="0" applyFont="1" applyBorder="1" applyAlignment="1">
      <alignment horizontal="center" vertical="center"/>
    </xf>
    <xf numFmtId="165" fontId="24" fillId="0" borderId="14" xfId="0" applyNumberFormat="1" applyFont="1" applyBorder="1" applyAlignment="1">
      <alignment horizontal="center" vertical="center"/>
    </xf>
    <xf numFmtId="165" fontId="50" fillId="0" borderId="0" xfId="1" applyNumberFormat="1" applyFont="1" applyAlignment="1">
      <alignment horizontal="center"/>
    </xf>
    <xf numFmtId="0" fontId="50" fillId="0" borderId="0" xfId="1" applyFont="1"/>
    <xf numFmtId="0" fontId="50" fillId="0" borderId="0" xfId="1" applyFont="1" applyAlignment="1">
      <alignment horizontal="center"/>
    </xf>
    <xf numFmtId="2" fontId="24" fillId="2" borderId="4" xfId="0" applyNumberFormat="1" applyFont="1" applyFill="1" applyBorder="1" applyAlignment="1">
      <alignment horizontal="center" vertical="center"/>
    </xf>
    <xf numFmtId="0" fontId="44" fillId="2" borderId="4" xfId="0" applyFont="1" applyFill="1" applyBorder="1" applyAlignment="1">
      <alignment horizontal="center" vertical="center"/>
    </xf>
    <xf numFmtId="0" fontId="24" fillId="2" borderId="4" xfId="0" applyFont="1" applyFill="1" applyBorder="1" applyAlignment="1">
      <alignment horizontal="center"/>
    </xf>
    <xf numFmtId="0" fontId="24" fillId="0" borderId="4" xfId="0" applyFont="1" applyBorder="1" applyAlignment="1">
      <alignment horizontal="center"/>
    </xf>
    <xf numFmtId="170" fontId="0" fillId="0" borderId="0" xfId="8" applyNumberFormat="1" applyFont="1" applyFill="1" applyBorder="1" applyAlignment="1">
      <alignment horizontal="center" vertical="center"/>
    </xf>
    <xf numFmtId="0" fontId="11" fillId="6" borderId="1" xfId="0" applyFont="1" applyFill="1" applyBorder="1" applyAlignment="1">
      <alignment horizontal="center" vertical="center"/>
    </xf>
    <xf numFmtId="0" fontId="11" fillId="6" borderId="2" xfId="0" applyFont="1" applyFill="1" applyBorder="1" applyAlignment="1">
      <alignment horizontal="center" vertical="center"/>
    </xf>
    <xf numFmtId="0" fontId="11"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1" fillId="7" borderId="1" xfId="0" applyFont="1" applyFill="1" applyBorder="1" applyAlignment="1">
      <alignment horizontal="left" vertical="center"/>
    </xf>
    <xf numFmtId="0" fontId="11" fillId="7" borderId="3" xfId="0" applyFont="1" applyFill="1" applyBorder="1" applyAlignment="1">
      <alignment horizontal="left" vertical="center"/>
    </xf>
    <xf numFmtId="49" fontId="13" fillId="0" borderId="1" xfId="0" applyNumberFormat="1" applyFont="1" applyBorder="1" applyAlignment="1">
      <alignment horizontal="center" vertical="center"/>
    </xf>
    <xf numFmtId="49" fontId="13" fillId="0" borderId="2" xfId="0" applyNumberFormat="1" applyFont="1" applyBorder="1" applyAlignment="1">
      <alignment horizontal="center" vertical="center"/>
    </xf>
    <xf numFmtId="49" fontId="13" fillId="0" borderId="3" xfId="0" applyNumberFormat="1" applyFont="1" applyBorder="1" applyAlignment="1">
      <alignment horizontal="center" vertical="center"/>
    </xf>
    <xf numFmtId="49" fontId="13" fillId="0" borderId="1" xfId="0" applyNumberFormat="1" applyFont="1" applyBorder="1" applyAlignment="1">
      <alignment horizontal="center"/>
    </xf>
    <xf numFmtId="49" fontId="13" fillId="0" borderId="2" xfId="0" applyNumberFormat="1" applyFont="1" applyBorder="1" applyAlignment="1">
      <alignment horizontal="center"/>
    </xf>
    <xf numFmtId="49" fontId="13" fillId="0" borderId="3" xfId="0" applyNumberFormat="1" applyFont="1" applyBorder="1" applyAlignment="1">
      <alignment horizontal="center"/>
    </xf>
    <xf numFmtId="49" fontId="65" fillId="0" borderId="1" xfId="11" applyNumberFormat="1" applyBorder="1" applyAlignment="1">
      <alignment horizontal="center" vertical="center"/>
    </xf>
    <xf numFmtId="49" fontId="65" fillId="0" borderId="2" xfId="11" applyNumberFormat="1" applyBorder="1" applyAlignment="1">
      <alignment horizontal="center" vertical="center"/>
    </xf>
    <xf numFmtId="49" fontId="65" fillId="0" borderId="3" xfId="11" applyNumberFormat="1" applyBorder="1" applyAlignment="1">
      <alignment horizontal="center" vertical="center"/>
    </xf>
    <xf numFmtId="0" fontId="38" fillId="7" borderId="1" xfId="0" applyFont="1" applyFill="1" applyBorder="1" applyAlignment="1">
      <alignment horizontal="center" vertical="center"/>
    </xf>
    <xf numFmtId="0" fontId="38" fillId="7" borderId="2" xfId="0" applyFont="1" applyFill="1" applyBorder="1" applyAlignment="1">
      <alignment horizontal="center" vertical="center"/>
    </xf>
    <xf numFmtId="0" fontId="38" fillId="7" borderId="3" xfId="0" applyFont="1" applyFill="1" applyBorder="1" applyAlignment="1">
      <alignment horizontal="center" vertical="center"/>
    </xf>
    <xf numFmtId="0" fontId="62" fillId="7" borderId="5" xfId="0" applyFont="1" applyFill="1" applyBorder="1" applyAlignment="1">
      <alignment horizontal="center" vertical="center"/>
    </xf>
    <xf numFmtId="0" fontId="62" fillId="7" borderId="6" xfId="0" applyFont="1" applyFill="1" applyBorder="1" applyAlignment="1">
      <alignment horizontal="center" vertical="center"/>
    </xf>
    <xf numFmtId="0" fontId="62" fillId="7" borderId="7" xfId="0" applyFont="1" applyFill="1" applyBorder="1" applyAlignment="1">
      <alignment horizontal="center" vertical="center"/>
    </xf>
    <xf numFmtId="0" fontId="62" fillId="7" borderId="9" xfId="0" applyFont="1" applyFill="1" applyBorder="1" applyAlignment="1">
      <alignment horizontal="center" vertical="center"/>
    </xf>
    <xf numFmtId="0" fontId="62" fillId="7" borderId="0" xfId="0" applyFont="1" applyFill="1" applyAlignment="1">
      <alignment horizontal="center" vertical="center"/>
    </xf>
    <xf numFmtId="0" fontId="62" fillId="7" borderId="10" xfId="0" applyFont="1" applyFill="1" applyBorder="1" applyAlignment="1">
      <alignment horizontal="center" vertical="center"/>
    </xf>
    <xf numFmtId="0" fontId="62" fillId="7" borderId="11" xfId="0" applyFont="1" applyFill="1" applyBorder="1" applyAlignment="1">
      <alignment horizontal="center" vertical="center"/>
    </xf>
    <xf numFmtId="0" fontId="62" fillId="7" borderId="12" xfId="0" applyFont="1" applyFill="1" applyBorder="1" applyAlignment="1">
      <alignment horizontal="center" vertical="center"/>
    </xf>
    <xf numFmtId="0" fontId="62" fillId="7" borderId="13"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3" fillId="0" borderId="1" xfId="0" applyFont="1" applyBorder="1" applyAlignment="1">
      <alignment horizontal="center" vertical="center"/>
    </xf>
    <xf numFmtId="0" fontId="13" fillId="0" borderId="2" xfId="0" applyFont="1" applyBorder="1" applyAlignment="1">
      <alignment horizontal="center" vertical="center"/>
    </xf>
    <xf numFmtId="0" fontId="13" fillId="0" borderId="3" xfId="0" applyFont="1" applyBorder="1" applyAlignment="1">
      <alignment horizontal="center" vertical="center"/>
    </xf>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2" fillId="2" borderId="3" xfId="0" applyFont="1" applyFill="1" applyBorder="1" applyAlignment="1">
      <alignment horizontal="center" vertical="center"/>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2" fillId="6" borderId="2" xfId="0" applyFont="1" applyFill="1" applyBorder="1" applyAlignment="1">
      <alignment horizontal="center" vertical="center"/>
    </xf>
    <xf numFmtId="0" fontId="2" fillId="6" borderId="3" xfId="0" applyFont="1" applyFill="1" applyBorder="1" applyAlignment="1">
      <alignment horizontal="center" vertical="center"/>
    </xf>
    <xf numFmtId="0" fontId="0" fillId="2" borderId="9" xfId="0" applyFill="1" applyBorder="1" applyAlignment="1">
      <alignment horizontal="center" vertical="center"/>
    </xf>
    <xf numFmtId="0" fontId="0" fillId="2" borderId="0" xfId="0" applyFill="1" applyAlignment="1">
      <alignment horizontal="center" vertical="center"/>
    </xf>
    <xf numFmtId="0" fontId="0" fillId="2" borderId="10" xfId="0" applyFill="1"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46" fillId="2" borderId="4" xfId="0" applyFont="1" applyFill="1" applyBorder="1" applyAlignment="1">
      <alignment horizontal="center" vertical="center" wrapText="1"/>
    </xf>
    <xf numFmtId="0" fontId="11" fillId="6" borderId="4" xfId="0" applyFont="1" applyFill="1" applyBorder="1" applyAlignment="1">
      <alignment horizontal="center" vertical="center"/>
    </xf>
    <xf numFmtId="0" fontId="11" fillId="3" borderId="1" xfId="0" applyFont="1" applyFill="1" applyBorder="1" applyAlignment="1">
      <alignment horizontal="center" vertical="center"/>
    </xf>
    <xf numFmtId="0" fontId="11" fillId="3" borderId="2" xfId="0" applyFont="1" applyFill="1" applyBorder="1" applyAlignment="1">
      <alignment horizontal="center" vertical="center"/>
    </xf>
    <xf numFmtId="0" fontId="11" fillId="3" borderId="3" xfId="0" applyFont="1" applyFill="1" applyBorder="1" applyAlignment="1">
      <alignment horizontal="center" vertical="center"/>
    </xf>
    <xf numFmtId="0" fontId="11" fillId="3" borderId="4" xfId="0" applyFont="1" applyFill="1" applyBorder="1" applyAlignment="1">
      <alignment horizontal="center" vertical="center"/>
    </xf>
    <xf numFmtId="0" fontId="35" fillId="2" borderId="15" xfId="0" applyFont="1" applyFill="1" applyBorder="1" applyAlignment="1">
      <alignment horizontal="center" vertical="center"/>
    </xf>
    <xf numFmtId="0" fontId="35" fillId="2" borderId="14" xfId="0" applyFont="1" applyFill="1" applyBorder="1" applyAlignment="1">
      <alignment horizontal="center" vertical="center"/>
    </xf>
    <xf numFmtId="0" fontId="36" fillId="2" borderId="15" xfId="0" applyFont="1" applyFill="1" applyBorder="1" applyAlignment="1">
      <alignment horizontal="center" vertical="center"/>
    </xf>
    <xf numFmtId="0" fontId="36" fillId="2" borderId="14" xfId="0" applyFont="1" applyFill="1" applyBorder="1" applyAlignment="1">
      <alignment horizontal="center" vertical="center"/>
    </xf>
    <xf numFmtId="0" fontId="11" fillId="0" borderId="15" xfId="0" applyFont="1" applyBorder="1" applyAlignment="1">
      <alignment horizontal="center" vertical="center"/>
    </xf>
    <xf numFmtId="0" fontId="11" fillId="0" borderId="14" xfId="0" applyFont="1" applyBorder="1" applyAlignment="1">
      <alignment horizontal="center" vertical="center"/>
    </xf>
    <xf numFmtId="0" fontId="12" fillId="8" borderId="4" xfId="0" applyFont="1" applyFill="1" applyBorder="1" applyAlignment="1">
      <alignment horizontal="center" vertical="center"/>
    </xf>
    <xf numFmtId="0" fontId="12" fillId="8" borderId="1" xfId="0" applyFont="1" applyFill="1" applyBorder="1" applyAlignment="1">
      <alignment horizontal="center" vertical="center"/>
    </xf>
    <xf numFmtId="0" fontId="12" fillId="8" borderId="2" xfId="0" applyFont="1" applyFill="1" applyBorder="1" applyAlignment="1">
      <alignment horizontal="center" vertical="center"/>
    </xf>
    <xf numFmtId="0" fontId="12" fillId="8" borderId="3" xfId="0" applyFont="1" applyFill="1" applyBorder="1" applyAlignment="1">
      <alignment horizontal="center" vertical="center"/>
    </xf>
    <xf numFmtId="0" fontId="12" fillId="7" borderId="1" xfId="0" applyFont="1" applyFill="1" applyBorder="1" applyAlignment="1">
      <alignment horizontal="center" vertical="center"/>
    </xf>
    <xf numFmtId="0" fontId="12" fillId="7" borderId="2" xfId="0" applyFont="1" applyFill="1" applyBorder="1" applyAlignment="1">
      <alignment horizontal="center" vertical="center"/>
    </xf>
    <xf numFmtId="0" fontId="12"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2" fillId="0" borderId="4" xfId="0" applyFont="1" applyBorder="1" applyAlignment="1">
      <alignment horizontal="center" vertical="center"/>
    </xf>
    <xf numFmtId="0" fontId="0" fillId="0" borderId="5" xfId="0" applyBorder="1" applyAlignment="1">
      <alignment horizontal="center" vertical="center"/>
    </xf>
    <xf numFmtId="0" fontId="12" fillId="0" borderId="5" xfId="0" applyFont="1" applyBorder="1" applyAlignment="1">
      <alignment horizontal="center" vertical="center"/>
    </xf>
    <xf numFmtId="0" fontId="12" fillId="0" borderId="6" xfId="0" applyFont="1" applyBorder="1" applyAlignment="1">
      <alignment horizontal="center" vertical="center"/>
    </xf>
    <xf numFmtId="0" fontId="12" fillId="0" borderId="7" xfId="0" applyFont="1" applyBorder="1" applyAlignment="1">
      <alignment horizontal="center" vertical="center"/>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12" fillId="0" borderId="13"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12" fillId="2" borderId="4" xfId="0" applyFont="1" applyFill="1" applyBorder="1" applyAlignment="1">
      <alignment horizontal="center" vertical="center"/>
    </xf>
    <xf numFmtId="0" fontId="46" fillId="2" borderId="5" xfId="0" applyFont="1" applyFill="1" applyBorder="1" applyAlignment="1">
      <alignment horizontal="center" vertical="center"/>
    </xf>
    <xf numFmtId="0" fontId="46" fillId="2" borderId="6" xfId="0" applyFont="1" applyFill="1" applyBorder="1" applyAlignment="1">
      <alignment horizontal="center" vertical="center"/>
    </xf>
    <xf numFmtId="0" fontId="46" fillId="2" borderId="7" xfId="0" applyFont="1" applyFill="1" applyBorder="1" applyAlignment="1">
      <alignment horizontal="center" vertical="center"/>
    </xf>
    <xf numFmtId="0" fontId="46" fillId="2" borderId="11" xfId="0" applyFont="1" applyFill="1" applyBorder="1" applyAlignment="1">
      <alignment horizontal="center" vertical="center"/>
    </xf>
    <xf numFmtId="0" fontId="46" fillId="2" borderId="12" xfId="0" applyFont="1" applyFill="1" applyBorder="1" applyAlignment="1">
      <alignment horizontal="center" vertical="center"/>
    </xf>
    <xf numFmtId="0" fontId="46" fillId="2" borderId="13" xfId="0" applyFont="1" applyFill="1" applyBorder="1" applyAlignment="1">
      <alignment horizontal="center" vertical="center"/>
    </xf>
    <xf numFmtId="0" fontId="2" fillId="6" borderId="5" xfId="0" applyFont="1" applyFill="1" applyBorder="1" applyAlignment="1">
      <alignment horizontal="center" vertical="center"/>
    </xf>
    <xf numFmtId="0" fontId="2" fillId="6" borderId="6" xfId="0" applyFont="1" applyFill="1" applyBorder="1" applyAlignment="1">
      <alignment horizontal="center" vertical="center"/>
    </xf>
    <xf numFmtId="0" fontId="2" fillId="6" borderId="7" xfId="0" applyFont="1" applyFill="1" applyBorder="1" applyAlignment="1">
      <alignment horizontal="center" vertical="center"/>
    </xf>
    <xf numFmtId="0" fontId="0" fillId="2" borderId="1" xfId="0" applyFill="1" applyBorder="1" applyAlignment="1">
      <alignment horizontal="center" vertical="center"/>
    </xf>
    <xf numFmtId="0" fontId="11" fillId="5" borderId="11" xfId="0" applyFont="1" applyFill="1" applyBorder="1" applyAlignment="1">
      <alignment horizontal="center" vertical="center"/>
    </xf>
    <xf numFmtId="0" fontId="11" fillId="5" borderId="13" xfId="0" applyFont="1"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12" fillId="7" borderId="12" xfId="0" applyFont="1" applyFill="1" applyBorder="1" applyAlignment="1">
      <alignment horizontal="center" vertical="center"/>
    </xf>
    <xf numFmtId="0" fontId="46" fillId="0" borderId="5" xfId="0" applyFont="1" applyBorder="1" applyAlignment="1">
      <alignment horizontal="center" vertical="center" wrapText="1"/>
    </xf>
    <xf numFmtId="0" fontId="46" fillId="0" borderId="6"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9" xfId="0" applyFont="1" applyBorder="1" applyAlignment="1">
      <alignment horizontal="center" vertical="center" wrapText="1"/>
    </xf>
    <xf numFmtId="0" fontId="46" fillId="0" borderId="0" xfId="0" applyFont="1" applyAlignment="1">
      <alignment horizontal="center" vertical="center" wrapText="1"/>
    </xf>
    <xf numFmtId="0" fontId="46" fillId="0" borderId="10" xfId="0" applyFont="1" applyBorder="1" applyAlignment="1">
      <alignment horizontal="center" vertical="center" wrapText="1"/>
    </xf>
    <xf numFmtId="0" fontId="46" fillId="0" borderId="11" xfId="0" applyFont="1" applyBorder="1" applyAlignment="1">
      <alignment horizontal="center" vertical="center" wrapText="1"/>
    </xf>
    <xf numFmtId="0" fontId="46" fillId="0" borderId="12" xfId="0" applyFont="1" applyBorder="1" applyAlignment="1">
      <alignment horizontal="center" vertical="center" wrapText="1"/>
    </xf>
    <xf numFmtId="0" fontId="46" fillId="0" borderId="13" xfId="0" applyFont="1" applyBorder="1" applyAlignment="1">
      <alignment horizontal="center" vertical="center" wrapText="1"/>
    </xf>
    <xf numFmtId="0" fontId="78" fillId="0" borderId="5" xfId="1" applyFont="1" applyBorder="1" applyAlignment="1">
      <alignment horizontal="center" vertical="center"/>
    </xf>
    <xf numFmtId="0" fontId="78" fillId="0" borderId="6" xfId="1" applyFont="1" applyBorder="1" applyAlignment="1">
      <alignment horizontal="center" vertical="center"/>
    </xf>
    <xf numFmtId="0" fontId="78" fillId="0" borderId="7" xfId="1" applyFont="1" applyBorder="1" applyAlignment="1">
      <alignment horizontal="center" vertical="center"/>
    </xf>
    <xf numFmtId="0" fontId="78" fillId="0" borderId="1" xfId="1" applyFont="1" applyBorder="1" applyAlignment="1">
      <alignment horizontal="center" vertical="center"/>
    </xf>
    <xf numFmtId="0" fontId="78" fillId="0" borderId="2" xfId="1" applyFont="1" applyBorder="1" applyAlignment="1">
      <alignment horizontal="center" vertical="center"/>
    </xf>
    <xf numFmtId="0" fontId="78" fillId="0" borderId="3" xfId="1" applyFont="1" applyBorder="1" applyAlignment="1">
      <alignment horizontal="center" vertical="center"/>
    </xf>
    <xf numFmtId="0" fontId="12" fillId="6" borderId="5" xfId="0" applyFont="1" applyFill="1" applyBorder="1" applyAlignment="1">
      <alignment horizontal="center" vertical="center"/>
    </xf>
    <xf numFmtId="0" fontId="12" fillId="6" borderId="6" xfId="0" applyFont="1" applyFill="1" applyBorder="1" applyAlignment="1">
      <alignment horizontal="center" vertical="center"/>
    </xf>
    <xf numFmtId="0" fontId="12" fillId="6" borderId="7"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29" fillId="2" borderId="15" xfId="0" applyFont="1" applyFill="1" applyBorder="1" applyAlignment="1">
      <alignment horizontal="center" vertical="center"/>
    </xf>
    <xf numFmtId="0" fontId="29" fillId="2" borderId="14" xfId="0" applyFont="1" applyFill="1" applyBorder="1" applyAlignment="1">
      <alignment horizontal="center" vertical="center"/>
    </xf>
    <xf numFmtId="0" fontId="2" fillId="4" borderId="15" xfId="0" applyFont="1" applyFill="1" applyBorder="1" applyAlignment="1">
      <alignment horizontal="center" vertical="center"/>
    </xf>
    <xf numFmtId="0" fontId="2" fillId="4" borderId="14" xfId="0" applyFont="1" applyFill="1" applyBorder="1" applyAlignment="1">
      <alignment horizontal="center" vertical="center"/>
    </xf>
    <xf numFmtId="0" fontId="13" fillId="0" borderId="15" xfId="0" applyFont="1" applyBorder="1" applyAlignment="1">
      <alignment horizontal="center" vertical="center" wrapText="1"/>
    </xf>
    <xf numFmtId="0" fontId="13" fillId="0" borderId="14" xfId="0" applyFont="1" applyBorder="1" applyAlignment="1">
      <alignment horizontal="center" vertical="center" wrapText="1"/>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2" fillId="0" borderId="0" xfId="0" applyFont="1" applyAlignment="1">
      <alignment horizontal="center" vertical="center"/>
    </xf>
    <xf numFmtId="0" fontId="37" fillId="2" borderId="0" xfId="0" applyFont="1" applyFill="1" applyAlignment="1">
      <alignment horizontal="center" vertical="center"/>
    </xf>
    <xf numFmtId="0" fontId="58" fillId="6" borderId="1" xfId="0" applyFont="1" applyFill="1" applyBorder="1" applyAlignment="1">
      <alignment horizontal="center" vertical="center"/>
    </xf>
    <xf numFmtId="0" fontId="58" fillId="6" borderId="2" xfId="0" applyFont="1" applyFill="1" applyBorder="1" applyAlignment="1">
      <alignment horizontal="center" vertical="center"/>
    </xf>
    <xf numFmtId="0" fontId="58" fillId="6" borderId="3" xfId="0" applyFont="1" applyFill="1" applyBorder="1" applyAlignment="1">
      <alignment horizontal="center" vertical="center"/>
    </xf>
    <xf numFmtId="0" fontId="11" fillId="2" borderId="2" xfId="0" applyFont="1" applyFill="1" applyBorder="1" applyAlignment="1">
      <alignment horizontal="center" vertical="center"/>
    </xf>
    <xf numFmtId="0" fontId="37" fillId="2" borderId="1" xfId="0" applyFont="1" applyFill="1" applyBorder="1" applyAlignment="1">
      <alignment horizontal="center" vertical="center"/>
    </xf>
    <xf numFmtId="0" fontId="37" fillId="2" borderId="2" xfId="0" applyFont="1" applyFill="1" applyBorder="1" applyAlignment="1">
      <alignment horizontal="center" vertical="center"/>
    </xf>
    <xf numFmtId="0" fontId="37" fillId="2" borderId="3" xfId="0" applyFont="1" applyFill="1" applyBorder="1" applyAlignment="1">
      <alignment horizontal="center" vertical="center"/>
    </xf>
    <xf numFmtId="0" fontId="80" fillId="2" borderId="0" xfId="0" applyFont="1" applyFill="1" applyAlignment="1">
      <alignment horizontal="center" vertical="center"/>
    </xf>
    <xf numFmtId="0" fontId="0" fillId="0" borderId="5"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2" borderId="12" xfId="0" applyFill="1" applyBorder="1" applyAlignment="1">
      <alignment horizontal="center" vertical="center"/>
    </xf>
    <xf numFmtId="0" fontId="2" fillId="0" borderId="12" xfId="0" applyFont="1" applyBorder="1" applyAlignment="1">
      <alignment horizontal="center" vertical="center"/>
    </xf>
    <xf numFmtId="0" fontId="12" fillId="6" borderId="15" xfId="0" applyFont="1" applyFill="1" applyBorder="1" applyAlignment="1">
      <alignment horizontal="center" vertical="center"/>
    </xf>
    <xf numFmtId="0" fontId="65" fillId="0" borderId="6" xfId="11" applyBorder="1" applyAlignment="1">
      <alignment horizontal="center" vertical="center"/>
    </xf>
    <xf numFmtId="0" fontId="65" fillId="0" borderId="7" xfId="11" applyBorder="1" applyAlignment="1">
      <alignment horizontal="center" vertical="center"/>
    </xf>
    <xf numFmtId="0" fontId="12" fillId="6" borderId="4" xfId="0" applyFont="1" applyFill="1" applyBorder="1" applyAlignment="1">
      <alignment horizontal="center" vertical="center"/>
    </xf>
    <xf numFmtId="0" fontId="24" fillId="2" borderId="6" xfId="0" applyFont="1" applyFill="1" applyBorder="1" applyAlignment="1">
      <alignment horizontal="center" vertical="center"/>
    </xf>
    <xf numFmtId="0" fontId="24" fillId="2" borderId="7" xfId="0" applyFont="1" applyFill="1" applyBorder="1" applyAlignment="1">
      <alignment horizontal="center" vertical="center"/>
    </xf>
    <xf numFmtId="0" fontId="0" fillId="2" borderId="8" xfId="0" applyFill="1" applyBorder="1" applyAlignment="1">
      <alignment horizontal="center"/>
    </xf>
    <xf numFmtId="0" fontId="11" fillId="4" borderId="15" xfId="0" applyFont="1" applyFill="1" applyBorder="1" applyAlignment="1">
      <alignment horizontal="center" vertical="center"/>
    </xf>
    <xf numFmtId="0" fontId="11" fillId="4" borderId="14" xfId="0" applyFont="1" applyFill="1" applyBorder="1" applyAlignment="1">
      <alignment horizontal="center" vertical="center"/>
    </xf>
    <xf numFmtId="0" fontId="13" fillId="0" borderId="15" xfId="0" applyFont="1" applyBorder="1" applyAlignment="1">
      <alignment horizontal="center" vertical="center"/>
    </xf>
    <xf numFmtId="0" fontId="13" fillId="0" borderId="14" xfId="0" applyFont="1" applyBorder="1" applyAlignment="1">
      <alignment horizontal="center" vertical="center"/>
    </xf>
    <xf numFmtId="0" fontId="11" fillId="6" borderId="5" xfId="0" applyFont="1" applyFill="1" applyBorder="1" applyAlignment="1">
      <alignment horizontal="center" vertical="center"/>
    </xf>
    <xf numFmtId="0" fontId="11" fillId="6" borderId="7" xfId="0" applyFont="1" applyFill="1" applyBorder="1" applyAlignment="1">
      <alignment horizontal="center" vertical="center"/>
    </xf>
    <xf numFmtId="0" fontId="24" fillId="2" borderId="0" xfId="0" applyFont="1" applyFill="1" applyAlignment="1">
      <alignment horizontal="center" vertical="center"/>
    </xf>
    <xf numFmtId="0" fontId="24" fillId="2" borderId="10" xfId="0" applyFont="1" applyFill="1" applyBorder="1" applyAlignment="1">
      <alignment horizontal="center" vertical="center"/>
    </xf>
    <xf numFmtId="0" fontId="12" fillId="6" borderId="2" xfId="0" applyFont="1" applyFill="1" applyBorder="1" applyAlignment="1">
      <alignment horizontal="center" vertical="center"/>
    </xf>
    <xf numFmtId="0" fontId="14" fillId="0" borderId="1" xfId="0" applyFont="1" applyBorder="1" applyAlignment="1">
      <alignment horizontal="center" vertical="center"/>
    </xf>
    <xf numFmtId="0" fontId="14" fillId="0" borderId="2" xfId="0" applyFont="1" applyBorder="1" applyAlignment="1">
      <alignment horizontal="center" vertical="center"/>
    </xf>
    <xf numFmtId="0" fontId="26" fillId="7" borderId="1" xfId="0" applyFont="1" applyFill="1" applyBorder="1" applyAlignment="1">
      <alignment horizontal="center" vertical="center"/>
    </xf>
    <xf numFmtId="0" fontId="26" fillId="7" borderId="3" xfId="0" applyFont="1" applyFill="1" applyBorder="1" applyAlignment="1">
      <alignment horizontal="center" vertical="center"/>
    </xf>
    <xf numFmtId="0" fontId="69" fillId="2" borderId="4" xfId="0" applyFont="1" applyFill="1" applyBorder="1" applyAlignment="1">
      <alignment horizontal="center" vertical="center"/>
    </xf>
    <xf numFmtId="0" fontId="12" fillId="7" borderId="5" xfId="0" applyFont="1" applyFill="1" applyBorder="1" applyAlignment="1">
      <alignment horizontal="center" vertical="center"/>
    </xf>
    <xf numFmtId="0" fontId="12" fillId="7" borderId="6" xfId="0" applyFont="1" applyFill="1" applyBorder="1" applyAlignment="1">
      <alignment horizontal="center" vertical="center"/>
    </xf>
    <xf numFmtId="0" fontId="12" fillId="7" borderId="7" xfId="0" applyFont="1" applyFill="1" applyBorder="1" applyAlignment="1">
      <alignment horizontal="center" vertical="center"/>
    </xf>
    <xf numFmtId="0" fontId="29" fillId="2" borderId="5" xfId="0" applyFont="1" applyFill="1" applyBorder="1" applyAlignment="1">
      <alignment horizontal="center" vertical="center"/>
    </xf>
    <xf numFmtId="0" fontId="29" fillId="2" borderId="7" xfId="0" applyFont="1" applyFill="1" applyBorder="1" applyAlignment="1">
      <alignment horizontal="center" vertical="center"/>
    </xf>
    <xf numFmtId="0" fontId="29" fillId="2" borderId="11" xfId="0" applyFont="1" applyFill="1" applyBorder="1" applyAlignment="1">
      <alignment horizontal="center" vertical="center"/>
    </xf>
    <xf numFmtId="0" fontId="29" fillId="2" borderId="13" xfId="0" applyFont="1" applyFill="1" applyBorder="1" applyAlignment="1">
      <alignment horizontal="center" vertical="center"/>
    </xf>
    <xf numFmtId="0" fontId="29" fillId="2" borderId="9" xfId="0" applyFont="1" applyFill="1" applyBorder="1" applyAlignment="1">
      <alignment horizontal="center" vertical="center"/>
    </xf>
    <xf numFmtId="0" fontId="29" fillId="2" borderId="10" xfId="0" applyFont="1" applyFill="1" applyBorder="1" applyAlignment="1">
      <alignment horizontal="center" vertical="center"/>
    </xf>
    <xf numFmtId="0" fontId="29" fillId="2" borderId="6" xfId="0" applyFont="1" applyFill="1" applyBorder="1" applyAlignment="1">
      <alignment horizontal="center" vertical="center"/>
    </xf>
    <xf numFmtId="0" fontId="29" fillId="2" borderId="12" xfId="0" applyFont="1" applyFill="1" applyBorder="1" applyAlignment="1">
      <alignment horizontal="center" vertical="center"/>
    </xf>
    <xf numFmtId="0" fontId="12" fillId="6" borderId="5" xfId="6" applyFont="1" applyFill="1" applyBorder="1" applyAlignment="1">
      <alignment horizontal="center" vertical="center"/>
    </xf>
    <xf numFmtId="0" fontId="12" fillId="6" borderId="7" xfId="6" applyFont="1" applyFill="1" applyBorder="1" applyAlignment="1">
      <alignment horizontal="center" vertical="center"/>
    </xf>
    <xf numFmtId="0" fontId="12" fillId="8" borderId="1" xfId="6" applyFont="1" applyFill="1" applyBorder="1" applyAlignment="1">
      <alignment horizontal="center" vertical="center"/>
    </xf>
    <xf numFmtId="0" fontId="12" fillId="8" borderId="2" xfId="6" applyFont="1" applyFill="1" applyBorder="1" applyAlignment="1">
      <alignment horizontal="center" vertical="center"/>
    </xf>
    <xf numFmtId="0" fontId="12" fillId="8" borderId="3" xfId="6" applyFont="1" applyFill="1" applyBorder="1" applyAlignment="1">
      <alignment horizontal="center" vertical="center"/>
    </xf>
    <xf numFmtId="0" fontId="38" fillId="2" borderId="1" xfId="0" applyFont="1" applyFill="1" applyBorder="1" applyAlignment="1">
      <alignment horizontal="center" vertical="center"/>
    </xf>
    <xf numFmtId="0" fontId="38" fillId="2" borderId="3" xfId="0" applyFont="1" applyFill="1" applyBorder="1" applyAlignment="1">
      <alignment horizontal="center" vertical="center"/>
    </xf>
    <xf numFmtId="0" fontId="68" fillId="2" borderId="1" xfId="0" applyFont="1" applyFill="1" applyBorder="1" applyAlignment="1">
      <alignment horizontal="center" vertical="center"/>
    </xf>
    <xf numFmtId="0" fontId="68" fillId="2" borderId="2" xfId="0" applyFont="1" applyFill="1" applyBorder="1" applyAlignment="1">
      <alignment horizontal="center" vertical="center"/>
    </xf>
    <xf numFmtId="0" fontId="68" fillId="2" borderId="3" xfId="0" applyFont="1" applyFill="1" applyBorder="1" applyAlignment="1">
      <alignment horizontal="center" vertical="center"/>
    </xf>
    <xf numFmtId="0" fontId="12" fillId="8" borderId="7" xfId="0" applyFont="1" applyFill="1" applyBorder="1" applyAlignment="1">
      <alignment horizontal="center" vertical="center"/>
    </xf>
    <xf numFmtId="0" fontId="16" fillId="5" borderId="4" xfId="6" applyFill="1" applyBorder="1" applyAlignment="1">
      <alignment horizontal="center" vertical="center"/>
    </xf>
    <xf numFmtId="0" fontId="13" fillId="5" borderId="1" xfId="6" applyFont="1" applyFill="1" applyBorder="1" applyAlignment="1">
      <alignment horizontal="center" vertical="center"/>
    </xf>
    <xf numFmtId="0" fontId="13" fillId="5" borderId="3" xfId="6" applyFont="1" applyFill="1" applyBorder="1" applyAlignment="1">
      <alignment horizontal="center" vertical="center"/>
    </xf>
    <xf numFmtId="0" fontId="11" fillId="4" borderId="4" xfId="6" applyFont="1" applyFill="1" applyBorder="1" applyAlignment="1">
      <alignment horizontal="center" vertical="center"/>
    </xf>
    <xf numFmtId="0" fontId="16" fillId="3" borderId="4" xfId="6" applyFill="1" applyBorder="1" applyAlignment="1">
      <alignment horizontal="center" vertical="center"/>
    </xf>
    <xf numFmtId="0" fontId="0" fillId="5" borderId="4" xfId="6" applyFont="1" applyFill="1" applyBorder="1" applyAlignment="1">
      <alignment horizontal="center" vertical="center"/>
    </xf>
    <xf numFmtId="0" fontId="13" fillId="5" borderId="1" xfId="0" applyFont="1" applyFill="1" applyBorder="1" applyAlignment="1">
      <alignment horizontal="center" vertical="center"/>
    </xf>
    <xf numFmtId="0" fontId="13" fillId="5" borderId="3" xfId="0"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0" fillId="3" borderId="4" xfId="0" applyFill="1" applyBorder="1" applyAlignment="1">
      <alignment horizontal="center" vertical="center"/>
    </xf>
    <xf numFmtId="0" fontId="16" fillId="4" borderId="4" xfId="6" applyFill="1" applyBorder="1" applyAlignment="1">
      <alignment horizontal="center" vertical="center"/>
    </xf>
    <xf numFmtId="0" fontId="12" fillId="2" borderId="1" xfId="0" applyFont="1" applyFill="1" applyBorder="1" applyAlignment="1">
      <alignment horizontal="center" vertical="center"/>
    </xf>
    <xf numFmtId="0" fontId="12" fillId="2" borderId="3" xfId="0" applyFont="1" applyFill="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2" fillId="8" borderId="4" xfId="6" applyFont="1" applyFill="1" applyBorder="1" applyAlignment="1">
      <alignment horizontal="center" vertical="center"/>
    </xf>
    <xf numFmtId="0" fontId="0" fillId="2" borderId="0" xfId="0" applyFill="1" applyAlignment="1">
      <alignment horizontal="center"/>
    </xf>
    <xf numFmtId="0" fontId="11" fillId="5" borderId="1" xfId="0" applyFont="1" applyFill="1" applyBorder="1" applyAlignment="1">
      <alignment horizontal="center" vertical="center"/>
    </xf>
    <xf numFmtId="0" fontId="11" fillId="5" borderId="3" xfId="0" applyFont="1" applyFill="1" applyBorder="1" applyAlignment="1">
      <alignment horizontal="center" vertical="center"/>
    </xf>
    <xf numFmtId="0" fontId="29" fillId="2" borderId="1" xfId="0" applyFont="1" applyFill="1" applyBorder="1" applyAlignment="1">
      <alignment horizontal="center" vertical="center"/>
    </xf>
    <xf numFmtId="0" fontId="29" fillId="2" borderId="3" xfId="0" applyFont="1" applyFill="1" applyBorder="1" applyAlignment="1">
      <alignment horizontal="center" vertical="center"/>
    </xf>
    <xf numFmtId="0" fontId="11" fillId="2" borderId="15" xfId="0" applyFont="1" applyFill="1" applyBorder="1" applyAlignment="1">
      <alignment horizontal="center" vertical="center" wrapText="1"/>
    </xf>
    <xf numFmtId="0" fontId="11" fillId="2" borderId="14" xfId="0" applyFont="1" applyFill="1" applyBorder="1" applyAlignment="1">
      <alignment horizontal="center" vertical="center" wrapText="1"/>
    </xf>
    <xf numFmtId="0" fontId="12" fillId="0" borderId="2" xfId="0" applyFont="1" applyBorder="1" applyAlignment="1">
      <alignment horizontal="center" vertical="center"/>
    </xf>
    <xf numFmtId="0" fontId="12" fillId="7" borderId="4" xfId="0" applyFont="1" applyFill="1" applyBorder="1" applyAlignment="1">
      <alignment horizontal="center" vertical="center"/>
    </xf>
    <xf numFmtId="0" fontId="12" fillId="7" borderId="15" xfId="0" applyFont="1" applyFill="1" applyBorder="1" applyAlignment="1">
      <alignment horizontal="center" vertical="center"/>
    </xf>
    <xf numFmtId="0" fontId="29" fillId="2" borderId="8" xfId="0" applyFont="1" applyFill="1" applyBorder="1" applyAlignment="1">
      <alignment horizontal="center" vertical="center"/>
    </xf>
    <xf numFmtId="0" fontId="12" fillId="2" borderId="5" xfId="0" applyFont="1" applyFill="1" applyBorder="1" applyAlignment="1">
      <alignment horizontal="center" vertical="center"/>
    </xf>
    <xf numFmtId="0" fontId="12" fillId="2" borderId="6" xfId="0" applyFont="1" applyFill="1" applyBorder="1" applyAlignment="1">
      <alignment horizontal="center" vertical="center"/>
    </xf>
    <xf numFmtId="0" fontId="12" fillId="2" borderId="7" xfId="0" applyFont="1" applyFill="1" applyBorder="1" applyAlignment="1">
      <alignment horizontal="center"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0" fontId="12" fillId="2" borderId="13" xfId="0" applyFont="1" applyFill="1" applyBorder="1" applyAlignment="1">
      <alignment horizontal="center" vertical="center"/>
    </xf>
    <xf numFmtId="0" fontId="12" fillId="0" borderId="9" xfId="0" applyFont="1" applyBorder="1" applyAlignment="1">
      <alignment horizontal="center" vertical="center"/>
    </xf>
    <xf numFmtId="0" fontId="12" fillId="0" borderId="0" xfId="0" applyFont="1" applyAlignment="1">
      <alignment horizontal="center" vertical="center"/>
    </xf>
    <xf numFmtId="0" fontId="12" fillId="0" borderId="10" xfId="0" applyFont="1" applyBorder="1" applyAlignment="1">
      <alignment horizontal="center" vertical="center"/>
    </xf>
    <xf numFmtId="165" fontId="0" fillId="0" borderId="15" xfId="0" applyNumberFormat="1" applyBorder="1" applyAlignment="1">
      <alignment horizontal="center" vertical="center"/>
    </xf>
    <xf numFmtId="165" fontId="0" fillId="0" borderId="14" xfId="0" applyNumberFormat="1" applyBorder="1" applyAlignment="1">
      <alignment horizontal="center" vertical="center"/>
    </xf>
    <xf numFmtId="0" fontId="2" fillId="2" borderId="0" xfId="0" applyFont="1" applyFill="1" applyAlignment="1">
      <alignment horizontal="center"/>
    </xf>
    <xf numFmtId="0" fontId="0" fillId="2" borderId="2" xfId="0" applyFill="1" applyBorder="1" applyAlignment="1">
      <alignment horizontal="center"/>
    </xf>
    <xf numFmtId="0" fontId="12" fillId="0" borderId="1" xfId="0" applyFont="1" applyBorder="1" applyAlignment="1">
      <alignment horizontal="center"/>
    </xf>
    <xf numFmtId="0" fontId="12"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2" fillId="2" borderId="4" xfId="0" applyFont="1" applyFill="1" applyBorder="1" applyAlignment="1">
      <alignment horizontal="center" vertical="center"/>
    </xf>
    <xf numFmtId="0" fontId="14" fillId="6" borderId="1" xfId="0" applyFont="1" applyFill="1" applyBorder="1" applyAlignment="1">
      <alignment horizontal="center" vertical="center"/>
    </xf>
    <xf numFmtId="0" fontId="14" fillId="6" borderId="2" xfId="0" applyFont="1" applyFill="1" applyBorder="1" applyAlignment="1">
      <alignment horizontal="center" vertical="center"/>
    </xf>
    <xf numFmtId="0" fontId="14" fillId="6" borderId="3" xfId="0" applyFont="1" applyFill="1" applyBorder="1" applyAlignment="1">
      <alignment horizontal="center" vertical="center"/>
    </xf>
    <xf numFmtId="0" fontId="11" fillId="0" borderId="8" xfId="0" applyFont="1" applyBorder="1" applyAlignment="1">
      <alignment horizontal="center" vertical="center"/>
    </xf>
    <xf numFmtId="0" fontId="11" fillId="0" borderId="5" xfId="0" applyFont="1" applyBorder="1" applyAlignment="1">
      <alignment horizontal="center" vertical="center"/>
    </xf>
    <xf numFmtId="0" fontId="11" fillId="0" borderId="9" xfId="0" applyFont="1" applyBorder="1" applyAlignment="1">
      <alignment horizontal="center" vertical="center"/>
    </xf>
    <xf numFmtId="0" fontId="11" fillId="0" borderId="11" xfId="0" applyFont="1" applyBorder="1" applyAlignment="1">
      <alignment horizontal="center" vertical="center"/>
    </xf>
    <xf numFmtId="0" fontId="12" fillId="0" borderId="15" xfId="0" applyFont="1" applyBorder="1" applyAlignment="1">
      <alignment horizontal="center" vertical="center"/>
    </xf>
    <xf numFmtId="0" fontId="12" fillId="0" borderId="8" xfId="0" applyFont="1" applyBorder="1" applyAlignment="1">
      <alignment horizontal="center" vertical="center"/>
    </xf>
    <xf numFmtId="0" fontId="12" fillId="0" borderId="14" xfId="0" applyFont="1" applyBorder="1" applyAlignment="1">
      <alignment horizontal="center" vertical="center"/>
    </xf>
    <xf numFmtId="0" fontId="11" fillId="0" borderId="5" xfId="0" applyFont="1" applyBorder="1" applyAlignment="1">
      <alignment horizontal="center" vertical="center" wrapText="1"/>
    </xf>
    <xf numFmtId="0" fontId="11" fillId="0" borderId="9" xfId="0" applyFont="1" applyBorder="1" applyAlignment="1">
      <alignment horizontal="center" vertical="center" wrapText="1"/>
    </xf>
    <xf numFmtId="0" fontId="11" fillId="0" borderId="11" xfId="0" applyFont="1" applyBorder="1" applyAlignment="1">
      <alignment horizontal="center" vertical="center" wrapText="1"/>
    </xf>
    <xf numFmtId="0" fontId="12" fillId="6" borderId="1" xfId="0" applyFont="1" applyFill="1" applyBorder="1" applyAlignment="1">
      <alignment horizontal="center" vertical="center"/>
    </xf>
    <xf numFmtId="0" fontId="12" fillId="6" borderId="3" xfId="0" applyFont="1" applyFill="1" applyBorder="1" applyAlignment="1">
      <alignment horizontal="center" vertical="center"/>
    </xf>
    <xf numFmtId="0" fontId="75" fillId="0" borderId="0" xfId="0" applyFont="1" applyAlignment="1">
      <alignment horizontal="center" vertical="center"/>
    </xf>
    <xf numFmtId="0" fontId="74" fillId="0" borderId="0" xfId="0" applyFont="1" applyAlignment="1">
      <alignment horizontal="center" vertical="center"/>
    </xf>
    <xf numFmtId="0" fontId="0" fillId="0" borderId="0" xfId="0" applyNumberFormat="1" applyAlignment="1">
      <alignment horizontal="center" vertical="center"/>
    </xf>
    <xf numFmtId="0" fontId="0" fillId="0" borderId="0" xfId="8" applyNumberFormat="1" applyFont="1" applyFill="1" applyBorder="1" applyAlignment="1">
      <alignment horizontal="center" vertical="center"/>
    </xf>
    <xf numFmtId="9" fontId="24" fillId="2" borderId="0" xfId="0" applyNumberFormat="1" applyFont="1" applyFill="1" applyAlignment="1">
      <alignment horizontal="center"/>
    </xf>
    <xf numFmtId="9" fontId="24" fillId="2" borderId="0" xfId="8" applyFont="1" applyFill="1" applyBorder="1" applyAlignment="1">
      <alignment horizontal="center"/>
    </xf>
    <xf numFmtId="0" fontId="0" fillId="0" borderId="0" xfId="0" applyNumberFormat="1" applyFont="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432">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5"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5"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alignment horizontal="center" vertical="center" textRotation="0" wrapText="0" indent="0" justifyLastLine="0" shrinkToFit="0" readingOrder="0"/>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165" formatCode="0.0"/>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5"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5"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5"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5"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5"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5"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5"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5"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5"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alcChain" Target="calcChain.xml"/><Relationship Id="rId35" Type="http://schemas.microsoft.com/office/2006/relationships/vbaProject" Target="vbaProject.bin"/><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7.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11.xml.rels><?xml version="1.0" encoding="UTF-8" standalone="yes"?>
<Relationships xmlns="http://schemas.openxmlformats.org/package/2006/relationships"><Relationship Id="rId1" Type="http://schemas.openxmlformats.org/officeDocument/2006/relationships/themeOverride" Target="../theme/themeOverride9.xml"/></Relationships>
</file>

<file path=xl/charts/_rels/chart12.xml.rels><?xml version="1.0" encoding="UTF-8" standalone="yes"?>
<Relationships xmlns="http://schemas.openxmlformats.org/package/2006/relationships"><Relationship Id="rId3" Type="http://schemas.openxmlformats.org/officeDocument/2006/relationships/themeOverride" Target="../theme/themeOverride10.xml"/><Relationship Id="rId2" Type="http://schemas.microsoft.com/office/2011/relationships/chartColorStyle" Target="colors7.xml"/><Relationship Id="rId1" Type="http://schemas.microsoft.com/office/2011/relationships/chartStyle" Target="style7.xml"/></Relationships>
</file>

<file path=xl/charts/_rels/chart13.xml.rels><?xml version="1.0" encoding="UTF-8" standalone="yes"?>
<Relationships xmlns="http://schemas.openxmlformats.org/package/2006/relationships"><Relationship Id="rId1" Type="http://schemas.openxmlformats.org/officeDocument/2006/relationships/themeOverride" Target="../theme/themeOverride11.xml"/></Relationships>
</file>

<file path=xl/charts/_rels/chart1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5.xml.rels><?xml version="1.0" encoding="UTF-8" standalone="yes"?>
<Relationships xmlns="http://schemas.openxmlformats.org/package/2006/relationships"><Relationship Id="rId1" Type="http://schemas.openxmlformats.org/officeDocument/2006/relationships/themeOverride" Target="../theme/themeOverride12.xml"/></Relationships>
</file>

<file path=xl/charts/_rels/chart1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7.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9.xml.rels><?xml version="1.0" encoding="UTF-8" standalone="yes"?>
<Relationships xmlns="http://schemas.openxmlformats.org/package/2006/relationships"><Relationship Id="rId1" Type="http://schemas.openxmlformats.org/officeDocument/2006/relationships/themeOverride" Target="../theme/themeOverride13.xml"/></Relationships>
</file>

<file path=xl/charts/_rels/chart2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2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14.xml"/><Relationship Id="rId2" Type="http://schemas.microsoft.com/office/2011/relationships/chartColorStyle" Target="colors15.xml"/><Relationship Id="rId1" Type="http://schemas.microsoft.com/office/2011/relationships/chartStyle" Target="style15.xml"/></Relationships>
</file>

<file path=xl/charts/_rels/chart26.xml.rels><?xml version="1.0" encoding="UTF-8" standalone="yes"?>
<Relationships xmlns="http://schemas.openxmlformats.org/package/2006/relationships"><Relationship Id="rId3" Type="http://schemas.openxmlformats.org/officeDocument/2006/relationships/themeOverride" Target="../theme/themeOverride15.xml"/><Relationship Id="rId2" Type="http://schemas.microsoft.com/office/2011/relationships/chartColorStyle" Target="colors16.xml"/><Relationship Id="rId1" Type="http://schemas.microsoft.com/office/2011/relationships/chartStyle" Target="style16.xml"/></Relationships>
</file>

<file path=xl/charts/_rels/chart27.xml.rels><?xml version="1.0" encoding="UTF-8" standalone="yes"?>
<Relationships xmlns="http://schemas.openxmlformats.org/package/2006/relationships"><Relationship Id="rId3" Type="http://schemas.openxmlformats.org/officeDocument/2006/relationships/themeOverride" Target="../theme/themeOverride16.xml"/><Relationship Id="rId2" Type="http://schemas.microsoft.com/office/2011/relationships/chartColorStyle" Target="colors17.xml"/><Relationship Id="rId1" Type="http://schemas.microsoft.com/office/2011/relationships/chartStyle" Target="style17.xml"/></Relationships>
</file>

<file path=xl/charts/_rels/chart28.xml.rels><?xml version="1.0" encoding="UTF-8" standalone="yes"?>
<Relationships xmlns="http://schemas.openxmlformats.org/package/2006/relationships"><Relationship Id="rId3" Type="http://schemas.openxmlformats.org/officeDocument/2006/relationships/themeOverride" Target="../theme/themeOverride17.xml"/><Relationship Id="rId2" Type="http://schemas.microsoft.com/office/2011/relationships/chartColorStyle" Target="colors18.xml"/><Relationship Id="rId1" Type="http://schemas.microsoft.com/office/2011/relationships/chartStyle" Target="style18.xml"/></Relationships>
</file>

<file path=xl/charts/_rels/chart2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3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3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3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Ex1.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3" Type="http://schemas.openxmlformats.org/officeDocument/2006/relationships/themeOverride" Target="../theme/themeOverride8.xml"/><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'Unit-100 - GSR Island'!$E$6</c:f>
              <c:strCache>
                <c:ptCount val="1"/>
                <c:pt idx="0">
                  <c:v>GSR Island</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('Unit-100 - GSR Island'!$C$13:$C$14,'Unit-100 - GSR Island'!$C$46:$C$49)</c:f>
              <c:strCache>
                <c:ptCount val="6"/>
                <c:pt idx="0">
                  <c:v>R-102r</c:v>
                </c:pt>
                <c:pt idx="1">
                  <c:v>R-102s</c:v>
                </c:pt>
                <c:pt idx="2">
                  <c:v>INS</c:v>
                </c:pt>
                <c:pt idx="3">
                  <c:v>GSV</c:v>
                </c:pt>
                <c:pt idx="4">
                  <c:v>ROD</c:v>
                </c:pt>
                <c:pt idx="5">
                  <c:v>OC</c:v>
                </c:pt>
              </c:strCache>
            </c:strRef>
          </c:cat>
          <c:val>
            <c:numRef>
              <c:f>('Unit-100 - GSR Island'!$T$13:$T$14,'Unit-100 - GSR Island'!$T$46:$T$49)</c:f>
              <c:numCache>
                <c:formatCode>General</c:formatCode>
                <c:ptCount val="6"/>
                <c:pt idx="0">
                  <c:v>19.321919873806856</c:v>
                </c:pt>
                <c:pt idx="1">
                  <c:v>3.5338184513411299</c:v>
                </c:pt>
                <c:pt idx="2" formatCode="0.00">
                  <c:v>0.29651622506881992</c:v>
                </c:pt>
                <c:pt idx="3" formatCode="0.00">
                  <c:v>6.3728157677593202</c:v>
                </c:pt>
                <c:pt idx="4" formatCode="0.00">
                  <c:v>4.7350766266447275</c:v>
                </c:pt>
                <c:pt idx="5" formatCode="0.00">
                  <c:v>7.275128559740387</c:v>
                </c:pt>
              </c:numCache>
            </c:numRef>
          </c:val>
          <c:extLst>
            <c:ext xmlns:c16="http://schemas.microsoft.com/office/drawing/2014/chart" uri="{C3380CC4-5D6E-409C-BE32-E72D297353CC}">
              <c16:uniqueId val="{00000000-E34D-4A6B-BF77-B06776705BEF}"/>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 WGS'!$E$6</c:f>
              <c:strCache>
                <c:ptCount val="1"/>
                <c:pt idx="0">
                  <c:v>WGS</c:v>
                </c:pt>
              </c:strCache>
            </c:strRef>
          </c:tx>
          <c:cat>
            <c:strRef>
              <c:f>('Unit-200 WGS'!$C$13:$C$43,'Unit-200 WGS'!$C$46:$C$50)</c:f>
              <c:strCache>
                <c:ptCount val="35"/>
                <c:pt idx="0">
                  <c:v>E-201</c:v>
                </c:pt>
                <c:pt idx="1">
                  <c:v>E-202</c:v>
                </c:pt>
                <c:pt idx="2">
                  <c:v>E-203</c:v>
                </c:pt>
                <c:pt idx="3">
                  <c:v>E-204</c:v>
                </c:pt>
                <c:pt idx="4">
                  <c:v>R-201s</c:v>
                </c:pt>
                <c:pt idx="5">
                  <c:v>R-202r</c:v>
                </c:pt>
                <c:pt idx="6">
                  <c:v>V-201</c:v>
                </c:pt>
                <c:pt idx="10">
                  <c:v>C-201</c:v>
                </c:pt>
                <c:pt idx="11">
                  <c:v>R-202r</c:v>
                </c:pt>
                <c:pt idx="12">
                  <c:v>R-201s</c:v>
                </c:pt>
                <c:pt idx="31">
                  <c:v>CAT1</c:v>
                </c:pt>
                <c:pt idx="32">
                  <c:v>CAT 2</c:v>
                </c:pt>
                <c:pt idx="33">
                  <c:v>INS1</c:v>
                </c:pt>
                <c:pt idx="34">
                  <c:v>INS 2</c:v>
                </c:pt>
              </c:strCache>
            </c:strRef>
          </c:cat>
          <c:val>
            <c:numRef>
              <c:f>('Unit-200 WGS'!$T$13:$T$44,'Unit-200 WGS'!$T$46:$T$50)</c:f>
              <c:numCache>
                <c:formatCode>General</c:formatCode>
                <c:ptCount val="37"/>
                <c:pt idx="0">
                  <c:v>0.78111592122189166</c:v>
                </c:pt>
                <c:pt idx="1">
                  <c:v>3.4123050499760788</c:v>
                </c:pt>
                <c:pt idx="2">
                  <c:v>1.8001104835498196</c:v>
                </c:pt>
                <c:pt idx="3">
                  <c:v>1.4043212478683162</c:v>
                </c:pt>
                <c:pt idx="4">
                  <c:v>4.7324341398325167</c:v>
                </c:pt>
                <c:pt idx="5">
                  <c:v>2.0988010541325015</c:v>
                </c:pt>
                <c:pt idx="6">
                  <c:v>5.9136787694258857</c:v>
                </c:pt>
                <c:pt idx="7">
                  <c:v>0</c:v>
                </c:pt>
                <c:pt idx="8">
                  <c:v>0</c:v>
                </c:pt>
                <c:pt idx="9">
                  <c:v>0</c:v>
                </c:pt>
                <c:pt idx="10">
                  <c:v>1.9975632352374006</c:v>
                </c:pt>
                <c:pt idx="11">
                  <c:v>0.4991288904027833</c:v>
                </c:pt>
                <c:pt idx="12">
                  <c:v>0.96742260780732525</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F249-40F8-94D2-3A5099DEFDD5}"/>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'Unit-300 N2 Purification'!$E$6</c:f>
              <c:strCache>
                <c:ptCount val="1"/>
                <c:pt idx="0">
                  <c:v>N2 Purification</c:v>
                </c:pt>
              </c:strCache>
            </c:strRef>
          </c:tx>
          <c:cat>
            <c:strRef>
              <c:f>('Unit-300 N2 Purification'!$C$13:$C$43,'Unit-300 N2 Purification'!$C$46:$C$50)</c:f>
              <c:strCache>
                <c:ptCount val="7"/>
                <c:pt idx="0">
                  <c:v>E-301</c:v>
                </c:pt>
                <c:pt idx="1">
                  <c:v>E-302</c:v>
                </c:pt>
                <c:pt idx="2">
                  <c:v>C-301</c:v>
                </c:pt>
                <c:pt idx="3">
                  <c:v>C-302</c:v>
                </c:pt>
                <c:pt idx="4">
                  <c:v>K-301</c:v>
                </c:pt>
                <c:pt idx="5">
                  <c:v>D-301</c:v>
                </c:pt>
                <c:pt idx="6">
                  <c:v>S-301</c:v>
                </c:pt>
              </c:strCache>
            </c:strRef>
          </c:cat>
          <c:val>
            <c:numRef>
              <c:f>('Unit-300 N2 Purification'!$T$13:$T$43,'Unit-300 N2 Purification'!$T$46:$T$50)</c:f>
              <c:numCache>
                <c:formatCode>General</c:formatCode>
                <c:ptCount val="36"/>
                <c:pt idx="0">
                  <c:v>0.15689486457007903</c:v>
                </c:pt>
                <c:pt idx="1">
                  <c:v>0.21978455334633368</c:v>
                </c:pt>
                <c:pt idx="2">
                  <c:v>0.2666450061520631</c:v>
                </c:pt>
                <c:pt idx="3">
                  <c:v>0.16528084800352824</c:v>
                </c:pt>
                <c:pt idx="4">
                  <c:v>2.5127067137484249</c:v>
                </c:pt>
                <c:pt idx="5">
                  <c:v>0.40875300538124337</c:v>
                </c:pt>
                <c:pt idx="6">
                  <c:v>2.4023996386712461</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3.4948499158577652E-2</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 Reformer Island'!$E$6</c:f>
              <c:strCache>
                <c:ptCount val="1"/>
                <c:pt idx="0">
                  <c:v>GSR Island</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('Unit-100 Reformer Island'!$C$13:$C$21,'Unit-100 Reformer Island'!$C$46:$C$49)</c:f>
              <c:strCache>
                <c:ptCount val="13"/>
                <c:pt idx="0">
                  <c:v>R-202 Vessel</c:v>
                </c:pt>
                <c:pt idx="1">
                  <c:v>R-202 Tubes</c:v>
                </c:pt>
                <c:pt idx="2">
                  <c:v>K-201</c:v>
                </c:pt>
                <c:pt idx="3">
                  <c:v>E-101</c:v>
                </c:pt>
                <c:pt idx="4">
                  <c:v>E-102</c:v>
                </c:pt>
                <c:pt idx="5">
                  <c:v>E-103</c:v>
                </c:pt>
                <c:pt idx="6">
                  <c:v>E-104</c:v>
                </c:pt>
                <c:pt idx="7">
                  <c:v>E-105</c:v>
                </c:pt>
                <c:pt idx="8">
                  <c:v>E-106</c:v>
                </c:pt>
                <c:pt idx="9">
                  <c:v>S-101</c:v>
                </c:pt>
                <c:pt idx="10">
                  <c:v>R-101</c:v>
                </c:pt>
                <c:pt idx="11">
                  <c:v>INS</c:v>
                </c:pt>
                <c:pt idx="12">
                  <c:v>CAT</c:v>
                </c:pt>
              </c:strCache>
            </c:strRef>
          </c:cat>
          <c:val>
            <c:numRef>
              <c:f>('Unit-100 Reformer Island'!$T$13:$T$21,'Unit-100 Reformer Island'!$T$46:$T$49)</c:f>
              <c:numCache>
                <c:formatCode>General</c:formatCode>
                <c:ptCount val="13"/>
                <c:pt idx="0">
                  <c:v>4.2039489333770481</c:v>
                </c:pt>
                <c:pt idx="1">
                  <c:v>49.471155075198141</c:v>
                </c:pt>
                <c:pt idx="2">
                  <c:v>8.3262954866789567</c:v>
                </c:pt>
                <c:pt idx="3">
                  <c:v>1.7252629667775949</c:v>
                </c:pt>
                <c:pt idx="4">
                  <c:v>1.6702538078749929</c:v>
                </c:pt>
                <c:pt idx="5">
                  <c:v>1.5416244735501945</c:v>
                </c:pt>
                <c:pt idx="6">
                  <c:v>1.1300168078941966</c:v>
                </c:pt>
                <c:pt idx="7">
                  <c:v>0.92875916741955666</c:v>
                </c:pt>
                <c:pt idx="8">
                  <c:v>0.87206338338141243</c:v>
                </c:pt>
                <c:pt idx="9" formatCode="0.00">
                  <c:v>1.3852237113247163</c:v>
                </c:pt>
                <c:pt idx="10" formatCode="0.00">
                  <c:v>10.450956907437234</c:v>
                </c:pt>
                <c:pt idx="11" formatCode="0.00">
                  <c:v>0.12328981716421819</c:v>
                </c:pt>
                <c:pt idx="12" formatCode="0.00">
                  <c:v>1.0214781424750805</c:v>
                </c:pt>
              </c:numCache>
            </c:numRef>
          </c:val>
          <c:extLst>
            <c:ext xmlns:c16="http://schemas.microsoft.com/office/drawing/2014/chart" uri="{C3380CC4-5D6E-409C-BE32-E72D297353CC}">
              <c16:uniqueId val="{00000000-B533-4B8A-9353-6CD180FBB297}"/>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'Unit-400 PSA'!$E$6</c:f>
              <c:strCache>
                <c:ptCount val="1"/>
                <c:pt idx="0">
                  <c:v>PSA</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'Unit-400 PSA'!$C$13:$C$24</c:f>
              <c:strCache>
                <c:ptCount val="12"/>
                <c:pt idx="0">
                  <c:v>K-401</c:v>
                </c:pt>
                <c:pt idx="5">
                  <c:v>C-401</c:v>
                </c:pt>
                <c:pt idx="11">
                  <c:v>D-401</c:v>
                </c:pt>
              </c:strCache>
            </c:strRef>
          </c:cat>
          <c:val>
            <c:numRef>
              <c:f>'Unit-400 PSA'!$T$13:$T$24</c:f>
              <c:numCache>
                <c:formatCode>General</c:formatCode>
                <c:ptCount val="12"/>
                <c:pt idx="0">
                  <c:v>28.010324457751672</c:v>
                </c:pt>
                <c:pt idx="1">
                  <c:v>0</c:v>
                </c:pt>
                <c:pt idx="2">
                  <c:v>0</c:v>
                </c:pt>
                <c:pt idx="3">
                  <c:v>0</c:v>
                </c:pt>
                <c:pt idx="4">
                  <c:v>0</c:v>
                </c:pt>
                <c:pt idx="5">
                  <c:v>0.69609943396636553</c:v>
                </c:pt>
                <c:pt idx="6">
                  <c:v>0</c:v>
                </c:pt>
                <c:pt idx="7">
                  <c:v>0</c:v>
                </c:pt>
                <c:pt idx="8">
                  <c:v>0</c:v>
                </c:pt>
                <c:pt idx="9">
                  <c:v>0</c:v>
                </c:pt>
                <c:pt idx="10">
                  <c:v>0</c:v>
                </c:pt>
                <c:pt idx="11">
                  <c:v>1.0921991496143701</c:v>
                </c:pt>
              </c:numCache>
            </c:numRef>
          </c:val>
          <c:extLst>
            <c:ext xmlns:c16="http://schemas.microsoft.com/office/drawing/2014/chart" uri="{C3380CC4-5D6E-409C-BE32-E72D297353CC}">
              <c16:uniqueId val="{00000000-EE48-4F20-B1E9-D7A127640529}"/>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'Unit-500 - CO2 CPU'!$E$6</c:f>
              <c:strCache>
                <c:ptCount val="1"/>
                <c:pt idx="0">
                  <c:v>CO2 CPU</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'Unit-500 - CO2 CPU'!$C$13:$C$22</c:f>
              <c:strCache>
                <c:ptCount val="10"/>
                <c:pt idx="0">
                  <c:v>E-501</c:v>
                </c:pt>
                <c:pt idx="1">
                  <c:v>E-502</c:v>
                </c:pt>
                <c:pt idx="2">
                  <c:v>V-501</c:v>
                </c:pt>
                <c:pt idx="3">
                  <c:v>V-502</c:v>
                </c:pt>
                <c:pt idx="4">
                  <c:v>K-501</c:v>
                </c:pt>
                <c:pt idx="5">
                  <c:v>K-502</c:v>
                </c:pt>
                <c:pt idx="6">
                  <c:v>D-501</c:v>
                </c:pt>
                <c:pt idx="7">
                  <c:v>C-501</c:v>
                </c:pt>
                <c:pt idx="8">
                  <c:v>C-502</c:v>
                </c:pt>
                <c:pt idx="9">
                  <c:v>P-501</c:v>
                </c:pt>
              </c:strCache>
            </c:strRef>
          </c:cat>
          <c:val>
            <c:numRef>
              <c:f>'Unit-500 - CO2 CPU'!$T$13:$T$22</c:f>
              <c:numCache>
                <c:formatCode>General</c:formatCode>
                <c:ptCount val="10"/>
                <c:pt idx="0">
                  <c:v>1.0003059270675347</c:v>
                </c:pt>
                <c:pt idx="1">
                  <c:v>0.2199980795587167</c:v>
                </c:pt>
                <c:pt idx="2">
                  <c:v>0.70683512896761569</c:v>
                </c:pt>
                <c:pt idx="3">
                  <c:v>0.11170553828409358</c:v>
                </c:pt>
                <c:pt idx="4">
                  <c:v>0.81342100799284034</c:v>
                </c:pt>
                <c:pt idx="5">
                  <c:v>6.200954942100199</c:v>
                </c:pt>
                <c:pt idx="6">
                  <c:v>0.50304203153075588</c:v>
                </c:pt>
                <c:pt idx="7">
                  <c:v>1.0727036918790795</c:v>
                </c:pt>
                <c:pt idx="8">
                  <c:v>0.12254947506292146</c:v>
                </c:pt>
                <c:pt idx="9">
                  <c:v>0.58395819850769393</c:v>
                </c:pt>
              </c:numCache>
            </c:numRef>
          </c:val>
          <c:extLst xmlns:c15="http://schemas.microsoft.com/office/drawing/2012/chart">
            <c:ext xmlns:c16="http://schemas.microsoft.com/office/drawing/2014/chart" uri="{C3380CC4-5D6E-409C-BE32-E72D297353CC}">
              <c16:uniqueId val="{00000000-5F71-4E50-943B-BDE3B841CCF5}"/>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'Unit-300 MDEA Absorption'!$E$6</c:f>
              <c:strCache>
                <c:ptCount val="1"/>
                <c:pt idx="0">
                  <c:v>N2 Purification</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'Unit-300 MDEA Absorption'!$C$13:$C$26</c:f>
              <c:strCache>
                <c:ptCount val="14"/>
                <c:pt idx="0">
                  <c:v>V-401</c:v>
                </c:pt>
                <c:pt idx="1">
                  <c:v>V-404</c:v>
                </c:pt>
                <c:pt idx="2">
                  <c:v>V-401-tray</c:v>
                </c:pt>
                <c:pt idx="3">
                  <c:v>V-404-tray</c:v>
                </c:pt>
                <c:pt idx="4">
                  <c:v>V-402</c:v>
                </c:pt>
                <c:pt idx="5">
                  <c:v>V-403</c:v>
                </c:pt>
                <c:pt idx="6">
                  <c:v>V-404</c:v>
                </c:pt>
                <c:pt idx="7">
                  <c:v>C-401</c:v>
                </c:pt>
                <c:pt idx="8">
                  <c:v>C-401</c:v>
                </c:pt>
                <c:pt idx="9">
                  <c:v>E-401</c:v>
                </c:pt>
                <c:pt idx="10">
                  <c:v>E-402</c:v>
                </c:pt>
                <c:pt idx="12">
                  <c:v>P-401</c:v>
                </c:pt>
                <c:pt idx="13">
                  <c:v>K-401</c:v>
                </c:pt>
              </c:strCache>
            </c:strRef>
          </c:cat>
          <c:val>
            <c:numRef>
              <c:f>'Unit-300 MDEA Absorption'!$T$13:$T$26</c:f>
              <c:numCache>
                <c:formatCode>General</c:formatCode>
                <c:ptCount val="14"/>
                <c:pt idx="0">
                  <c:v>45.253425363876104</c:v>
                </c:pt>
                <c:pt idx="1">
                  <c:v>1.7948427206562969</c:v>
                </c:pt>
                <c:pt idx="2">
                  <c:v>3.4317570655570999</c:v>
                </c:pt>
                <c:pt idx="3">
                  <c:v>0.817626399945799</c:v>
                </c:pt>
                <c:pt idx="4">
                  <c:v>1.8255680876146729</c:v>
                </c:pt>
                <c:pt idx="5">
                  <c:v>3.4395172580026316</c:v>
                </c:pt>
                <c:pt idx="6">
                  <c:v>1.3153389511958582</c:v>
                </c:pt>
                <c:pt idx="7">
                  <c:v>1.6997582527078725</c:v>
                </c:pt>
                <c:pt idx="8">
                  <c:v>0.34150225755760799</c:v>
                </c:pt>
                <c:pt idx="9">
                  <c:v>1.1043921894639754</c:v>
                </c:pt>
                <c:pt idx="10">
                  <c:v>0.79745018839573567</c:v>
                </c:pt>
                <c:pt idx="11">
                  <c:v>0</c:v>
                </c:pt>
                <c:pt idx="12">
                  <c:v>1.7374601708287134</c:v>
                </c:pt>
                <c:pt idx="13">
                  <c:v>6.9962514590779915E-2</c:v>
                </c:pt>
              </c:numCache>
            </c:numRef>
          </c:val>
          <c:extLst>
            <c:ext xmlns:c16="http://schemas.microsoft.com/office/drawing/2014/chart" uri="{C3380CC4-5D6E-409C-BE32-E72D297353CC}">
              <c16:uniqueId val="{00000000-90E2-405A-9B74-2F1903DC8C82}"/>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012058431159493"/>
          <c:y val="7.2716246412465865E-2"/>
          <c:w val="0.81568278724197074"/>
          <c:h val="0.68114434361795795"/>
        </c:manualLayout>
      </c:layout>
      <c:scatterChart>
        <c:scatterStyle val="smoothMarker"/>
        <c:varyColors val="0"/>
        <c:ser>
          <c:idx val="1"/>
          <c:order val="1"/>
          <c:tx>
            <c:strRef>
              <c:f>'Estimate Benchmark'!$J$24</c:f>
              <c:strCache>
                <c:ptCount val="1"/>
                <c:pt idx="0">
                  <c:v>Estimate  - Scaling</c:v>
                </c:pt>
              </c:strCache>
            </c:strRef>
          </c:tx>
          <c:spPr>
            <a:ln w="19050" cap="rnd">
              <a:solidFill>
                <a:schemeClr val="accent2"/>
              </a:solidFill>
              <a:round/>
            </a:ln>
            <a:effectLst/>
          </c:spPr>
          <c:marker>
            <c:symbol val="none"/>
          </c:marker>
          <c:xVal>
            <c:numRef>
              <c:f>'Estimate Benchmark'!$K$23:$T$23</c:f>
              <c:numCache>
                <c:formatCode>0</c:formatCode>
                <c:ptCount val="10"/>
                <c:pt idx="0">
                  <c:v>10</c:v>
                </c:pt>
                <c:pt idx="1">
                  <c:v>20</c:v>
                </c:pt>
                <c:pt idx="2">
                  <c:v>30</c:v>
                </c:pt>
                <c:pt idx="3">
                  <c:v>40</c:v>
                </c:pt>
                <c:pt idx="4">
                  <c:v>50</c:v>
                </c:pt>
                <c:pt idx="5">
                  <c:v>60</c:v>
                </c:pt>
                <c:pt idx="6">
                  <c:v>70</c:v>
                </c:pt>
                <c:pt idx="7">
                  <c:v>80</c:v>
                </c:pt>
                <c:pt idx="8">
                  <c:v>90</c:v>
                </c:pt>
                <c:pt idx="9">
                  <c:v>100</c:v>
                </c:pt>
              </c:numCache>
            </c:numRef>
          </c:xVal>
          <c:yVal>
            <c:numRef>
              <c:f>'Estimate Benchmark'!$K$24:$T$24</c:f>
              <c:numCache>
                <c:formatCode>0.0</c:formatCode>
                <c:ptCount val="10"/>
                <c:pt idx="0">
                  <c:v>21.890720988299545</c:v>
                </c:pt>
                <c:pt idx="1">
                  <c:v>38.113958974644916</c:v>
                </c:pt>
                <c:pt idx="2">
                  <c:v>52.717774662615113</c:v>
                </c:pt>
                <c:pt idx="3">
                  <c:v>66.360256909644988</c:v>
                </c:pt>
                <c:pt idx="4">
                  <c:v>79.329746977810075</c:v>
                </c:pt>
                <c:pt idx="5">
                  <c:v>91.786976856515452</c:v>
                </c:pt>
                <c:pt idx="6">
                  <c:v>103.83374010713713</c:v>
                </c:pt>
                <c:pt idx="7">
                  <c:v>115.53991806633393</c:v>
                </c:pt>
                <c:pt idx="8">
                  <c:v>126.95624629557472</c:v>
                </c:pt>
                <c:pt idx="9">
                  <c:v>138.1211118353431</c:v>
                </c:pt>
              </c:numCache>
            </c:numRef>
          </c:yVal>
          <c:smooth val="1"/>
          <c:extLst>
            <c:ext xmlns:c16="http://schemas.microsoft.com/office/drawing/2014/chart" uri="{C3380CC4-5D6E-409C-BE32-E72D297353CC}">
              <c16:uniqueId val="{00000000-D9D7-446B-986F-A74079F4B731}"/>
            </c:ext>
          </c:extLst>
        </c:ser>
        <c:ser>
          <c:idx val="2"/>
          <c:order val="2"/>
          <c:tx>
            <c:strRef>
              <c:f>'Estimate Benchmark'!$J$25</c:f>
              <c:strCache>
                <c:ptCount val="1"/>
                <c:pt idx="0">
                  <c:v>NETL - Scaling</c:v>
                </c:pt>
              </c:strCache>
            </c:strRef>
          </c:tx>
          <c:spPr>
            <a:ln w="19050" cap="rnd">
              <a:solidFill>
                <a:srgbClr val="0070C0"/>
              </a:solidFill>
              <a:round/>
            </a:ln>
            <a:effectLst/>
          </c:spPr>
          <c:marker>
            <c:symbol val="none"/>
          </c:marker>
          <c:xVal>
            <c:numRef>
              <c:f>'Estimate Benchmark'!$K$23:$T$23</c:f>
              <c:numCache>
                <c:formatCode>0</c:formatCode>
                <c:ptCount val="10"/>
                <c:pt idx="0">
                  <c:v>10</c:v>
                </c:pt>
                <c:pt idx="1">
                  <c:v>20</c:v>
                </c:pt>
                <c:pt idx="2">
                  <c:v>30</c:v>
                </c:pt>
                <c:pt idx="3">
                  <c:v>40</c:v>
                </c:pt>
                <c:pt idx="4">
                  <c:v>50</c:v>
                </c:pt>
                <c:pt idx="5">
                  <c:v>60</c:v>
                </c:pt>
                <c:pt idx="6">
                  <c:v>70</c:v>
                </c:pt>
                <c:pt idx="7">
                  <c:v>80</c:v>
                </c:pt>
                <c:pt idx="8">
                  <c:v>90</c:v>
                </c:pt>
                <c:pt idx="9">
                  <c:v>100</c:v>
                </c:pt>
              </c:numCache>
            </c:numRef>
          </c:xVal>
          <c:yVal>
            <c:numRef>
              <c:f>'Estimate Benchmark'!$K$25:$T$25</c:f>
              <c:numCache>
                <c:formatCode>0.0</c:formatCode>
                <c:ptCount val="10"/>
                <c:pt idx="0">
                  <c:v>28.921660092302876</c:v>
                </c:pt>
                <c:pt idx="1">
                  <c:v>50.355534969626625</c:v>
                </c:pt>
                <c:pt idx="2">
                  <c:v>69.64985577358128</c:v>
                </c:pt>
                <c:pt idx="3">
                  <c:v>87.674078665772257</c:v>
                </c:pt>
                <c:pt idx="4">
                  <c:v>104.80915537349955</c:v>
                </c:pt>
                <c:pt idx="5">
                  <c:v>121.26744235436996</c:v>
                </c:pt>
                <c:pt idx="6">
                  <c:v>137.18342758542519</c:v>
                </c:pt>
                <c:pt idx="7">
                  <c:v>152.64943713791348</c:v>
                </c:pt>
                <c:pt idx="8">
                  <c:v>167.73250200017836</c:v>
                </c:pt>
                <c:pt idx="9">
                  <c:v>182.48333849798209</c:v>
                </c:pt>
              </c:numCache>
            </c:numRef>
          </c:yVal>
          <c:smooth val="1"/>
          <c:extLst>
            <c:ext xmlns:c16="http://schemas.microsoft.com/office/drawing/2014/chart" uri="{C3380CC4-5D6E-409C-BE32-E72D297353CC}">
              <c16:uniqueId val="{00000001-D9D7-446B-986F-A74079F4B731}"/>
            </c:ext>
          </c:extLst>
        </c:ser>
        <c:dLbls>
          <c:showLegendKey val="0"/>
          <c:showVal val="0"/>
          <c:showCatName val="0"/>
          <c:showSerName val="0"/>
          <c:showPercent val="0"/>
          <c:showBubbleSize val="0"/>
        </c:dLbls>
        <c:axId val="872787560"/>
        <c:axId val="872789528"/>
      </c:scatterChart>
      <c:scatterChart>
        <c:scatterStyle val="lineMarker"/>
        <c:varyColors val="0"/>
        <c:ser>
          <c:idx val="0"/>
          <c:order val="0"/>
          <c:tx>
            <c:strRef>
              <c:f>'Estimate Benchmark'!$B$12</c:f>
              <c:strCache>
                <c:ptCount val="1"/>
                <c:pt idx="0">
                  <c:v>Estimate </c:v>
                </c:pt>
              </c:strCache>
            </c:strRef>
          </c:tx>
          <c:spPr>
            <a:ln w="25400" cap="rnd">
              <a:solidFill>
                <a:schemeClr val="accent2"/>
              </a:solidFill>
              <a:round/>
            </a:ln>
            <a:effectLst/>
          </c:spPr>
          <c:marker>
            <c:symbol val="circle"/>
            <c:size val="8"/>
            <c:spPr>
              <a:solidFill>
                <a:schemeClr val="accent2"/>
              </a:solidFill>
              <a:ln w="9525">
                <a:solidFill>
                  <a:schemeClr val="accent2"/>
                </a:solidFill>
              </a:ln>
              <a:effectLst/>
            </c:spPr>
          </c:marker>
          <c:xVal>
            <c:numRef>
              <c:f>'Estimate Benchmark'!$M$12</c:f>
              <c:numCache>
                <c:formatCode>0.0</c:formatCode>
                <c:ptCount val="1"/>
                <c:pt idx="0">
                  <c:v>43.63</c:v>
                </c:pt>
              </c:numCache>
            </c:numRef>
          </c:xVal>
          <c:yVal>
            <c:numRef>
              <c:f>'Estimate Benchmark'!$R$12</c:f>
              <c:numCache>
                <c:formatCode>0.0</c:formatCode>
                <c:ptCount val="1"/>
                <c:pt idx="0">
                  <c:v>71.135802626583555</c:v>
                </c:pt>
              </c:numCache>
            </c:numRef>
          </c:yVal>
          <c:smooth val="0"/>
          <c:extLst>
            <c:ext xmlns:c16="http://schemas.microsoft.com/office/drawing/2014/chart" uri="{C3380CC4-5D6E-409C-BE32-E72D297353CC}">
              <c16:uniqueId val="{00000002-D9D7-446B-986F-A74079F4B731}"/>
            </c:ext>
          </c:extLst>
        </c:ser>
        <c:ser>
          <c:idx val="3"/>
          <c:order val="3"/>
          <c:tx>
            <c:strRef>
              <c:f>'Estimate Benchmark'!$J$32</c:f>
              <c:strCache>
                <c:ptCount val="1"/>
                <c:pt idx="0">
                  <c:v>NETL</c:v>
                </c:pt>
              </c:strCache>
            </c:strRef>
          </c:tx>
          <c:spPr>
            <a:ln w="25400" cap="rnd">
              <a:solidFill>
                <a:srgbClr val="0070C0"/>
              </a:solidFill>
              <a:round/>
            </a:ln>
            <a:effectLst/>
          </c:spPr>
          <c:marker>
            <c:symbol val="circle"/>
            <c:size val="8"/>
            <c:spPr>
              <a:solidFill>
                <a:srgbClr val="0070C0"/>
              </a:solidFill>
              <a:ln w="9525">
                <a:solidFill>
                  <a:srgbClr val="0070C0"/>
                </a:solidFill>
              </a:ln>
              <a:effectLst/>
            </c:spPr>
          </c:marker>
          <c:xVal>
            <c:numRef>
              <c:f>'Estimate Benchmark'!$M$13</c:f>
              <c:numCache>
                <c:formatCode>0.0</c:formatCode>
                <c:ptCount val="1"/>
                <c:pt idx="0">
                  <c:v>47.8</c:v>
                </c:pt>
              </c:numCache>
            </c:numRef>
          </c:xVal>
          <c:yVal>
            <c:numRef>
              <c:f>'Estimate Benchmark'!$R$13</c:f>
              <c:numCache>
                <c:formatCode>0.0</c:formatCode>
                <c:ptCount val="1"/>
                <c:pt idx="0">
                  <c:v>101.10334744956241</c:v>
                </c:pt>
              </c:numCache>
            </c:numRef>
          </c:yVal>
          <c:smooth val="0"/>
          <c:extLst>
            <c:ext xmlns:c16="http://schemas.microsoft.com/office/drawing/2014/chart" uri="{C3380CC4-5D6E-409C-BE32-E72D297353CC}">
              <c16:uniqueId val="{00000003-D9D7-446B-986F-A74079F4B731}"/>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rich>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kg/s</a:t>
                </a:r>
              </a:p>
            </c:rich>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'Unit-600 Synthesis loop'!$E$6</c:f>
              <c:strCache>
                <c:ptCount val="1"/>
                <c:pt idx="0">
                  <c:v>Synthesis loop</c:v>
                </c:pt>
              </c:strCache>
            </c:strRef>
          </c:tx>
          <c:cat>
            <c:strRef>
              <c:f>('Unit-600 Synthesis loop'!$C$13:$C$43,'Unit-600 Synthesis loop'!$C$46:$C$50)</c:f>
              <c:strCache>
                <c:ptCount val="23"/>
                <c:pt idx="1">
                  <c:v>K-701</c:v>
                </c:pt>
                <c:pt idx="2">
                  <c:v>K-702</c:v>
                </c:pt>
                <c:pt idx="3">
                  <c:v>E-607</c:v>
                </c:pt>
                <c:pt idx="4">
                  <c:v>C-602</c:v>
                </c:pt>
                <c:pt idx="5">
                  <c:v>C-603</c:v>
                </c:pt>
                <c:pt idx="6">
                  <c:v>E-601</c:v>
                </c:pt>
                <c:pt idx="7">
                  <c:v>E-602</c:v>
                </c:pt>
                <c:pt idx="8">
                  <c:v>E-603</c:v>
                </c:pt>
                <c:pt idx="9">
                  <c:v>E-604</c:v>
                </c:pt>
                <c:pt idx="10">
                  <c:v>E-605</c:v>
                </c:pt>
                <c:pt idx="11">
                  <c:v>E-606</c:v>
                </c:pt>
                <c:pt idx="12">
                  <c:v>D-601</c:v>
                </c:pt>
                <c:pt idx="13">
                  <c:v>R-601r</c:v>
                </c:pt>
                <c:pt idx="14">
                  <c:v>R-602r</c:v>
                </c:pt>
                <c:pt idx="15">
                  <c:v>R-603r</c:v>
                </c:pt>
                <c:pt idx="16">
                  <c:v>R-601s</c:v>
                </c:pt>
                <c:pt idx="17">
                  <c:v>R-602s</c:v>
                </c:pt>
                <c:pt idx="18">
                  <c:v>R-603s</c:v>
                </c:pt>
                <c:pt idx="19">
                  <c:v>V-601</c:v>
                </c:pt>
                <c:pt idx="20">
                  <c:v>V-602</c:v>
                </c:pt>
                <c:pt idx="21">
                  <c:v>V-601 liner</c:v>
                </c:pt>
                <c:pt idx="22">
                  <c:v>V-602 liner</c:v>
                </c:pt>
              </c:strCache>
            </c:strRef>
          </c:cat>
          <c:val>
            <c:numRef>
              <c:f>('Unit-600 Synthesis loop'!$T$13:$T$44,'Unit-600 Synthesis loop'!$T$46:$T$50)</c:f>
              <c:numCache>
                <c:formatCode>General</c:formatCode>
                <c:ptCount val="37"/>
                <c:pt idx="0">
                  <c:v>0</c:v>
                </c:pt>
                <c:pt idx="1">
                  <c:v>27.766272292001112</c:v>
                </c:pt>
                <c:pt idx="2">
                  <c:v>14.306267272029963</c:v>
                </c:pt>
                <c:pt idx="3">
                  <c:v>0.62470352649999594</c:v>
                </c:pt>
                <c:pt idx="4">
                  <c:v>0.52198895751545271</c:v>
                </c:pt>
                <c:pt idx="5">
                  <c:v>1.9863270898030549</c:v>
                </c:pt>
                <c:pt idx="6">
                  <c:v>1.1737885719253209</c:v>
                </c:pt>
                <c:pt idx="7">
                  <c:v>4.0451540814142106</c:v>
                </c:pt>
                <c:pt idx="8">
                  <c:v>0.80235803149232543</c:v>
                </c:pt>
                <c:pt idx="9">
                  <c:v>1.2128008400521362</c:v>
                </c:pt>
                <c:pt idx="10">
                  <c:v>0.21848721797983747</c:v>
                </c:pt>
                <c:pt idx="11">
                  <c:v>0.5592710355874585</c:v>
                </c:pt>
                <c:pt idx="12">
                  <c:v>1.3380101436424667</c:v>
                </c:pt>
                <c:pt idx="13">
                  <c:v>1.2788615978829674</c:v>
                </c:pt>
                <c:pt idx="14">
                  <c:v>1.2788615978829674</c:v>
                </c:pt>
                <c:pt idx="15">
                  <c:v>1.6509493478217665</c:v>
                </c:pt>
                <c:pt idx="16">
                  <c:v>11.319914917579458</c:v>
                </c:pt>
                <c:pt idx="17">
                  <c:v>11.319914917579458</c:v>
                </c:pt>
                <c:pt idx="18">
                  <c:v>15.85389905843763</c:v>
                </c:pt>
                <c:pt idx="19">
                  <c:v>19.963727813286035</c:v>
                </c:pt>
                <c:pt idx="20">
                  <c:v>21.685956245423711</c:v>
                </c:pt>
                <c:pt idx="21">
                  <c:v>1.76149392304165</c:v>
                </c:pt>
                <c:pt idx="22">
                  <c:v>1.8671392999741698</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276-4CBA-B1F6-F787A42AAAD1}"/>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'Unit-700 Refrigeration-Storage'!$E$6</c:f>
              <c:strCache>
                <c:ptCount val="1"/>
                <c:pt idx="0">
                  <c:v>Refrigeration &amp; Storage</c:v>
                </c:pt>
              </c:strCache>
            </c:strRef>
          </c:tx>
          <c:cat>
            <c:strRef>
              <c:f>('Unit-700 Refrigeration-Storage'!$C$13:$C$43,'Unit-700 Refrigeration-Storage'!$C$46:$C$50)</c:f>
              <c:strCache>
                <c:ptCount val="14"/>
                <c:pt idx="0">
                  <c:v>T-801</c:v>
                </c:pt>
                <c:pt idx="1">
                  <c:v>K-801</c:v>
                </c:pt>
                <c:pt idx="2">
                  <c:v>K-802</c:v>
                </c:pt>
                <c:pt idx="3">
                  <c:v>D-801</c:v>
                </c:pt>
                <c:pt idx="4">
                  <c:v>V-801</c:v>
                </c:pt>
                <c:pt idx="5">
                  <c:v>V-802</c:v>
                </c:pt>
                <c:pt idx="6">
                  <c:v>V-803</c:v>
                </c:pt>
                <c:pt idx="7">
                  <c:v>E-801</c:v>
                </c:pt>
                <c:pt idx="8">
                  <c:v>E-802</c:v>
                </c:pt>
                <c:pt idx="9">
                  <c:v>E-803</c:v>
                </c:pt>
                <c:pt idx="10">
                  <c:v>C-701</c:v>
                </c:pt>
                <c:pt idx="13">
                  <c:v>K-803f</c:v>
                </c:pt>
              </c:strCache>
            </c:strRef>
          </c:cat>
          <c:val>
            <c:numRef>
              <c:f>('Unit-700 Refrigeration-Storage'!$T$13:$T$44,'Unit-700 Refrigeration-Storage'!$T$46:$T$50)</c:f>
              <c:numCache>
                <c:formatCode>General</c:formatCode>
                <c:ptCount val="37"/>
                <c:pt idx="0">
                  <c:v>2.9195789361285227</c:v>
                </c:pt>
                <c:pt idx="1">
                  <c:v>1.225942844401309</c:v>
                </c:pt>
                <c:pt idx="2">
                  <c:v>13.308834446874187</c:v>
                </c:pt>
                <c:pt idx="3">
                  <c:v>1.057481231386989</c:v>
                </c:pt>
                <c:pt idx="4">
                  <c:v>1.4423645032541696E-2</c:v>
                </c:pt>
                <c:pt idx="5">
                  <c:v>0.2602668855634056</c:v>
                </c:pt>
                <c:pt idx="6">
                  <c:v>5.3571391812234609E-2</c:v>
                </c:pt>
                <c:pt idx="7">
                  <c:v>0.161767543662277</c:v>
                </c:pt>
                <c:pt idx="8">
                  <c:v>0.88124441245760388</c:v>
                </c:pt>
                <c:pt idx="9">
                  <c:v>0.7305813389291379</c:v>
                </c:pt>
                <c:pt idx="10">
                  <c:v>2.1612193830039463</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2E88-4467-9334-2718DA1DA10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'Unit-800 Steam Cycle &amp; CWT cor'!$C$13</c:f>
          <c:strCache>
            <c:ptCount val="1"/>
            <c:pt idx="0">
              <c:v>T-901</c:v>
            </c:pt>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'Unit-800 Steam Cycle &amp; CWT cor'!$E$6</c:f>
              <c:strCache>
                <c:ptCount val="1"/>
                <c:pt idx="0">
                  <c:v>Steam cycle &amp; CWT</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6E1-4551-94DA-4ED4E2E24879}"/>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6E1-4551-94DA-4ED4E2E24879}"/>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6E1-4551-94DA-4ED4E2E24879}"/>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6E1-4551-94DA-4ED4E2E24879}"/>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6E1-4551-94DA-4ED4E2E24879}"/>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6E1-4551-94DA-4ED4E2E24879}"/>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6E1-4551-94DA-4ED4E2E24879}"/>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C6E1-4551-94DA-4ED4E2E24879}"/>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C6E1-4551-94DA-4ED4E2E24879}"/>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C6E1-4551-94DA-4ED4E2E24879}"/>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C6E1-4551-94DA-4ED4E2E24879}"/>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C6E1-4551-94DA-4ED4E2E24879}"/>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C6E1-4551-94DA-4ED4E2E24879}"/>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C6E1-4551-94DA-4ED4E2E24879}"/>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C6E1-4551-94DA-4ED4E2E24879}"/>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C6E1-4551-94DA-4ED4E2E24879}"/>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C6E1-4551-94DA-4ED4E2E24879}"/>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C6E1-4551-94DA-4ED4E2E24879}"/>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C6E1-4551-94DA-4ED4E2E24879}"/>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C6E1-4551-94DA-4ED4E2E24879}"/>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C6E1-4551-94DA-4ED4E2E24879}"/>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C6E1-4551-94DA-4ED4E2E24879}"/>
              </c:ext>
            </c:extLst>
          </c:dPt>
          <c:cat>
            <c:strRef>
              <c:f>'Unit-800 Steam Cycle &amp; CWT cor'!$C$13:$C$34</c:f>
              <c:strCache>
                <c:ptCount val="5"/>
                <c:pt idx="0">
                  <c:v>T-901</c:v>
                </c:pt>
                <c:pt idx="1">
                  <c:v>C-901</c:v>
                </c:pt>
                <c:pt idx="2">
                  <c:v>X-900</c:v>
                </c:pt>
                <c:pt idx="3">
                  <c:v>X-000</c:v>
                </c:pt>
                <c:pt idx="4">
                  <c:v>C-901</c:v>
                </c:pt>
              </c:strCache>
            </c:strRef>
          </c:cat>
          <c:val>
            <c:numRef>
              <c:f>'Unit-800 Steam Cycle &amp; CWT cor'!$S$13:$S$34</c:f>
              <c:numCache>
                <c:formatCode>0.0</c:formatCode>
                <c:ptCount val="22"/>
                <c:pt idx="0">
                  <c:v>28.141714792557291</c:v>
                </c:pt>
                <c:pt idx="1">
                  <c:v>1.3570995140961266</c:v>
                </c:pt>
                <c:pt idx="2">
                  <c:v>3.382444194582511</c:v>
                </c:pt>
                <c:pt idx="3">
                  <c:v>21.865178845236905</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2C-C6E1-4551-94DA-4ED4E2E24879}"/>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'Unit-800 Steam Cycle &amp; CWT'!$E$6</c:f>
              <c:strCache>
                <c:ptCount val="1"/>
                <c:pt idx="0">
                  <c:v>Steam cycle &amp; CWT</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numRef>
              <c:f>'Unit-800 Steam Cycle &amp; CWT'!$C$13:$C$24</c:f>
              <c:numCache>
                <c:formatCode>General</c:formatCode>
                <c:ptCount val="12"/>
              </c:numCache>
            </c:numRef>
          </c:cat>
          <c:val>
            <c:numRef>
              <c:f>'Unit-800 Steam Cycle &amp; CWT'!$T$13:$T$24</c:f>
              <c:numCache>
                <c:formatCode>General</c:formatCode>
                <c:ptCount val="12"/>
                <c:pt idx="0">
                  <c:v>5.8925226363115017</c:v>
                </c:pt>
                <c:pt idx="1">
                  <c:v>2.2818298752929835</c:v>
                </c:pt>
                <c:pt idx="2">
                  <c:v>3.1089055928884779</c:v>
                </c:pt>
                <c:pt idx="3">
                  <c:v>1.68010586904262</c:v>
                </c:pt>
                <c:pt idx="4">
                  <c:v>1.2225165264525648</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53A0-42B7-A95A-6AA57086557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TOC Distribution</a:t>
            </a:r>
          </a:p>
        </c:rich>
      </c:tx>
      <c:overlay val="0"/>
      <c:spPr>
        <a:noFill/>
        <a:ln>
          <a:noFill/>
        </a:ln>
        <a:effectLst/>
      </c:spPr>
    </c:title>
    <c:autoTitleDeleted val="0"/>
    <c:plotArea>
      <c:layout/>
      <c:pieChart>
        <c:varyColors val="1"/>
        <c:ser>
          <c:idx val="0"/>
          <c:order val="0"/>
          <c:tx>
            <c:strRef>
              <c:f>'Plant CAPEX'!$B$13</c:f>
              <c:strCache>
                <c:ptCount val="1"/>
                <c:pt idx="0">
                  <c:v>Total Overnight Costs (TOC)</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'Plant CAPEX'!$D$4:$K$4</c:f>
              <c:strCache>
                <c:ptCount val="8"/>
                <c:pt idx="0">
                  <c:v>GSR Island</c:v>
                </c:pt>
                <c:pt idx="1">
                  <c:v>WGS</c:v>
                </c:pt>
                <c:pt idx="2">
                  <c:v>N2 Purification</c:v>
                </c:pt>
                <c:pt idx="3">
                  <c:v>PSA</c:v>
                </c:pt>
                <c:pt idx="4">
                  <c:v>CO2 CPU</c:v>
                </c:pt>
                <c:pt idx="5">
                  <c:v>Synthesis loop</c:v>
                </c:pt>
                <c:pt idx="6">
                  <c:v>Refrigeration &amp; Storage</c:v>
                </c:pt>
                <c:pt idx="7">
                  <c:v>Steam cycle &amp; CWT</c:v>
                </c:pt>
              </c:strCache>
            </c:strRef>
          </c:cat>
          <c:val>
            <c:numRef>
              <c:f>'Plant CAPEX'!$D$13:$K$13</c:f>
              <c:numCache>
                <c:formatCode>0.0</c:formatCode>
                <c:ptCount val="8"/>
                <c:pt idx="0">
                  <c:v>146.28107610177915</c:v>
                </c:pt>
                <c:pt idx="1">
                  <c:v>39.05473615389041</c:v>
                </c:pt>
                <c:pt idx="2">
                  <c:v>9.3621331298698109</c:v>
                </c:pt>
                <c:pt idx="3">
                  <c:v>98.13891292252201</c:v>
                </c:pt>
                <c:pt idx="4">
                  <c:v>19.103799742377674</c:v>
                </c:pt>
                <c:pt idx="5">
                  <c:v>227.72647711726231</c:v>
                </c:pt>
                <c:pt idx="6">
                  <c:v>76.541892525613633</c:v>
                </c:pt>
                <c:pt idx="7">
                  <c:v>44.559276918850529</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5.4040077854461542E-2"/>
          <c:y val="0.87445660536785541"/>
          <c:w val="0.92473326048611515"/>
          <c:h val="0.11143529768283933"/>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dLbls>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'Plant OPEX'!$W$14:$W$17</c:f>
              <c:strCache>
                <c:ptCount val="4"/>
                <c:pt idx="0">
                  <c:v>Total FOM</c:v>
                </c:pt>
                <c:pt idx="1">
                  <c:v>NG</c:v>
                </c:pt>
                <c:pt idx="2">
                  <c:v>Electricity</c:v>
                </c:pt>
                <c:pt idx="3">
                  <c:v>Total VOM (exl. Fuel &amp; CO2 tax)</c:v>
                </c:pt>
              </c:strCache>
            </c:strRef>
          </c:cat>
          <c:val>
            <c:numRef>
              <c:f>('Plant OPEX'!$G$21,'Plant OPEX'!$N$16,'Plant OPEX'!$N$17,'Plant OPEX'!$U$26)</c:f>
              <c:numCache>
                <c:formatCode>0.00</c:formatCode>
                <c:ptCount val="4"/>
                <c:pt idx="0">
                  <c:v>31.902210305664063</c:v>
                </c:pt>
                <c:pt idx="1">
                  <c:v>124.87155836554901</c:v>
                </c:pt>
                <c:pt idx="2">
                  <c:v>0</c:v>
                </c:pt>
                <c:pt idx="3">
                  <c:v>15.437483634614518</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GSR-LT</c:v>
                </c:pt>
                <c:pt idx="1">
                  <c:v>Reference</c:v>
                </c:pt>
              </c:strCache>
            </c:strRef>
          </c:cat>
          <c:val>
            <c:numRef>
              <c:f>'Cash Flow Analysis'!$H$17:$I$17</c:f>
              <c:numCache>
                <c:formatCode>General</c:formatCode>
                <c:ptCount val="2"/>
                <c:pt idx="0" formatCode="0.00000">
                  <c:v>9.1849434604205957E-2</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GSR-LT</c:v>
                </c:pt>
                <c:pt idx="1">
                  <c:v>Reference</c:v>
                </c:pt>
              </c:strCache>
            </c:strRef>
          </c:cat>
          <c:val>
            <c:numRef>
              <c:f>'Cash Flow Analysis'!$H$18:$I$18</c:f>
              <c:numCache>
                <c:formatCode>General</c:formatCode>
                <c:ptCount val="2"/>
                <c:pt idx="0" formatCode="0.00000">
                  <c:v>3.6724260125145541E-2</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NG</c:v>
                </c:pt>
              </c:strCache>
            </c:strRef>
          </c:tx>
          <c:spPr>
            <a:solidFill>
              <a:schemeClr val="accent2"/>
            </a:solidFill>
            <a:ln>
              <a:noFill/>
            </a:ln>
            <a:effectLst/>
          </c:spPr>
          <c:invertIfNegative val="0"/>
          <c:cat>
            <c:strRef>
              <c:f>'Cash Flow Analysis'!$H$14:$I$14</c:f>
              <c:strCache>
                <c:ptCount val="2"/>
                <c:pt idx="0">
                  <c:v>GSR-LT</c:v>
                </c:pt>
                <c:pt idx="1">
                  <c:v>Reference</c:v>
                </c:pt>
              </c:strCache>
            </c:strRef>
          </c:cat>
          <c:val>
            <c:numRef>
              <c:f>'Cash Flow Analysis'!$H$21:$I$21</c:f>
              <c:numCache>
                <c:formatCode>General</c:formatCode>
                <c:ptCount val="2"/>
                <c:pt idx="0" formatCode="0.00000">
                  <c:v>0.12625429491051213</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Electricity</c:v>
                </c:pt>
              </c:strCache>
            </c:strRef>
          </c:tx>
          <c:spPr>
            <a:solidFill>
              <a:schemeClr val="accent6"/>
            </a:solidFill>
            <a:ln>
              <a:noFill/>
            </a:ln>
            <a:effectLst/>
          </c:spPr>
          <c:invertIfNegative val="0"/>
          <c:cat>
            <c:strRef>
              <c:f>'Cash Flow Analysis'!$H$14:$I$14</c:f>
              <c:strCache>
                <c:ptCount val="2"/>
                <c:pt idx="0">
                  <c:v>GSR-LT</c:v>
                </c:pt>
                <c:pt idx="1">
                  <c:v>Reference</c:v>
                </c:pt>
              </c:strCache>
            </c:strRef>
          </c:cat>
          <c:val>
            <c:numRef>
              <c:f>'Cash Flow Analysis'!$H$22:$I$22</c:f>
              <c:numCache>
                <c:formatCode>General</c:formatCode>
                <c:ptCount val="2"/>
                <c:pt idx="0" formatCode="0.0000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GSR-LT</c:v>
                </c:pt>
                <c:pt idx="1">
                  <c:v>Reference</c:v>
                </c:pt>
              </c:strCache>
            </c:strRef>
          </c:cat>
          <c:val>
            <c:numRef>
              <c:f>'Cash Flow Analysis'!$H$19:$I$19</c:f>
              <c:numCache>
                <c:formatCode>General</c:formatCode>
                <c:ptCount val="2"/>
                <c:pt idx="0" formatCode="0.00000">
                  <c:v>1.560842706691608E-2</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GSR-LT</c:v>
                </c:pt>
                <c:pt idx="1">
                  <c:v>Reference</c:v>
                </c:pt>
              </c:strCache>
            </c:strRef>
          </c:cat>
          <c:val>
            <c:numRef>
              <c:f>'Cash Flow Analysis'!$H$20:$I$20</c:f>
              <c:numCache>
                <c:formatCode>General</c:formatCode>
                <c:ptCount val="2"/>
                <c:pt idx="0" formatCode="0.0000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GSR-LT</c:v>
                      </c:pt>
                      <c:pt idx="1">
                        <c:v>Reference</c:v>
                      </c:pt>
                    </c:strCache>
                  </c:strRef>
                </c:cat>
                <c:val>
                  <c:numRef>
                    <c:extLst>
                      <c:ext uri="{02D57815-91ED-43cb-92C2-25804820EDAC}">
                        <c15:formulaRef>
                          <c15:sqref>'Cash Flow Analysis'!$H$16:$I$16</c15:sqref>
                        </c15:formulaRef>
                      </c:ext>
                    </c:extLst>
                    <c:numCache>
                      <c:formatCode>General</c:formatCode>
                      <c:ptCount val="2"/>
                      <c:pt idx="0" formatCode="0.000">
                        <c:v>0.2704364167067797</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Analysis'!$C$24:$AE$24</c:f>
              <c:numCache>
                <c:formatCode>General</c:formatCode>
                <c:ptCount val="29"/>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numCache>
            </c:numRef>
          </c:xVal>
          <c:yVal>
            <c:numRef>
              <c:f>'Cash Flow Analysis'!$C$39:$AE$39</c:f>
              <c:numCache>
                <c:formatCode>General</c:formatCode>
                <c:ptCount val="29"/>
                <c:pt idx="0">
                  <c:v>-189.01705932617188</c:v>
                </c:pt>
                <c:pt idx="1">
                  <c:v>-364.03285499855326</c:v>
                </c:pt>
                <c:pt idx="2">
                  <c:v>-526.08451765816562</c:v>
                </c:pt>
                <c:pt idx="3">
                  <c:v>-676.13235345410294</c:v>
                </c:pt>
                <c:pt idx="4">
                  <c:v>-638.82561839860955</c:v>
                </c:pt>
                <c:pt idx="5">
                  <c:v>-582.64566001376988</c:v>
                </c:pt>
                <c:pt idx="6">
                  <c:v>-530.62718002780719</c:v>
                </c:pt>
                <c:pt idx="7">
                  <c:v>-482.46192078154547</c:v>
                </c:pt>
                <c:pt idx="8">
                  <c:v>-437.8644585164883</c:v>
                </c:pt>
                <c:pt idx="9">
                  <c:v>-396.57051197476869</c:v>
                </c:pt>
                <c:pt idx="10">
                  <c:v>-358.33537628799132</c:v>
                </c:pt>
                <c:pt idx="11">
                  <c:v>-322.93247287430859</c:v>
                </c:pt>
                <c:pt idx="12">
                  <c:v>-290.15200675052824</c:v>
                </c:pt>
                <c:pt idx="13">
                  <c:v>-259.79972330258352</c:v>
                </c:pt>
                <c:pt idx="14">
                  <c:v>-231.69575714707912</c:v>
                </c:pt>
                <c:pt idx="15">
                  <c:v>-205.67356626235284</c:v>
                </c:pt>
                <c:pt idx="16">
                  <c:v>-181.57894507279144</c:v>
                </c:pt>
                <c:pt idx="17">
                  <c:v>-159.26911063801239</c:v>
                </c:pt>
                <c:pt idx="18">
                  <c:v>-138.6118565317355</c:v>
                </c:pt>
                <c:pt idx="19">
                  <c:v>-119.48476939629393</c:v>
                </c:pt>
                <c:pt idx="20">
                  <c:v>-101.77450353014433</c:v>
                </c:pt>
                <c:pt idx="21">
                  <c:v>-85.376109209635445</c:v>
                </c:pt>
                <c:pt idx="22">
                  <c:v>-70.19241076471981</c:v>
                </c:pt>
                <c:pt idx="23">
                  <c:v>-56.133430723131255</c:v>
                </c:pt>
                <c:pt idx="24">
                  <c:v>-43.115856610549265</c:v>
                </c:pt>
                <c:pt idx="25">
                  <c:v>-31.062547247047419</c:v>
                </c:pt>
                <c:pt idx="26">
                  <c:v>-19.902075614175342</c:v>
                </c:pt>
                <c:pt idx="27">
                  <c:v>-9.5683055837382334</c:v>
                </c:pt>
                <c:pt idx="28">
                  <c:v>-1.7053025658242404E-13</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Analysis'!$C$24:$AE$24</c:f>
              <c:numCache>
                <c:formatCode>General</c:formatCode>
                <c:ptCount val="29"/>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numCache>
            </c:numRef>
          </c:xVal>
          <c:yVal>
            <c:numRef>
              <c:f>'Cash Flow Analysis'!$C$38:$AE$38</c:f>
              <c:numCache>
                <c:formatCode>General</c:formatCode>
                <c:ptCount val="29"/>
                <c:pt idx="0">
                  <c:v>-189.01705932617188</c:v>
                </c:pt>
                <c:pt idx="1">
                  <c:v>-378.03411865234375</c:v>
                </c:pt>
                <c:pt idx="2">
                  <c:v>-567.05117797851562</c:v>
                </c:pt>
                <c:pt idx="3">
                  <c:v>-756.0682373046875</c:v>
                </c:pt>
                <c:pt idx="4" formatCode="0.00">
                  <c:v>-705.31283612804373</c:v>
                </c:pt>
                <c:pt idx="5">
                  <c:v>-622.76604591974319</c:v>
                </c:pt>
                <c:pt idx="6">
                  <c:v>-540.21925571144266</c:v>
                </c:pt>
                <c:pt idx="7">
                  <c:v>-457.67246550314212</c:v>
                </c:pt>
                <c:pt idx="8">
                  <c:v>-375.12567529484159</c:v>
                </c:pt>
                <c:pt idx="9">
                  <c:v>-292.57888508654105</c:v>
                </c:pt>
                <c:pt idx="10">
                  <c:v>-210.03209487824049</c:v>
                </c:pt>
                <c:pt idx="11">
                  <c:v>-127.48530466993992</c:v>
                </c:pt>
                <c:pt idx="12">
                  <c:v>-44.938514461639357</c:v>
                </c:pt>
                <c:pt idx="13">
                  <c:v>37.608275746661207</c:v>
                </c:pt>
                <c:pt idx="14">
                  <c:v>120.15506595496177</c:v>
                </c:pt>
                <c:pt idx="15">
                  <c:v>202.70185616326233</c:v>
                </c:pt>
                <c:pt idx="16">
                  <c:v>285.24864637156293</c:v>
                </c:pt>
                <c:pt idx="17">
                  <c:v>367.79543657986346</c:v>
                </c:pt>
                <c:pt idx="18">
                  <c:v>450.342226788164</c:v>
                </c:pt>
                <c:pt idx="19">
                  <c:v>532.88901699646453</c:v>
                </c:pt>
                <c:pt idx="20">
                  <c:v>615.43580720476507</c:v>
                </c:pt>
                <c:pt idx="21">
                  <c:v>697.9825974130656</c:v>
                </c:pt>
                <c:pt idx="22">
                  <c:v>780.52938762136614</c:v>
                </c:pt>
                <c:pt idx="23">
                  <c:v>863.07617782966668</c:v>
                </c:pt>
                <c:pt idx="24">
                  <c:v>945.62296803796721</c:v>
                </c:pt>
                <c:pt idx="25">
                  <c:v>1028.1697582462677</c:v>
                </c:pt>
                <c:pt idx="26">
                  <c:v>1110.7165484545683</c:v>
                </c:pt>
                <c:pt idx="27">
                  <c:v>1193.2633386628688</c:v>
                </c:pt>
                <c:pt idx="28">
                  <c:v>1275.8101288711694</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Electricity</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Analysis'!$R$44:$R$48</c:f>
              <c:numCache>
                <c:formatCode>0.00</c:formatCode>
                <c:ptCount val="5"/>
                <c:pt idx="0">
                  <c:v>20</c:v>
                </c:pt>
                <c:pt idx="1">
                  <c:v>35</c:v>
                </c:pt>
                <c:pt idx="2">
                  <c:v>50</c:v>
                </c:pt>
                <c:pt idx="3">
                  <c:v>65</c:v>
                </c:pt>
                <c:pt idx="4">
                  <c:v>80</c:v>
                </c:pt>
              </c:numCache>
            </c:numRef>
          </c:xVal>
          <c:yVal>
            <c:numRef>
              <c:f>'Cash Flow Analysis'!$S$44:$S$48</c:f>
              <c:numCache>
                <c:formatCode>0.00</c:formatCode>
                <c:ptCount val="5"/>
                <c:pt idx="0">
                  <c:v>251.47113172586234</c:v>
                </c:pt>
                <c:pt idx="1">
                  <c:v>251.47113172586234</c:v>
                </c:pt>
                <c:pt idx="2">
                  <c:v>251.47113172586234</c:v>
                </c:pt>
                <c:pt idx="3">
                  <c:v>251.47113172586234</c:v>
                </c:pt>
                <c:pt idx="4">
                  <c:v>251.47113172586234</c:v>
                </c:pt>
              </c:numCache>
            </c:numRef>
          </c:yVal>
          <c:smooth val="1"/>
          <c:extLst>
            <c:ext xmlns:c16="http://schemas.microsoft.com/office/drawing/2014/chart" uri="{C3380CC4-5D6E-409C-BE32-E72D297353CC}">
              <c16:uniqueId val="{00000000-F829-4500-A5B5-616D79672CB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max val="700"/>
          <c:min val="0"/>
        </c:scaling>
        <c:delete val="0"/>
        <c:axPos val="l"/>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NG</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Analysis'!$P$44:$P$48</c:f>
              <c:numCache>
                <c:formatCode>0.00</c:formatCode>
                <c:ptCount val="5"/>
                <c:pt idx="0">
                  <c:v>3</c:v>
                </c:pt>
                <c:pt idx="1">
                  <c:v>5</c:v>
                </c:pt>
                <c:pt idx="2">
                  <c:v>7</c:v>
                </c:pt>
                <c:pt idx="3">
                  <c:v>9</c:v>
                </c:pt>
                <c:pt idx="4">
                  <c:v>11</c:v>
                </c:pt>
              </c:numCache>
            </c:numRef>
          </c:xVal>
          <c:yVal>
            <c:numRef>
              <c:f>'Cash Flow Analysis'!$Q$44:$Q$48</c:f>
              <c:numCache>
                <c:formatCode>0.00</c:formatCode>
                <c:ptCount val="5"/>
                <c:pt idx="0">
                  <c:v>205.85798006059252</c:v>
                </c:pt>
                <c:pt idx="1">
                  <c:v>251.47113172586234</c:v>
                </c:pt>
                <c:pt idx="2">
                  <c:v>297.08428339113215</c:v>
                </c:pt>
                <c:pt idx="3">
                  <c:v>342.69743505640201</c:v>
                </c:pt>
                <c:pt idx="4">
                  <c:v>388.31058672167188</c:v>
                </c:pt>
              </c:numCache>
            </c:numRef>
          </c:yVal>
          <c:smooth val="1"/>
          <c:extLst>
            <c:ext xmlns:c16="http://schemas.microsoft.com/office/drawing/2014/chart" uri="{C3380CC4-5D6E-409C-BE32-E72D297353CC}">
              <c16:uniqueId val="{00000000-53E0-4488-B9CE-DA6AC9B6A6E3}"/>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max val="700"/>
          <c:min val="0"/>
        </c:scaling>
        <c:delete val="0"/>
        <c:axPos val="l"/>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Analysis'!$V$42:$W$42</c:f>
              <c:strCache>
                <c:ptCount val="1"/>
                <c:pt idx="0">
                  <c:v>Discount rate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Analysis'!$V$44:$V$48</c:f>
              <c:numCache>
                <c:formatCode>0%</c:formatCode>
                <c:ptCount val="5"/>
                <c:pt idx="0">
                  <c:v>0.06</c:v>
                </c:pt>
                <c:pt idx="1">
                  <c:v>6.999999977648258E-2</c:v>
                </c:pt>
                <c:pt idx="2">
                  <c:v>7.9999999552965162E-2</c:v>
                </c:pt>
                <c:pt idx="3">
                  <c:v>8.9999999329447744E-2</c:v>
                </c:pt>
                <c:pt idx="4">
                  <c:v>9.9999999105930326E-2</c:v>
                </c:pt>
              </c:numCache>
            </c:numRef>
          </c:xVal>
          <c:yVal>
            <c:numRef>
              <c:f>'Cash Flow Analysis'!$W$44:$W$48</c:f>
              <c:numCache>
                <c:formatCode>0.00</c:formatCode>
                <c:ptCount val="5"/>
                <c:pt idx="0">
                  <c:v>234.34913083395219</c:v>
                </c:pt>
                <c:pt idx="1">
                  <c:v>242.64635721264798</c:v>
                </c:pt>
                <c:pt idx="2">
                  <c:v>251.471131319644</c:v>
                </c:pt>
                <c:pt idx="3">
                  <c:v>260.81839035575103</c:v>
                </c:pt>
                <c:pt idx="4">
                  <c:v>270.6821994858708</c:v>
                </c:pt>
              </c:numCache>
            </c:numRef>
          </c:yVal>
          <c:smooth val="1"/>
          <c:extLst>
            <c:ext xmlns:c16="http://schemas.microsoft.com/office/drawing/2014/chart" uri="{C3380CC4-5D6E-409C-BE32-E72D297353CC}">
              <c16:uniqueId val="{00000000-B8C0-442A-8C9A-B12A3A0E017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max val="700"/>
          <c:min val="0"/>
        </c:scaling>
        <c:delete val="0"/>
        <c:axPos val="l"/>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Analysis'!$X$42:$Y$42</c:f>
              <c:strCache>
                <c:ptCount val="1"/>
                <c:pt idx="0">
                  <c:v>Capacity factor</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Analysis'!$X$44:$X$48</c:f>
              <c:numCache>
                <c:formatCode>0%</c:formatCode>
                <c:ptCount val="5"/>
                <c:pt idx="0">
                  <c:v>0.75</c:v>
                </c:pt>
                <c:pt idx="1">
                  <c:v>0.80000000074505806</c:v>
                </c:pt>
                <c:pt idx="2">
                  <c:v>0.85000000149011612</c:v>
                </c:pt>
                <c:pt idx="3">
                  <c:v>0.90000000223517418</c:v>
                </c:pt>
                <c:pt idx="4">
                  <c:v>0.95000000298023224</c:v>
                </c:pt>
              </c:numCache>
            </c:numRef>
          </c:xVal>
          <c:yVal>
            <c:numRef>
              <c:f>'Cash Flow Analysis'!$Y$44:$Y$48</c:f>
              <c:numCache>
                <c:formatCode>0.00</c:formatCode>
                <c:ptCount val="5"/>
                <c:pt idx="0">
                  <c:v>274.26316705733052</c:v>
                </c:pt>
                <c:pt idx="1">
                  <c:v>265.78418894079005</c:v>
                </c:pt>
                <c:pt idx="2">
                  <c:v>258.23519288606116</c:v>
                </c:pt>
                <c:pt idx="3">
                  <c:v>251.47113143920564</c:v>
                </c:pt>
                <c:pt idx="4">
                  <c:v>245.37563014047788</c:v>
                </c:pt>
              </c:numCache>
            </c:numRef>
          </c:yVal>
          <c:smooth val="1"/>
          <c:extLst>
            <c:ext xmlns:c16="http://schemas.microsoft.com/office/drawing/2014/chart" uri="{C3380CC4-5D6E-409C-BE32-E72D297353CC}">
              <c16:uniqueId val="{00000000-D85C-4422-98C8-4A0072E86D8A}"/>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max val="700"/>
          <c:min val="0"/>
        </c:scaling>
        <c:delete val="0"/>
        <c:axPos val="l"/>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707609889094007"/>
          <c:y val="7.2716246412465865E-2"/>
          <c:w val="0.77504238264416503"/>
          <c:h val="0.71498104339362989"/>
        </c:manualLayout>
      </c:layout>
      <c:scatterChart>
        <c:scatterStyle val="smoothMarker"/>
        <c:varyColors val="0"/>
        <c:ser>
          <c:idx val="1"/>
          <c:order val="1"/>
          <c:tx>
            <c:strRef>
              <c:f>'Estimate Benchmark'!$J$24</c:f>
              <c:strCache>
                <c:ptCount val="1"/>
                <c:pt idx="0">
                  <c:v>Estimate  - Scaling</c:v>
                </c:pt>
              </c:strCache>
            </c:strRef>
          </c:tx>
          <c:spPr>
            <a:ln w="19050" cap="rnd">
              <a:solidFill>
                <a:schemeClr val="accent2"/>
              </a:solidFill>
              <a:round/>
            </a:ln>
            <a:effectLst/>
          </c:spPr>
          <c:marker>
            <c:symbol val="none"/>
          </c:marker>
          <c:xVal>
            <c:numRef>
              <c:f>'Estimate Benchmark'!$K$23:$T$23</c:f>
              <c:numCache>
                <c:formatCode>0</c:formatCode>
                <c:ptCount val="10"/>
                <c:pt idx="0">
                  <c:v>10</c:v>
                </c:pt>
                <c:pt idx="1">
                  <c:v>20</c:v>
                </c:pt>
                <c:pt idx="2">
                  <c:v>30</c:v>
                </c:pt>
                <c:pt idx="3">
                  <c:v>40</c:v>
                </c:pt>
                <c:pt idx="4">
                  <c:v>50</c:v>
                </c:pt>
                <c:pt idx="5">
                  <c:v>60</c:v>
                </c:pt>
                <c:pt idx="6">
                  <c:v>70</c:v>
                </c:pt>
                <c:pt idx="7">
                  <c:v>80</c:v>
                </c:pt>
                <c:pt idx="8">
                  <c:v>90</c:v>
                </c:pt>
                <c:pt idx="9">
                  <c:v>100</c:v>
                </c:pt>
              </c:numCache>
            </c:numRef>
          </c:xVal>
          <c:yVal>
            <c:numRef>
              <c:f>'Estimate Benchmark'!$K$24:$T$24</c:f>
              <c:numCache>
                <c:formatCode>0.0</c:formatCode>
                <c:ptCount val="10"/>
                <c:pt idx="0">
                  <c:v>21.890720988299545</c:v>
                </c:pt>
                <c:pt idx="1">
                  <c:v>38.113958974644916</c:v>
                </c:pt>
                <c:pt idx="2">
                  <c:v>52.717774662615113</c:v>
                </c:pt>
                <c:pt idx="3">
                  <c:v>66.360256909644988</c:v>
                </c:pt>
                <c:pt idx="4">
                  <c:v>79.329746977810075</c:v>
                </c:pt>
                <c:pt idx="5">
                  <c:v>91.786976856515452</c:v>
                </c:pt>
                <c:pt idx="6">
                  <c:v>103.83374010713713</c:v>
                </c:pt>
                <c:pt idx="7">
                  <c:v>115.53991806633393</c:v>
                </c:pt>
                <c:pt idx="8">
                  <c:v>126.95624629557472</c:v>
                </c:pt>
                <c:pt idx="9">
                  <c:v>138.1211118353431</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pt idx="0">
                  <c:v>NETL - Scaling</c:v>
                </c:pt>
              </c:strCache>
            </c:strRef>
          </c:tx>
          <c:spPr>
            <a:ln w="19050" cap="rnd">
              <a:solidFill>
                <a:schemeClr val="accent3"/>
              </a:solidFill>
              <a:round/>
            </a:ln>
            <a:effectLst/>
          </c:spPr>
          <c:marker>
            <c:symbol val="none"/>
          </c:marker>
          <c:xVal>
            <c:numRef>
              <c:f>'Estimate Benchmark'!$K$23:$T$23</c:f>
              <c:numCache>
                <c:formatCode>0</c:formatCode>
                <c:ptCount val="10"/>
                <c:pt idx="0">
                  <c:v>10</c:v>
                </c:pt>
                <c:pt idx="1">
                  <c:v>20</c:v>
                </c:pt>
                <c:pt idx="2">
                  <c:v>30</c:v>
                </c:pt>
                <c:pt idx="3">
                  <c:v>40</c:v>
                </c:pt>
                <c:pt idx="4">
                  <c:v>50</c:v>
                </c:pt>
                <c:pt idx="5">
                  <c:v>60</c:v>
                </c:pt>
                <c:pt idx="6">
                  <c:v>70</c:v>
                </c:pt>
                <c:pt idx="7">
                  <c:v>80</c:v>
                </c:pt>
                <c:pt idx="8">
                  <c:v>90</c:v>
                </c:pt>
                <c:pt idx="9">
                  <c:v>100</c:v>
                </c:pt>
              </c:numCache>
            </c:numRef>
          </c:xVal>
          <c:yVal>
            <c:numRef>
              <c:f>'Estimate Benchmark'!$K$25:$T$25</c:f>
              <c:numCache>
                <c:formatCode>0.0</c:formatCode>
                <c:ptCount val="10"/>
                <c:pt idx="0">
                  <c:v>28.921660092302876</c:v>
                </c:pt>
                <c:pt idx="1">
                  <c:v>50.355534969626625</c:v>
                </c:pt>
                <c:pt idx="2">
                  <c:v>69.64985577358128</c:v>
                </c:pt>
                <c:pt idx="3">
                  <c:v>87.674078665772257</c:v>
                </c:pt>
                <c:pt idx="4">
                  <c:v>104.80915537349955</c:v>
                </c:pt>
                <c:pt idx="5">
                  <c:v>121.26744235436996</c:v>
                </c:pt>
                <c:pt idx="6">
                  <c:v>137.18342758542519</c:v>
                </c:pt>
                <c:pt idx="7">
                  <c:v>152.64943713791348</c:v>
                </c:pt>
                <c:pt idx="8">
                  <c:v>167.73250200017836</c:v>
                </c:pt>
                <c:pt idx="9">
                  <c:v>182.48333849798209</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pt idx="0">
                  <c:v>IEAGHG - Scaling</c:v>
                </c:pt>
              </c:strCache>
            </c:strRef>
          </c:tx>
          <c:spPr>
            <a:ln w="19050" cap="rnd">
              <a:solidFill>
                <a:schemeClr val="accent4"/>
              </a:solidFill>
              <a:round/>
            </a:ln>
            <a:effectLst/>
          </c:spPr>
          <c:marker>
            <c:symbol val="none"/>
          </c:marker>
          <c:xVal>
            <c:numRef>
              <c:f>'Estimate Benchmark'!$K$23:$T$23</c:f>
              <c:numCache>
                <c:formatCode>0</c:formatCode>
                <c:ptCount val="10"/>
                <c:pt idx="0">
                  <c:v>10</c:v>
                </c:pt>
                <c:pt idx="1">
                  <c:v>20</c:v>
                </c:pt>
                <c:pt idx="2">
                  <c:v>30</c:v>
                </c:pt>
                <c:pt idx="3">
                  <c:v>40</c:v>
                </c:pt>
                <c:pt idx="4">
                  <c:v>50</c:v>
                </c:pt>
                <c:pt idx="5">
                  <c:v>60</c:v>
                </c:pt>
                <c:pt idx="6">
                  <c:v>70</c:v>
                </c:pt>
                <c:pt idx="7">
                  <c:v>80</c:v>
                </c:pt>
                <c:pt idx="8">
                  <c:v>90</c:v>
                </c:pt>
                <c:pt idx="9">
                  <c:v>100</c:v>
                </c:pt>
              </c:numCache>
            </c:numRef>
          </c:xVal>
          <c:yVal>
            <c:numRef>
              <c:f>'Estimate Benchmark'!$K$26:$T$26</c:f>
              <c:numCache>
                <c:formatCode>0.0</c:formatCode>
                <c:ptCount val="10"/>
                <c:pt idx="0">
                  <c:v>10.956613855655904</c:v>
                </c:pt>
                <c:pt idx="1">
                  <c:v>19.076572727718734</c:v>
                </c:pt>
                <c:pt idx="2">
                  <c:v>26.38598795427901</c:v>
                </c:pt>
                <c:pt idx="3">
                  <c:v>33.214242267750045</c:v>
                </c:pt>
                <c:pt idx="4">
                  <c:v>39.705654526743324</c:v>
                </c:pt>
                <c:pt idx="5">
                  <c:v>45.940673353444673</c:v>
                </c:pt>
                <c:pt idx="6">
                  <c:v>51.970247857551527</c:v>
                </c:pt>
                <c:pt idx="7">
                  <c:v>57.82935463128748</c:v>
                </c:pt>
                <c:pt idx="8">
                  <c:v>63.5433875370137</c:v>
                </c:pt>
                <c:pt idx="9">
                  <c:v>69.131559828595414</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scatterChart>
        <c:scatterStyle val="lineMarker"/>
        <c:varyColors val="0"/>
        <c:ser>
          <c:idx val="0"/>
          <c:order val="0"/>
          <c:tx>
            <c:strRef>
              <c:f>'Estimate Benchmark'!$B$12</c:f>
              <c:strCache>
                <c:ptCount val="1"/>
                <c:pt idx="0">
                  <c:v>Estimate </c:v>
                </c:pt>
              </c:strCache>
            </c:strRef>
          </c:tx>
          <c:spPr>
            <a:ln w="25400" cap="rnd">
              <a:noFill/>
              <a:round/>
            </a:ln>
            <a:effectLst/>
          </c:spPr>
          <c:marker>
            <c:symbol val="circle"/>
            <c:size val="7"/>
            <c:spPr>
              <a:solidFill>
                <a:schemeClr val="accent2"/>
              </a:solidFill>
              <a:ln w="9525">
                <a:solidFill>
                  <a:schemeClr val="accent2"/>
                </a:solidFill>
              </a:ln>
              <a:effectLst/>
            </c:spPr>
          </c:marker>
          <c:xVal>
            <c:numRef>
              <c:f>'Estimate Benchmark'!$M$12</c:f>
              <c:numCache>
                <c:formatCode>0.0</c:formatCode>
                <c:ptCount val="1"/>
                <c:pt idx="0">
                  <c:v>43.63</c:v>
                </c:pt>
              </c:numCache>
            </c:numRef>
          </c:xVal>
          <c:yVal>
            <c:numRef>
              <c:f>'Estimate Benchmark'!$R$12</c:f>
              <c:numCache>
                <c:formatCode>0.0</c:formatCode>
                <c:ptCount val="1"/>
                <c:pt idx="0">
                  <c:v>71.135802626583555</c:v>
                </c:pt>
              </c:numCache>
            </c:numRef>
          </c:yVal>
          <c:smooth val="0"/>
          <c:extLst>
            <c:ext xmlns:c16="http://schemas.microsoft.com/office/drawing/2014/chart" uri="{C3380CC4-5D6E-409C-BE32-E72D297353CC}">
              <c16:uniqueId val="{00000000-30EE-4962-AACD-A21C6F585FE3}"/>
            </c:ext>
          </c:extLst>
        </c:ser>
        <c:ser>
          <c:idx val="4"/>
          <c:order val="4"/>
          <c:tx>
            <c:strRef>
              <c:f>'Estimate Benchmark'!$B$13</c:f>
              <c:strCache>
                <c:ptCount val="1"/>
                <c:pt idx="0">
                  <c:v>NETL</c:v>
                </c:pt>
              </c:strCache>
            </c:strRef>
          </c:tx>
          <c:spPr>
            <a:ln w="25400" cap="rnd">
              <a:noFill/>
              <a:round/>
            </a:ln>
            <a:effectLst/>
          </c:spPr>
          <c:marker>
            <c:symbol val="circle"/>
            <c:size val="7"/>
            <c:spPr>
              <a:solidFill>
                <a:schemeClr val="accent3"/>
              </a:solidFill>
              <a:ln w="9525">
                <a:solidFill>
                  <a:schemeClr val="accent3"/>
                </a:solidFill>
              </a:ln>
              <a:effectLst/>
            </c:spPr>
          </c:marker>
          <c:xVal>
            <c:numRef>
              <c:f>'Estimate Benchmark'!$M$13</c:f>
              <c:numCache>
                <c:formatCode>0.0</c:formatCode>
                <c:ptCount val="1"/>
                <c:pt idx="0">
                  <c:v>47.8</c:v>
                </c:pt>
              </c:numCache>
            </c:numRef>
          </c:xVal>
          <c:yVal>
            <c:numRef>
              <c:f>'Estimate Benchmark'!$R$13</c:f>
              <c:numCache>
                <c:formatCode>0.0</c:formatCode>
                <c:ptCount val="1"/>
                <c:pt idx="0">
                  <c:v>101.10334744956241</c:v>
                </c:pt>
              </c:numCache>
            </c:numRef>
          </c:yVal>
          <c:smooth val="0"/>
          <c:extLst>
            <c:ext xmlns:c16="http://schemas.microsoft.com/office/drawing/2014/chart" uri="{C3380CC4-5D6E-409C-BE32-E72D297353CC}">
              <c16:uniqueId val="{00000001-435D-4C55-8921-BAA2D0A8CCC8}"/>
            </c:ext>
          </c:extLst>
        </c:ser>
        <c:ser>
          <c:idx val="5"/>
          <c:order val="5"/>
          <c:tx>
            <c:strRef>
              <c:f>'Estimate Benchmark'!$B$14</c:f>
              <c:strCache>
                <c:ptCount val="1"/>
                <c:pt idx="0">
                  <c:v>IEAGHG</c:v>
                </c:pt>
              </c:strCache>
            </c:strRef>
          </c:tx>
          <c:spPr>
            <a:ln w="25400" cap="rnd">
              <a:noFill/>
              <a:round/>
            </a:ln>
            <a:effectLst/>
          </c:spPr>
          <c:marker>
            <c:symbol val="circle"/>
            <c:size val="7"/>
            <c:spPr>
              <a:solidFill>
                <a:schemeClr val="accent4"/>
              </a:solidFill>
              <a:ln w="9525">
                <a:solidFill>
                  <a:schemeClr val="accent4"/>
                </a:solidFill>
              </a:ln>
              <a:effectLst/>
            </c:spPr>
          </c:marker>
          <c:xVal>
            <c:numRef>
              <c:f>'Estimate Benchmark'!$M$14</c:f>
              <c:numCache>
                <c:formatCode>0.0</c:formatCode>
                <c:ptCount val="1"/>
                <c:pt idx="0">
                  <c:v>16.68</c:v>
                </c:pt>
              </c:numCache>
            </c:numRef>
          </c:xVal>
          <c:yVal>
            <c:numRef>
              <c:f>'Estimate Benchmark'!$R$14</c:f>
              <c:numCache>
                <c:formatCode>0.0</c:formatCode>
                <c:ptCount val="1"/>
                <c:pt idx="0">
                  <c:v>16.498071943287261</c:v>
                </c:pt>
              </c:numCache>
            </c:numRef>
          </c:yVal>
          <c:smooth val="0"/>
          <c:extLst>
            <c:ext xmlns:c16="http://schemas.microsoft.com/office/drawing/2014/chart" uri="{C3380CC4-5D6E-409C-BE32-E72D297353CC}">
              <c16:uniqueId val="{00000002-435D-4C55-8921-BAA2D0A8CCC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2779057000389697"/>
          <c:h val="9.5596505372647467E-2"/>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pt idx="0">
                  <c:v>Estimate </c:v>
                </c:pt>
                <c:pt idx="1">
                  <c:v>NETL</c:v>
                </c:pt>
                <c:pt idx="2">
                  <c:v>IEAGHG</c:v>
                </c:pt>
              </c:strCache>
            </c:strRef>
          </c:tx>
          <c:spPr>
            <a:solidFill>
              <a:schemeClr val="accent1"/>
            </a:solidFill>
            <a:ln>
              <a:noFill/>
            </a:ln>
            <a:effectLst/>
          </c:spPr>
          <c:invertIfNegative val="0"/>
          <c:cat>
            <c:strRef>
              <c:f>'Estimate Benchmark'!$J$31:$J$34</c:f>
              <c:strCache>
                <c:ptCount val="3"/>
                <c:pt idx="0">
                  <c:v>Estimate </c:v>
                </c:pt>
                <c:pt idx="1">
                  <c:v>NETL</c:v>
                </c:pt>
                <c:pt idx="2">
                  <c:v>IEAGHG</c:v>
                </c:pt>
              </c:strCache>
            </c:strRef>
          </c:cat>
          <c:val>
            <c:numRef>
              <c:f>'Estimate Benchmark'!$K$31:$K$34</c:f>
              <c:numCache>
                <c:formatCode>0.000</c:formatCode>
                <c:ptCount val="4"/>
                <c:pt idx="0">
                  <c:v>1.6304332483745942</c:v>
                </c:pt>
                <c:pt idx="1">
                  <c:v>2.1151327918318494</c:v>
                </c:pt>
                <c:pt idx="2">
                  <c:v>0.98909304216350491</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
    <cx:plotArea>
      <cx:plotAreaRegion/>
    </cx:plotArea>
  </cx:chart>
  <cx:spPr>
    <a:ln>
      <a:noFill/>
    </a:ln>
  </cx:spPr>
  <cx:clrMapOvr bg1="lt1" tx1="dk1" bg2="lt2" tx2="dk2" accent1="accent1" accent2="accent2" accent3="accent3" accent4="accent4" accent5="accent5" accent6="accent6" hlink="hlink" folHlink="folHlink"/>
</cx:chartSpace>
</file>

<file path=xl/charts/chartEx2.xml><?xml version="1.0" encoding="utf-8"?>
<cx:chartSpace xmlns:a="http://schemas.openxmlformats.org/drawingml/2006/main" xmlns:r="http://schemas.openxmlformats.org/officeDocument/2006/relationships" xmlns:cx="http://schemas.microsoft.com/office/drawing/2014/chartex">
  <cx:chart>
    <cx:plotArea>
      <cx:plotAreaRegion/>
    </cx:plotArea>
  </cx:chart>
  <cx:spPr>
    <a:ln>
      <a:no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4/relationships/chartEx" Target="../charts/chartEx1.xml"/><Relationship Id="rId1" Type="http://schemas.openxmlformats.org/officeDocument/2006/relationships/chart" Target="../charts/chart1.xml"/><Relationship Id="rId4"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image" Target="../media/image7.emf"/></Relationships>
</file>

<file path=xl/drawings/_rels/drawing6.x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chart" Target="../charts/chart9.xml"/><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3" Type="http://schemas.openxmlformats.org/officeDocument/2006/relationships/image" Target="../media/image9.emf"/><Relationship Id="rId2" Type="http://schemas.microsoft.com/office/2014/relationships/chartEx" Target="../charts/chartEx2.xml"/><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image" Target="../media/image11.png"/><Relationship Id="rId7" Type="http://schemas.openxmlformats.org/officeDocument/2006/relationships/image" Target="../media/image14.emf"/><Relationship Id="rId2" Type="http://schemas.openxmlformats.org/officeDocument/2006/relationships/image" Target="../media/image10.png"/><Relationship Id="rId1" Type="http://schemas.openxmlformats.org/officeDocument/2006/relationships/chart" Target="../charts/chart11.xml"/><Relationship Id="rId6" Type="http://schemas.openxmlformats.org/officeDocument/2006/relationships/image" Target="../media/image13.emf"/><Relationship Id="rId5" Type="http://schemas.openxmlformats.org/officeDocument/2006/relationships/chart" Target="../charts/chart12.xml"/><Relationship Id="rId4" Type="http://schemas.openxmlformats.org/officeDocument/2006/relationships/image" Target="../media/image12.png"/></Relationships>
</file>

<file path=xl/drawings/_rels/drawing9.x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chart" Target="../charts/chart14.xml"/><Relationship Id="rId1" Type="http://schemas.openxmlformats.org/officeDocument/2006/relationships/chart" Target="../charts/chart13.xml"/></Relationships>
</file>

<file path=xl/drawings/_rels/drawing10.x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chart" Target="../charts/chart16.xml"/><Relationship Id="rId1"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chart" Target="../charts/chart18.xml"/><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image" Target="../media/image19.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6" Type="http://schemas.openxmlformats.org/officeDocument/2006/relationships/chart" Target="../charts/chart28.xml"/><Relationship Id="rId5" Type="http://schemas.openxmlformats.org/officeDocument/2006/relationships/chart" Target="../charts/chart27.xml"/><Relationship Id="rId4" Type="http://schemas.openxmlformats.org/officeDocument/2006/relationships/chart" Target="../charts/chart26.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18.x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0.png"/></Relationships>
</file>

<file path=xl/drawings/_rels/drawing20.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chart" Target="../charts/chart34.xml"/></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25400</xdr:rowOff>
        </xdr:from>
        <xdr:to>
          <xdr:col>23</xdr:col>
          <xdr:colOff>609600</xdr:colOff>
          <xdr:row>58</xdr:row>
          <xdr:rowOff>254000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1" i="0" u="none" strike="noStrike" baseline="0">
                  <a:solidFill>
                    <a:srgbClr val="000000"/>
                  </a:solidFill>
                  <a:latin typeface="Calibri" pitchFamily="2" charset="0"/>
                  <a:cs typeface="Calibri"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673100</xdr:colOff>
          <xdr:row>57</xdr:row>
          <xdr:rowOff>25400</xdr:rowOff>
        </xdr:from>
        <xdr:to>
          <xdr:col>23</xdr:col>
          <xdr:colOff>1231900</xdr:colOff>
          <xdr:row>58</xdr:row>
          <xdr:rowOff>254000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400" b="1" i="0" u="none" strike="noStrike" baseline="0">
                  <a:solidFill>
                    <a:srgbClr val="000000"/>
                  </a:solidFill>
                  <a:latin typeface="Calibri" pitchFamily="2" charset="0"/>
                  <a:cs typeface="Calibri"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25400</xdr:rowOff>
        </xdr:from>
        <xdr:to>
          <xdr:col>23</xdr:col>
          <xdr:colOff>609600</xdr:colOff>
          <xdr:row>62</xdr:row>
          <xdr:rowOff>254000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1" i="0" u="none" strike="noStrike" baseline="0">
                  <a:solidFill>
                    <a:srgbClr val="000000"/>
                  </a:solidFill>
                  <a:latin typeface="Calibri" pitchFamily="2" charset="0"/>
                  <a:cs typeface="Calibri"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673100</xdr:colOff>
          <xdr:row>61</xdr:row>
          <xdr:rowOff>25400</xdr:rowOff>
        </xdr:from>
        <xdr:to>
          <xdr:col>23</xdr:col>
          <xdr:colOff>1231900</xdr:colOff>
          <xdr:row>62</xdr:row>
          <xdr:rowOff>254000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400" b="1" i="0" u="none" strike="noStrike" baseline="0">
                  <a:solidFill>
                    <a:srgbClr val="000000"/>
                  </a:solidFill>
                  <a:latin typeface="Calibri" pitchFamily="2" charset="0"/>
                  <a:cs typeface="Calibri"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25400</xdr:rowOff>
        </xdr:from>
        <xdr:to>
          <xdr:col>23</xdr:col>
          <xdr:colOff>609600</xdr:colOff>
          <xdr:row>66</xdr:row>
          <xdr:rowOff>254000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1" i="0" u="none" strike="noStrike" baseline="0">
                  <a:solidFill>
                    <a:srgbClr val="000000"/>
                  </a:solidFill>
                  <a:latin typeface="Calibri" pitchFamily="2" charset="0"/>
                  <a:cs typeface="Calibri"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673100</xdr:colOff>
          <xdr:row>65</xdr:row>
          <xdr:rowOff>25400</xdr:rowOff>
        </xdr:from>
        <xdr:to>
          <xdr:col>23</xdr:col>
          <xdr:colOff>1231900</xdr:colOff>
          <xdr:row>66</xdr:row>
          <xdr:rowOff>254000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400" b="1" i="0" u="none" strike="noStrike" baseline="0">
                  <a:solidFill>
                    <a:srgbClr val="000000"/>
                  </a:solidFill>
                  <a:latin typeface="Calibri" pitchFamily="2" charset="0"/>
                  <a:cs typeface="Calibri"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25400</xdr:colOff>
          <xdr:row>57</xdr:row>
          <xdr:rowOff>12700</xdr:rowOff>
        </xdr:from>
        <xdr:to>
          <xdr:col>18</xdr:col>
          <xdr:colOff>1155700</xdr:colOff>
          <xdr:row>59</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1" i="0" u="none" strike="noStrike" baseline="0">
                  <a:solidFill>
                    <a:srgbClr val="000000"/>
                  </a:solidFill>
                  <a:latin typeface="Calibri" pitchFamily="2" charset="0"/>
                  <a:cs typeface="Calibri" pitchFamily="2" charset="0"/>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12700</xdr:colOff>
          <xdr:row>60</xdr:row>
          <xdr:rowOff>12700</xdr:rowOff>
        </xdr:from>
        <xdr:to>
          <xdr:col>18</xdr:col>
          <xdr:colOff>1155700</xdr:colOff>
          <xdr:row>61</xdr:row>
          <xdr:rowOff>292100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1" i="0" u="none" strike="noStrike" baseline="0">
                  <a:solidFill>
                    <a:srgbClr val="000000"/>
                  </a:solidFill>
                  <a:latin typeface="Calibri" pitchFamily="2" charset="0"/>
                  <a:cs typeface="Calibri" pitchFamily="2" charset="0"/>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25400</xdr:colOff>
          <xdr:row>63</xdr:row>
          <xdr:rowOff>0</xdr:rowOff>
        </xdr:from>
        <xdr:to>
          <xdr:col>18</xdr:col>
          <xdr:colOff>1143000</xdr:colOff>
          <xdr:row>64</xdr:row>
          <xdr:rowOff>279400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1" i="0" u="none" strike="noStrike" baseline="0">
                  <a:solidFill>
                    <a:srgbClr val="000000"/>
                  </a:solidFill>
                  <a:latin typeface="Calibri" pitchFamily="2" charset="0"/>
                  <a:cs typeface="Calibri" pitchFamily="2" charset="0"/>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25400</xdr:colOff>
          <xdr:row>66</xdr:row>
          <xdr:rowOff>12700</xdr:rowOff>
        </xdr:from>
        <xdr:to>
          <xdr:col>18</xdr:col>
          <xdr:colOff>1155700</xdr:colOff>
          <xdr:row>67</xdr:row>
          <xdr:rowOff>279400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25400</xdr:colOff>
          <xdr:row>69</xdr:row>
          <xdr:rowOff>12700</xdr:rowOff>
        </xdr:from>
        <xdr:to>
          <xdr:col>18</xdr:col>
          <xdr:colOff>1143000</xdr:colOff>
          <xdr:row>70</xdr:row>
          <xdr:rowOff>279400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Input SSM</a:t>
              </a:r>
            </a:p>
          </xdr:txBody>
        </xdr:sp>
        <xdr:clientData fPrintsWithSheet="0"/>
      </xdr:twoCellAnchor>
    </mc:Choice>
    <mc:Fallback/>
  </mc:AlternateContent>
  <xdr:twoCellAnchor editAs="oneCell">
    <xdr:from>
      <xdr:col>14</xdr:col>
      <xdr:colOff>110837</xdr:colOff>
      <xdr:row>4</xdr:row>
      <xdr:rowOff>110836</xdr:rowOff>
    </xdr:from>
    <xdr:to>
      <xdr:col>26</xdr:col>
      <xdr:colOff>1121993</xdr:colOff>
      <xdr:row>24</xdr:row>
      <xdr:rowOff>249381</xdr:rowOff>
    </xdr:to>
    <xdr:pic>
      <xdr:nvPicPr>
        <xdr:cNvPr id="16" name="Picture 15">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427528" y="1136072"/>
          <a:ext cx="14081188" cy="56803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2</xdr:col>
      <xdr:colOff>85032</xdr:colOff>
      <xdr:row>59</xdr:row>
      <xdr:rowOff>54776</xdr:rowOff>
    </xdr:from>
    <xdr:ext cx="6329795" cy="4421974"/>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63500</xdr:colOff>
          <xdr:row>7</xdr:row>
          <xdr:rowOff>25400</xdr:rowOff>
        </xdr:from>
        <xdr:to>
          <xdr:col>2</xdr:col>
          <xdr:colOff>1320800</xdr:colOff>
          <xdr:row>8</xdr:row>
          <xdr:rowOff>177800</xdr:rowOff>
        </xdr:to>
        <xdr:sp macro="" textlink="">
          <xdr:nvSpPr>
            <xdr:cNvPr id="317441" name="Button 1" hidden="1">
              <a:extLst>
                <a:ext uri="{63B3BB69-23CF-44E3-9099-C40C66FF867C}">
                  <a14:compatExt spid="_x0000_s317441"/>
                </a:ext>
                <a:ext uri="{FF2B5EF4-FFF2-40B4-BE49-F238E27FC236}">
                  <a16:creationId xmlns:a16="http://schemas.microsoft.com/office/drawing/2014/main" id="{00000000-0008-0000-0200-000001D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Calibri" pitchFamily="2" charset="0"/>
                  <a:cs typeface="Calibri" pitchFamily="2" charset="0"/>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0146797" y="1036047"/>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52FA669C-0F1A-45AD-AA9E-F2955D69A6C3}"/>
                </a:ext>
              </a:extLst>
            </xdr:cNvPr>
            <xdr:cNvSpPr txBox="1"/>
          </xdr:nvSpPr>
          <xdr:spPr>
            <a:xfrm>
              <a:off x="10146797" y="1036047"/>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59</xdr:row>
      <xdr:rowOff>98612</xdr:rowOff>
    </xdr:from>
    <xdr:to>
      <xdr:col>13</xdr:col>
      <xdr:colOff>98612</xdr:colOff>
      <xdr:row>81</xdr:row>
      <xdr:rowOff>35858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700247" y="12087412"/>
              <a:ext cx="8390965" cy="440764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337705</xdr:colOff>
      <xdr:row>4</xdr:row>
      <xdr:rowOff>102178</xdr:rowOff>
    </xdr:from>
    <xdr:to>
      <xdr:col>28</xdr:col>
      <xdr:colOff>187818</xdr:colOff>
      <xdr:row>29</xdr:row>
      <xdr:rowOff>42148</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3"/>
        <a:stretch>
          <a:fillRect/>
        </a:stretch>
      </xdr:blipFill>
      <xdr:spPr>
        <a:xfrm>
          <a:off x="24615025" y="936568"/>
          <a:ext cx="7592033" cy="5083470"/>
        </a:xfrm>
        <a:prstGeom prst="rect">
          <a:avLst/>
        </a:prstGeom>
      </xdr:spPr>
    </xdr:pic>
    <xdr:clientData/>
  </xdr:twoCellAnchor>
  <xdr:twoCellAnchor editAs="oneCell">
    <xdr:from>
      <xdr:col>30</xdr:col>
      <xdr:colOff>57150</xdr:colOff>
      <xdr:row>3</xdr:row>
      <xdr:rowOff>152400</xdr:rowOff>
    </xdr:from>
    <xdr:to>
      <xdr:col>38</xdr:col>
      <xdr:colOff>457200</xdr:colOff>
      <xdr:row>30</xdr:row>
      <xdr:rowOff>32436</xdr:rowOff>
    </xdr:to>
    <xdr:pic>
      <xdr:nvPicPr>
        <xdr:cNvPr id="8" name="Picture 7">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3794700" y="781050"/>
          <a:ext cx="7410450" cy="55378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63500</xdr:colOff>
          <xdr:row>7</xdr:row>
          <xdr:rowOff>25400</xdr:rowOff>
        </xdr:from>
        <xdr:to>
          <xdr:col>2</xdr:col>
          <xdr:colOff>1320800</xdr:colOff>
          <xdr:row>8</xdr:row>
          <xdr:rowOff>177800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0300-0000013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Calibri" pitchFamily="2" charset="0"/>
                  <a:cs typeface="Calibri" pitchFamily="2" charset="0"/>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27747" y="1036047"/>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93AADD20-598C-451A-8FF1-0E9063AE98CE}"/>
                </a:ext>
              </a:extLst>
            </xdr:cNvPr>
            <xdr:cNvSpPr txBox="1"/>
          </xdr:nvSpPr>
          <xdr:spPr>
            <a:xfrm>
              <a:off x="10127747" y="1036047"/>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23</xdr:col>
      <xdr:colOff>41563</xdr:colOff>
      <xdr:row>5</xdr:row>
      <xdr:rowOff>41563</xdr:rowOff>
    </xdr:from>
    <xdr:to>
      <xdr:col>35</xdr:col>
      <xdr:colOff>443346</xdr:colOff>
      <xdr:row>27</xdr:row>
      <xdr:rowOff>98042</xdr:rowOff>
    </xdr:to>
    <xdr:pic>
      <xdr:nvPicPr>
        <xdr:cNvPr id="7" name="Picture 6">
          <a:extLst>
            <a:ext uri="{FF2B5EF4-FFF2-40B4-BE49-F238E27FC236}">
              <a16:creationId xmlns:a16="http://schemas.microsoft.com/office/drawing/2014/main" id="{00000000-0008-0000-03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049018" y="1080654"/>
          <a:ext cx="11042073" cy="46284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63500</xdr:colOff>
          <xdr:row>7</xdr:row>
          <xdr:rowOff>25400</xdr:rowOff>
        </xdr:from>
        <xdr:to>
          <xdr:col>2</xdr:col>
          <xdr:colOff>1320800</xdr:colOff>
          <xdr:row>8</xdr:row>
          <xdr:rowOff>177800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400-0000010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Calibri" pitchFamily="2" charset="0"/>
                  <a:cs typeface="Calibri" pitchFamily="2" charset="0"/>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401781</xdr:colOff>
      <xdr:row>3</xdr:row>
      <xdr:rowOff>180109</xdr:rowOff>
    </xdr:from>
    <xdr:to>
      <xdr:col>37</xdr:col>
      <xdr:colOff>318655</xdr:colOff>
      <xdr:row>30</xdr:row>
      <xdr:rowOff>62684</xdr:rowOff>
    </xdr:to>
    <xdr:pic>
      <xdr:nvPicPr>
        <xdr:cNvPr id="13" name="Picture 12">
          <a:extLst>
            <a:ext uri="{FF2B5EF4-FFF2-40B4-BE49-F238E27FC236}">
              <a16:creationId xmlns:a16="http://schemas.microsoft.com/office/drawing/2014/main" id="{00000000-0008-0000-0400-00000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4550254" y="803564"/>
          <a:ext cx="13217237" cy="54936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63500</xdr:colOff>
          <xdr:row>7</xdr:row>
          <xdr:rowOff>25400</xdr:rowOff>
        </xdr:from>
        <xdr:to>
          <xdr:col>2</xdr:col>
          <xdr:colOff>1320800</xdr:colOff>
          <xdr:row>8</xdr:row>
          <xdr:rowOff>177800</xdr:rowOff>
        </xdr:to>
        <xdr:sp macro="" textlink="">
          <xdr:nvSpPr>
            <xdr:cNvPr id="273409" name="Button 1" hidden="1">
              <a:extLst>
                <a:ext uri="{63B3BB69-23CF-44E3-9099-C40C66FF867C}">
                  <a14:compatExt spid="_x0000_s273409"/>
                </a:ext>
                <a:ext uri="{FF2B5EF4-FFF2-40B4-BE49-F238E27FC236}">
                  <a16:creationId xmlns:a16="http://schemas.microsoft.com/office/drawing/2014/main" id="{00000000-0008-0000-0500-0000012C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Calibri" pitchFamily="2" charset="0"/>
                  <a:cs typeface="Calibri" pitchFamily="2" charset="0"/>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0127747" y="1036047"/>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49563048-65BE-4547-85FC-3BD7E3F8E5E9}"/>
                </a:ext>
              </a:extLst>
            </xdr:cNvPr>
            <xdr:cNvSpPr txBox="1"/>
          </xdr:nvSpPr>
          <xdr:spPr>
            <a:xfrm>
              <a:off x="10127747" y="1036047"/>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41</xdr:col>
      <xdr:colOff>312134</xdr:colOff>
      <xdr:row>3</xdr:row>
      <xdr:rowOff>154743</xdr:rowOff>
    </xdr:from>
    <xdr:to>
      <xdr:col>53</xdr:col>
      <xdr:colOff>492562</xdr:colOff>
      <xdr:row>34</xdr:row>
      <xdr:rowOff>193964</xdr:rowOff>
    </xdr:to>
    <xdr:pic>
      <xdr:nvPicPr>
        <xdr:cNvPr id="6" name="Picture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0601152" y="778198"/>
          <a:ext cx="9324428" cy="64815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22</xdr:col>
      <xdr:colOff>171450</xdr:colOff>
      <xdr:row>3</xdr:row>
      <xdr:rowOff>152400</xdr:rowOff>
    </xdr:from>
    <xdr:to>
      <xdr:col>31</xdr:col>
      <xdr:colOff>240723</xdr:colOff>
      <xdr:row>30</xdr:row>
      <xdr:rowOff>40064</xdr:rowOff>
    </xdr:to>
    <xdr:pic>
      <xdr:nvPicPr>
        <xdr:cNvPr id="9" name="Picture 8">
          <a:extLst>
            <a:ext uri="{FF2B5EF4-FFF2-40B4-BE49-F238E27FC236}">
              <a16:creationId xmlns:a16="http://schemas.microsoft.com/office/drawing/2014/main" id="{00000000-0008-0000-05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517350" y="781050"/>
          <a:ext cx="7955973" cy="55455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63500</xdr:colOff>
          <xdr:row>7</xdr:row>
          <xdr:rowOff>25400</xdr:rowOff>
        </xdr:from>
        <xdr:to>
          <xdr:col>2</xdr:col>
          <xdr:colOff>1320800</xdr:colOff>
          <xdr:row>8</xdr:row>
          <xdr:rowOff>177800</xdr:rowOff>
        </xdr:to>
        <xdr:sp macro="" textlink="">
          <xdr:nvSpPr>
            <xdr:cNvPr id="276481" name="Button 1" hidden="1">
              <a:extLst>
                <a:ext uri="{63B3BB69-23CF-44E3-9099-C40C66FF867C}">
                  <a14:compatExt spid="_x0000_s276481"/>
                </a:ext>
                <a:ext uri="{FF2B5EF4-FFF2-40B4-BE49-F238E27FC236}">
                  <a16:creationId xmlns:a16="http://schemas.microsoft.com/office/drawing/2014/main" id="{00000000-0008-0000-0600-0000013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Calibri" pitchFamily="2" charset="0"/>
                  <a:cs typeface="Calibri" pitchFamily="2" charset="0"/>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10127747" y="1036047"/>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13F99B5B-ADD1-4822-8B85-9D7D2155A367}"/>
                </a:ext>
              </a:extLst>
            </xdr:cNvPr>
            <xdr:cNvSpPr txBox="1"/>
          </xdr:nvSpPr>
          <xdr:spPr>
            <a:xfrm>
              <a:off x="10127747" y="1036047"/>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831272</xdr:colOff>
      <xdr:row>8</xdr:row>
      <xdr:rowOff>166256</xdr:rowOff>
    </xdr:from>
    <xdr:to>
      <xdr:col>27</xdr:col>
      <xdr:colOff>775162</xdr:colOff>
      <xdr:row>23</xdr:row>
      <xdr:rowOff>72737</xdr:rowOff>
    </xdr:to>
    <xdr:pic>
      <xdr:nvPicPr>
        <xdr:cNvPr id="9" name="Picture 8">
          <a:extLst>
            <a:ext uri="{FF2B5EF4-FFF2-40B4-BE49-F238E27FC236}">
              <a16:creationId xmlns:a16="http://schemas.microsoft.com/office/drawing/2014/main" id="{00000000-0008-0000-0600-000009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4952036" y="1828801"/>
          <a:ext cx="4377344" cy="30237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oneCellAnchor>
    <xdr:from>
      <xdr:col>2</xdr:col>
      <xdr:colOff>218382</xdr:colOff>
      <xdr:row>57</xdr:row>
      <xdr:rowOff>207176</xdr:rowOff>
    </xdr:from>
    <xdr:ext cx="6329795" cy="4420242"/>
    <xdr:graphicFrame macro="">
      <xdr:nvGraphicFramePr>
        <xdr:cNvPr id="2" name="Gráfico 9">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63500</xdr:colOff>
          <xdr:row>7</xdr:row>
          <xdr:rowOff>25400</xdr:rowOff>
        </xdr:from>
        <xdr:to>
          <xdr:col>2</xdr:col>
          <xdr:colOff>1320800</xdr:colOff>
          <xdr:row>8</xdr:row>
          <xdr:rowOff>177800</xdr:rowOff>
        </xdr:to>
        <xdr:sp macro="" textlink="">
          <xdr:nvSpPr>
            <xdr:cNvPr id="316417" name="Button 1" hidden="1">
              <a:extLst>
                <a:ext uri="{63B3BB69-23CF-44E3-9099-C40C66FF867C}">
                  <a14:compatExt spid="_x0000_s316417"/>
                </a:ext>
                <a:ext uri="{FF2B5EF4-FFF2-40B4-BE49-F238E27FC236}">
                  <a16:creationId xmlns:a16="http://schemas.microsoft.com/office/drawing/2014/main" id="{00000000-0008-0000-0700-000001D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Calibri" pitchFamily="2" charset="0"/>
                  <a:cs typeface="Calibri" pitchFamily="2" charset="0"/>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10146797" y="1036047"/>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3A33D6B4-CE6F-4359-A46F-0016726FFFF1}"/>
                </a:ext>
              </a:extLst>
            </xdr:cNvPr>
            <xdr:cNvSpPr txBox="1"/>
          </xdr:nvSpPr>
          <xdr:spPr>
            <a:xfrm>
              <a:off x="10146797" y="1036047"/>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700247" y="11681012"/>
              <a:ext cx="8390965" cy="440764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374073</xdr:colOff>
      <xdr:row>2</xdr:row>
      <xdr:rowOff>180109</xdr:rowOff>
    </xdr:from>
    <xdr:to>
      <xdr:col>27</xdr:col>
      <xdr:colOff>706582</xdr:colOff>
      <xdr:row>30</xdr:row>
      <xdr:rowOff>84567</xdr:rowOff>
    </xdr:to>
    <xdr:pic>
      <xdr:nvPicPr>
        <xdr:cNvPr id="7" name="Picture 6">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4522546" y="595745"/>
          <a:ext cx="7204363" cy="57233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63500</xdr:colOff>
          <xdr:row>7</xdr:row>
          <xdr:rowOff>25400</xdr:rowOff>
        </xdr:from>
        <xdr:to>
          <xdr:col>2</xdr:col>
          <xdr:colOff>1320800</xdr:colOff>
          <xdr:row>8</xdr:row>
          <xdr:rowOff>177800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0800-0000013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Calibri" pitchFamily="2" charset="0"/>
                  <a:cs typeface="Calibri" pitchFamily="2" charset="0"/>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10127747" y="1036047"/>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C124C91E-DDD0-41B5-9D7C-D6E68F921845}"/>
                </a:ext>
              </a:extLst>
            </xdr:cNvPr>
            <xdr:cNvSpPr txBox="1"/>
          </xdr:nvSpPr>
          <xdr:spPr>
            <a:xfrm>
              <a:off x="10127747" y="1036047"/>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33</xdr:col>
      <xdr:colOff>583520</xdr:colOff>
      <xdr:row>3</xdr:row>
      <xdr:rowOff>88832</xdr:rowOff>
    </xdr:from>
    <xdr:to>
      <xdr:col>39</xdr:col>
      <xdr:colOff>193963</xdr:colOff>
      <xdr:row>21</xdr:row>
      <xdr:rowOff>135034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stretch>
          <a:fillRect/>
        </a:stretch>
      </xdr:blipFill>
      <xdr:spPr>
        <a:xfrm>
          <a:off x="34457884" y="712287"/>
          <a:ext cx="4930588" cy="3786929"/>
        </a:xfrm>
        <a:prstGeom prst="rect">
          <a:avLst/>
        </a:prstGeom>
      </xdr:spPr>
    </xdr:pic>
    <xdr:clientData/>
  </xdr:twoCellAnchor>
  <xdr:twoCellAnchor editAs="oneCell">
    <xdr:from>
      <xdr:col>33</xdr:col>
      <xdr:colOff>290947</xdr:colOff>
      <xdr:row>24</xdr:row>
      <xdr:rowOff>69273</xdr:rowOff>
    </xdr:from>
    <xdr:to>
      <xdr:col>35</xdr:col>
      <xdr:colOff>803566</xdr:colOff>
      <xdr:row>29</xdr:row>
      <xdr:rowOff>164680</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stretch>
          <a:fillRect/>
        </a:stretch>
      </xdr:blipFill>
      <xdr:spPr>
        <a:xfrm>
          <a:off x="34165311" y="5056909"/>
          <a:ext cx="2286000" cy="1134498"/>
        </a:xfrm>
        <a:prstGeom prst="rect">
          <a:avLst/>
        </a:prstGeom>
      </xdr:spPr>
    </xdr:pic>
    <xdr:clientData/>
  </xdr:twoCellAnchor>
  <xdr:twoCellAnchor editAs="oneCell">
    <xdr:from>
      <xdr:col>36</xdr:col>
      <xdr:colOff>332511</xdr:colOff>
      <xdr:row>23</xdr:row>
      <xdr:rowOff>180110</xdr:rowOff>
    </xdr:from>
    <xdr:to>
      <xdr:col>39</xdr:col>
      <xdr:colOff>775855</xdr:colOff>
      <xdr:row>29</xdr:row>
      <xdr:rowOff>59112</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4"/>
        <a:stretch>
          <a:fillRect/>
        </a:stretch>
      </xdr:blipFill>
      <xdr:spPr>
        <a:xfrm>
          <a:off x="36866947" y="4959928"/>
          <a:ext cx="3103417" cy="1125911"/>
        </a:xfrm>
        <a:prstGeom prst="rect">
          <a:avLst/>
        </a:prstGeom>
      </xdr:spPr>
    </xdr:pic>
    <xdr:clientData/>
  </xdr:twoCellAnchor>
  <xdr:twoCellAnchor>
    <xdr:from>
      <xdr:col>7</xdr:col>
      <xdr:colOff>387927</xdr:colOff>
      <xdr:row>57</xdr:row>
      <xdr:rowOff>124691</xdr:rowOff>
    </xdr:from>
    <xdr:to>
      <xdr:col>13</xdr:col>
      <xdr:colOff>1094509</xdr:colOff>
      <xdr:row>77</xdr:row>
      <xdr:rowOff>96982</xdr:rowOff>
    </xdr:to>
    <xdr:graphicFrame macro="">
      <xdr:nvGraphicFramePr>
        <xdr:cNvPr id="8" name="Gráfico 3">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41</xdr:col>
      <xdr:colOff>396586</xdr:colOff>
      <xdr:row>3</xdr:row>
      <xdr:rowOff>145126</xdr:rowOff>
    </xdr:from>
    <xdr:to>
      <xdr:col>50</xdr:col>
      <xdr:colOff>533328</xdr:colOff>
      <xdr:row>26</xdr:row>
      <xdr:rowOff>183226</xdr:rowOff>
    </xdr:to>
    <xdr:pic>
      <xdr:nvPicPr>
        <xdr:cNvPr id="9" name="Picture 8">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40569226" y="785206"/>
          <a:ext cx="6994742" cy="49453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22</xdr:col>
      <xdr:colOff>27708</xdr:colOff>
      <xdr:row>3</xdr:row>
      <xdr:rowOff>96982</xdr:rowOff>
    </xdr:from>
    <xdr:to>
      <xdr:col>31</xdr:col>
      <xdr:colOff>780703</xdr:colOff>
      <xdr:row>30</xdr:row>
      <xdr:rowOff>157943</xdr:rowOff>
    </xdr:to>
    <xdr:pic>
      <xdr:nvPicPr>
        <xdr:cNvPr id="10" name="Picture 9">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4148472" y="720437"/>
          <a:ext cx="8733213" cy="56720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63500</xdr:colOff>
          <xdr:row>7</xdr:row>
          <xdr:rowOff>25400</xdr:rowOff>
        </xdr:from>
        <xdr:to>
          <xdr:col>2</xdr:col>
          <xdr:colOff>1320800</xdr:colOff>
          <xdr:row>8</xdr:row>
          <xdr:rowOff>177800</xdr:rowOff>
        </xdr:to>
        <xdr:sp macro="" textlink="">
          <xdr:nvSpPr>
            <xdr:cNvPr id="272385" name="Button 1" hidden="1">
              <a:extLst>
                <a:ext uri="{63B3BB69-23CF-44E3-9099-C40C66FF867C}">
                  <a14:compatExt spid="_x0000_s272385"/>
                </a:ext>
                <a:ext uri="{FF2B5EF4-FFF2-40B4-BE49-F238E27FC236}">
                  <a16:creationId xmlns:a16="http://schemas.microsoft.com/office/drawing/2014/main" id="{00000000-0008-0000-0900-0000012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Calibri" pitchFamily="2" charset="0"/>
                  <a:cs typeface="Calibri" pitchFamily="2" charset="0"/>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1012203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CC010926-77C7-4627-AFF7-F3C178A9A2AE}"/>
                </a:ext>
              </a:extLst>
            </xdr:cNvPr>
            <xdr:cNvSpPr txBox="1"/>
          </xdr:nvSpPr>
          <xdr:spPr>
            <a:xfrm>
              <a:off x="1012203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0</xdr:colOff>
      <xdr:row>4</xdr:row>
      <xdr:rowOff>0</xdr:rowOff>
    </xdr:from>
    <xdr:to>
      <xdr:col>35</xdr:col>
      <xdr:colOff>609601</xdr:colOff>
      <xdr:row>30</xdr:row>
      <xdr:rowOff>140737</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4148473" y="831273"/>
          <a:ext cx="12136582" cy="55440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63500</xdr:colOff>
          <xdr:row>7</xdr:row>
          <xdr:rowOff>25400</xdr:rowOff>
        </xdr:from>
        <xdr:to>
          <xdr:col>2</xdr:col>
          <xdr:colOff>1320800</xdr:colOff>
          <xdr:row>8</xdr:row>
          <xdr:rowOff>177800</xdr:rowOff>
        </xdr:to>
        <xdr:sp macro="" textlink="">
          <xdr:nvSpPr>
            <xdr:cNvPr id="277505" name="Button 1" hidden="1">
              <a:extLst>
                <a:ext uri="{63B3BB69-23CF-44E3-9099-C40C66FF867C}">
                  <a14:compatExt spid="_x0000_s277505"/>
                </a:ext>
                <a:ext uri="{FF2B5EF4-FFF2-40B4-BE49-F238E27FC236}">
                  <a16:creationId xmlns:a16="http://schemas.microsoft.com/office/drawing/2014/main" id="{00000000-0008-0000-0A00-0000013C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Calibri" pitchFamily="2" charset="0"/>
                  <a:cs typeface="Calibri" pitchFamily="2" charset="0"/>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A00-000005000000}"/>
                </a:ext>
              </a:extLst>
            </xdr:cNvPr>
            <xdr:cNvSpPr txBox="1"/>
          </xdr:nvSpPr>
          <xdr:spPr>
            <a:xfrm>
              <a:off x="1012203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13A4C9A-5582-472C-986B-5514298D1FCE}"/>
                </a:ext>
              </a:extLst>
            </xdr:cNvPr>
            <xdr:cNvSpPr txBox="1"/>
          </xdr:nvSpPr>
          <xdr:spPr>
            <a:xfrm>
              <a:off x="1012203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0</xdr:colOff>
      <xdr:row>4</xdr:row>
      <xdr:rowOff>0</xdr:rowOff>
    </xdr:from>
    <xdr:to>
      <xdr:col>36</xdr:col>
      <xdr:colOff>799554</xdr:colOff>
      <xdr:row>29</xdr:row>
      <xdr:rowOff>59599</xdr:rowOff>
    </xdr:to>
    <xdr:pic>
      <xdr:nvPicPr>
        <xdr:cNvPr id="6" name="Picture 5">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4220714" y="827314"/>
          <a:ext cx="13143954" cy="52360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63500</xdr:colOff>
          <xdr:row>7</xdr:row>
          <xdr:rowOff>25400</xdr:rowOff>
        </xdr:from>
        <xdr:to>
          <xdr:col>2</xdr:col>
          <xdr:colOff>1587500</xdr:colOff>
          <xdr:row>8</xdr:row>
          <xdr:rowOff>177800</xdr:rowOff>
        </xdr:to>
        <xdr:sp macro="" textlink="">
          <xdr:nvSpPr>
            <xdr:cNvPr id="292865" name="Button 1" hidden="1">
              <a:extLst>
                <a:ext uri="{63B3BB69-23CF-44E3-9099-C40C66FF867C}">
                  <a14:compatExt spid="_x0000_s292865"/>
                </a:ext>
                <a:ext uri="{FF2B5EF4-FFF2-40B4-BE49-F238E27FC236}">
                  <a16:creationId xmlns:a16="http://schemas.microsoft.com/office/drawing/2014/main" id="{00000000-0008-0000-0B00-0000017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Calibri" pitchFamily="2" charset="0"/>
                  <a:cs typeface="Calibri" pitchFamily="2" charset="0"/>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225137</xdr:colOff>
      <xdr:row>40</xdr:row>
      <xdr:rowOff>69272</xdr:rowOff>
    </xdr:from>
    <xdr:to>
      <xdr:col>5</xdr:col>
      <xdr:colOff>1030431</xdr:colOff>
      <xdr:row>61</xdr:row>
      <xdr:rowOff>34636</xdr:rowOff>
    </xdr:to>
    <xdr:graphicFrame macro="">
      <xdr:nvGraphicFramePr>
        <xdr:cNvPr id="4" name="Gráfico 5">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12249569" y="115606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89EDE1AB-DAE0-4F8C-88C2-EC5C1B9DC521}"/>
                </a:ext>
              </a:extLst>
            </xdr:cNvPr>
            <xdr:cNvSpPr txBox="1"/>
          </xdr:nvSpPr>
          <xdr:spPr>
            <a:xfrm>
              <a:off x="12249569" y="115606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266700</xdr:colOff>
      <xdr:row>7</xdr:row>
      <xdr:rowOff>114300</xdr:rowOff>
    </xdr:from>
    <xdr:to>
      <xdr:col>33</xdr:col>
      <xdr:colOff>685800</xdr:colOff>
      <xdr:row>22</xdr:row>
      <xdr:rowOff>177800</xdr:rowOff>
    </xdr:to>
    <xdr:pic>
      <xdr:nvPicPr>
        <xdr:cNvPr id="6" name="Picture 5">
          <a:extLst>
            <a:ext uri="{FF2B5EF4-FFF2-40B4-BE49-F238E27FC236}">
              <a16:creationId xmlns:a16="http://schemas.microsoft.com/office/drawing/2014/main" id="{00000000-0008-0000-0B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765500" y="1714500"/>
          <a:ext cx="10687050" cy="349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23</xdr:col>
          <xdr:colOff>0</xdr:colOff>
          <xdr:row>30</xdr:row>
          <xdr:rowOff>0</xdr:rowOff>
        </xdr:from>
        <xdr:to>
          <xdr:col>24</xdr:col>
          <xdr:colOff>25400</xdr:colOff>
          <xdr:row>33</xdr:row>
          <xdr:rowOff>215900</xdr:rowOff>
        </xdr:to>
        <xdr:sp macro="" textlink="">
          <xdr:nvSpPr>
            <xdr:cNvPr id="292869" name="Object 5" hidden="1">
              <a:extLst>
                <a:ext uri="{63B3BB69-23CF-44E3-9099-C40C66FF867C}">
                  <a14:compatExt spid="_x0000_s292869"/>
                </a:ext>
                <a:ext uri="{FF2B5EF4-FFF2-40B4-BE49-F238E27FC236}">
                  <a16:creationId xmlns:a16="http://schemas.microsoft.com/office/drawing/2014/main" id="{00000000-0008-0000-0B00-0000057804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63500</xdr:colOff>
          <xdr:row>7</xdr:row>
          <xdr:rowOff>25400</xdr:rowOff>
        </xdr:from>
        <xdr:to>
          <xdr:col>2</xdr:col>
          <xdr:colOff>1320800</xdr:colOff>
          <xdr:row>8</xdr:row>
          <xdr:rowOff>177800</xdr:rowOff>
        </xdr:to>
        <xdr:sp macro="" textlink="">
          <xdr:nvSpPr>
            <xdr:cNvPr id="305153" name="Button 1" hidden="1">
              <a:extLst>
                <a:ext uri="{63B3BB69-23CF-44E3-9099-C40C66FF867C}">
                  <a14:compatExt spid="_x0000_s305153"/>
                </a:ext>
                <a:ext uri="{FF2B5EF4-FFF2-40B4-BE49-F238E27FC236}">
                  <a16:creationId xmlns:a16="http://schemas.microsoft.com/office/drawing/2014/main" id="{00000000-0008-0000-0C00-000001A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Calibri" pitchFamily="2" charset="0"/>
                  <a:cs typeface="Calibri" pitchFamily="2" charset="0"/>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C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49B6FEDF-F968-489A-8D60-6D7DF1311E4A}"/>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0</xdr:colOff>
      <xdr:row>4</xdr:row>
      <xdr:rowOff>0</xdr:rowOff>
    </xdr:from>
    <xdr:to>
      <xdr:col>34</xdr:col>
      <xdr:colOff>266700</xdr:colOff>
      <xdr:row>21</xdr:row>
      <xdr:rowOff>34059</xdr:rowOff>
    </xdr:to>
    <xdr:pic>
      <xdr:nvPicPr>
        <xdr:cNvPr id="7" name="Picture 6">
          <a:extLst>
            <a:ext uri="{FF2B5EF4-FFF2-40B4-BE49-F238E27FC236}">
              <a16:creationId xmlns:a16="http://schemas.microsoft.com/office/drawing/2014/main" id="{00000000-0008-0000-0C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4250650" y="838200"/>
          <a:ext cx="10782300" cy="35964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30</xdr:col>
      <xdr:colOff>401782</xdr:colOff>
      <xdr:row>34</xdr:row>
      <xdr:rowOff>110837</xdr:rowOff>
    </xdr:from>
    <xdr:to>
      <xdr:col>34</xdr:col>
      <xdr:colOff>455018</xdr:colOff>
      <xdr:row>46</xdr:row>
      <xdr:rowOff>121781</xdr:rowOff>
    </xdr:to>
    <xdr:pic>
      <xdr:nvPicPr>
        <xdr:cNvPr id="8" name="Picture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4"/>
        <a:stretch>
          <a:fillRect/>
        </a:stretch>
      </xdr:blipFill>
      <xdr:spPr>
        <a:xfrm>
          <a:off x="31616073" y="7176655"/>
          <a:ext cx="3600000" cy="2504762"/>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14</xdr:col>
      <xdr:colOff>552105</xdr:colOff>
      <xdr:row>2</xdr:row>
      <xdr:rowOff>150668</xdr:rowOff>
    </xdr:from>
    <xdr:to>
      <xdr:col>18</xdr:col>
      <xdr:colOff>1773382</xdr:colOff>
      <xdr:row>13</xdr:row>
      <xdr:rowOff>219767</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25400</xdr:colOff>
          <xdr:row>29</xdr:row>
          <xdr:rowOff>25400</xdr:rowOff>
        </xdr:from>
        <xdr:to>
          <xdr:col>3</xdr:col>
          <xdr:colOff>2235200</xdr:colOff>
          <xdr:row>30</xdr:row>
          <xdr:rowOff>444500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D00-000002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Calibri" pitchFamily="2" charset="0"/>
                  <a:cs typeface="Calibri" pitchFamily="2" charset="0"/>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36</xdr:row>
          <xdr:rowOff>25400</xdr:rowOff>
        </xdr:from>
        <xdr:to>
          <xdr:col>4</xdr:col>
          <xdr:colOff>0</xdr:colOff>
          <xdr:row>37</xdr:row>
          <xdr:rowOff>12700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D00-000007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1" i="0" u="none" strike="noStrike" baseline="0">
                  <a:solidFill>
                    <a:srgbClr val="000000"/>
                  </a:solidFill>
                  <a:latin typeface="Calibri" pitchFamily="2" charset="0"/>
                  <a:cs typeface="Calibri"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37</xdr:row>
          <xdr:rowOff>25400</xdr:rowOff>
        </xdr:from>
        <xdr:to>
          <xdr:col>3</xdr:col>
          <xdr:colOff>2222500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D00-000008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1" i="0" u="none" strike="noStrike" baseline="0">
                  <a:solidFill>
                    <a:srgbClr val="000000"/>
                  </a:solidFill>
                  <a:latin typeface="Calibri" pitchFamily="2" charset="0"/>
                  <a:cs typeface="Calibri"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37</xdr:row>
          <xdr:rowOff>25400</xdr:rowOff>
        </xdr:from>
        <xdr:to>
          <xdr:col>1</xdr:col>
          <xdr:colOff>3111500</xdr:colOff>
          <xdr:row>37</xdr:row>
          <xdr:rowOff>444500</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0D00-000009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Calibri" pitchFamily="2" charset="0"/>
                  <a:cs typeface="Calibri" pitchFamily="2" charset="0"/>
                </a:rPr>
                <a:t>Update Totals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25400</xdr:colOff>
          <xdr:row>0</xdr:row>
          <xdr:rowOff>25400</xdr:rowOff>
        </xdr:from>
        <xdr:to>
          <xdr:col>2</xdr:col>
          <xdr:colOff>3111500</xdr:colOff>
          <xdr:row>0</xdr:row>
          <xdr:rowOff>355600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D00-00000A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Calibri" pitchFamily="2" charset="0"/>
                  <a:cs typeface="Calibri" pitchFamily="2" charset="0"/>
                </a:rPr>
                <a:t>Update Totals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101600</xdr:colOff>
          <xdr:row>5</xdr:row>
          <xdr:rowOff>63500</xdr:rowOff>
        </xdr:from>
        <xdr:to>
          <xdr:col>2</xdr:col>
          <xdr:colOff>1231900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E00-000004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Calibri" pitchFamily="2" charset="0"/>
                  <a:cs typeface="Calibri" pitchFamily="2" charset="0"/>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6</xdr:row>
          <xdr:rowOff>12700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E00-000015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Calibri" pitchFamily="2" charset="0"/>
                  <a:cs typeface="Calibri"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6</xdr:row>
          <xdr:rowOff>25400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E00-000016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1" i="0" u="none" strike="noStrike" baseline="0">
                  <a:solidFill>
                    <a:srgbClr val="000000"/>
                  </a:solidFill>
                  <a:latin typeface="Calibri" pitchFamily="2" charset="0"/>
                  <a:cs typeface="Calibri"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4</xdr:row>
          <xdr:rowOff>12700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E00-000017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Calibri" pitchFamily="2" charset="0"/>
                  <a:cs typeface="Calibri"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4</xdr:row>
          <xdr:rowOff>12700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E00-000018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1" i="0" u="none" strike="noStrike" baseline="0">
                  <a:solidFill>
                    <a:srgbClr val="000000"/>
                  </a:solidFill>
                  <a:latin typeface="Calibri" pitchFamily="2" charset="0"/>
                  <a:cs typeface="Calibri"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xdr:row>
          <xdr:rowOff>12700</xdr:rowOff>
        </xdr:from>
        <xdr:to>
          <xdr:col>5</xdr:col>
          <xdr:colOff>1320800</xdr:colOff>
          <xdr:row>6</xdr:row>
          <xdr:rowOff>12700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E00-000019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Calibri" pitchFamily="2" charset="0"/>
                  <a:cs typeface="Calibri"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5</xdr:row>
          <xdr:rowOff>12700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E00-00001A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1" i="0" u="none" strike="noStrike" baseline="0">
                  <a:solidFill>
                    <a:srgbClr val="000000"/>
                  </a:solidFill>
                  <a:latin typeface="Calibri" pitchFamily="2" charset="0"/>
                  <a:cs typeface="Calibri" pitchFamily="2" charset="0"/>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50800</xdr:colOff>
          <xdr:row>1</xdr:row>
          <xdr:rowOff>63500</xdr:rowOff>
        </xdr:from>
        <xdr:to>
          <xdr:col>9</xdr:col>
          <xdr:colOff>838200</xdr:colOff>
          <xdr:row>2</xdr:row>
          <xdr:rowOff>177800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F00-0000011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Calibri" pitchFamily="2" charset="0"/>
                  <a:cs typeface="Calibri" pitchFamily="2" charset="0"/>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63500</xdr:colOff>
          <xdr:row>1</xdr:row>
          <xdr:rowOff>63500</xdr:rowOff>
        </xdr:from>
        <xdr:to>
          <xdr:col>7</xdr:col>
          <xdr:colOff>863600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F00-0000021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Calibri" pitchFamily="2" charset="0"/>
                  <a:cs typeface="Calibri" pitchFamily="2" charset="0"/>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F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25400</xdr:colOff>
          <xdr:row>41</xdr:row>
          <xdr:rowOff>25400</xdr:rowOff>
        </xdr:from>
        <xdr:to>
          <xdr:col>12</xdr:col>
          <xdr:colOff>838200</xdr:colOff>
          <xdr:row>42</xdr:row>
          <xdr:rowOff>228600</xdr:rowOff>
        </xdr:to>
        <xdr:sp macro="" textlink="">
          <xdr:nvSpPr>
            <xdr:cNvPr id="203805" name="Button 29" hidden="1">
              <a:extLst>
                <a:ext uri="{63B3BB69-23CF-44E3-9099-C40C66FF867C}">
                  <a14:compatExt spid="_x0000_s203805"/>
                </a:ext>
                <a:ext uri="{FF2B5EF4-FFF2-40B4-BE49-F238E27FC236}">
                  <a16:creationId xmlns:a16="http://schemas.microsoft.com/office/drawing/2014/main" id="{00000000-0008-0000-0F00-00001D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400" b="1" i="0" u="none" strike="noStrike" baseline="0">
                  <a:solidFill>
                    <a:srgbClr val="000000"/>
                  </a:solidFill>
                  <a:latin typeface="Calibri" pitchFamily="2" charset="0"/>
                  <a:cs typeface="Calibri"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25400</xdr:colOff>
          <xdr:row>41</xdr:row>
          <xdr:rowOff>25400</xdr:rowOff>
        </xdr:from>
        <xdr:to>
          <xdr:col>13</xdr:col>
          <xdr:colOff>838200</xdr:colOff>
          <xdr:row>42</xdr:row>
          <xdr:rowOff>228600</xdr:rowOff>
        </xdr:to>
        <xdr:sp macro="" textlink="">
          <xdr:nvSpPr>
            <xdr:cNvPr id="203806" name="Button 30" hidden="1">
              <a:extLst>
                <a:ext uri="{63B3BB69-23CF-44E3-9099-C40C66FF867C}">
                  <a14:compatExt spid="_x0000_s203806"/>
                </a:ext>
                <a:ext uri="{FF2B5EF4-FFF2-40B4-BE49-F238E27FC236}">
                  <a16:creationId xmlns:a16="http://schemas.microsoft.com/office/drawing/2014/main" id="{00000000-0008-0000-0F00-00001E1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600" b="1" i="0" u="none" strike="noStrike" baseline="0">
                  <a:solidFill>
                    <a:srgbClr val="000000"/>
                  </a:solidFill>
                  <a:latin typeface="Calibri" pitchFamily="2" charset="0"/>
                  <a:cs typeface="Calibri"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25400</xdr:colOff>
          <xdr:row>44</xdr:row>
          <xdr:rowOff>25400</xdr:rowOff>
        </xdr:from>
        <xdr:to>
          <xdr:col>13</xdr:col>
          <xdr:colOff>838200</xdr:colOff>
          <xdr:row>45</xdr:row>
          <xdr:rowOff>228600</xdr:rowOff>
        </xdr:to>
        <xdr:sp macro="" textlink="">
          <xdr:nvSpPr>
            <xdr:cNvPr id="203807" name="Button 31" hidden="1">
              <a:extLst>
                <a:ext uri="{63B3BB69-23CF-44E3-9099-C40C66FF867C}">
                  <a14:compatExt spid="_x0000_s203807"/>
                </a:ext>
                <a:ext uri="{FF2B5EF4-FFF2-40B4-BE49-F238E27FC236}">
                  <a16:creationId xmlns:a16="http://schemas.microsoft.com/office/drawing/2014/main" id="{00000000-0008-0000-0F00-00001F1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Calibri" pitchFamily="2" charset="0"/>
                  <a:cs typeface="Calibri" pitchFamily="2" charset="0"/>
                </a:rPr>
                <a:t>SA</a:t>
              </a:r>
            </a:p>
          </xdr:txBody>
        </xdr:sp>
        <xdr:clientData fPrintsWithSheet="0"/>
      </xdr:twoCellAnchor>
    </mc:Choice>
    <mc:Fallback/>
  </mc:AlternateContent>
  <xdr:twoCellAnchor>
    <xdr:from>
      <xdr:col>16</xdr:col>
      <xdr:colOff>318461</xdr:colOff>
      <xdr:row>59</xdr:row>
      <xdr:rowOff>71770</xdr:rowOff>
    </xdr:from>
    <xdr:to>
      <xdr:col>19</xdr:col>
      <xdr:colOff>442686</xdr:colOff>
      <xdr:row>69</xdr:row>
      <xdr:rowOff>107949</xdr:rowOff>
    </xdr:to>
    <xdr:graphicFrame macro="">
      <xdr:nvGraphicFramePr>
        <xdr:cNvPr id="12" name="Chart 11">
          <a:extLst>
            <a:ext uri="{FF2B5EF4-FFF2-40B4-BE49-F238E27FC236}">
              <a16:creationId xmlns:a16="http://schemas.microsoft.com/office/drawing/2014/main" id="{00000000-0008-0000-0F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302685</xdr:colOff>
      <xdr:row>56</xdr:row>
      <xdr:rowOff>233137</xdr:rowOff>
    </xdr:from>
    <xdr:to>
      <xdr:col>11</xdr:col>
      <xdr:colOff>160380</xdr:colOff>
      <xdr:row>69</xdr:row>
      <xdr:rowOff>165385</xdr:rowOff>
    </xdr:to>
    <xdr:sp macro="" textlink="">
      <xdr:nvSpPr>
        <xdr:cNvPr id="13" name="TextBox 12">
          <a:extLst>
            <a:ext uri="{FF2B5EF4-FFF2-40B4-BE49-F238E27FC236}">
              <a16:creationId xmlns:a16="http://schemas.microsoft.com/office/drawing/2014/main" id="{00000000-0008-0000-0F00-00000D000000}"/>
            </a:ext>
          </a:extLst>
        </xdr:cNvPr>
        <xdr:cNvSpPr txBox="1"/>
      </xdr:nvSpPr>
      <xdr:spPr>
        <a:xfrm>
          <a:off x="302685" y="14531220"/>
          <a:ext cx="9753112" cy="3234248"/>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cells in the spreadsheet to F:43 and subsequent cells.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G:43 and subsequent cells to the corresponding cells used for calculations in the spreadhseet.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twoCellAnchor>
    <xdr:from>
      <xdr:col>13</xdr:col>
      <xdr:colOff>12095</xdr:colOff>
      <xdr:row>59</xdr:row>
      <xdr:rowOff>97973</xdr:rowOff>
    </xdr:from>
    <xdr:to>
      <xdr:col>16</xdr:col>
      <xdr:colOff>147205</xdr:colOff>
      <xdr:row>69</xdr:row>
      <xdr:rowOff>97973</xdr:rowOff>
    </xdr:to>
    <xdr:graphicFrame macro="">
      <xdr:nvGraphicFramePr>
        <xdr:cNvPr id="17" name="Chart 16">
          <a:extLst>
            <a:ext uri="{FF2B5EF4-FFF2-40B4-BE49-F238E27FC236}">
              <a16:creationId xmlns:a16="http://schemas.microsoft.com/office/drawing/2014/main" id="{00000000-0008-0000-0F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687916</xdr:colOff>
      <xdr:row>59</xdr:row>
      <xdr:rowOff>84666</xdr:rowOff>
    </xdr:from>
    <xdr:to>
      <xdr:col>22</xdr:col>
      <xdr:colOff>812141</xdr:colOff>
      <xdr:row>69</xdr:row>
      <xdr:rowOff>120845</xdr:rowOff>
    </xdr:to>
    <xdr:graphicFrame macro="">
      <xdr:nvGraphicFramePr>
        <xdr:cNvPr id="20" name="Chart 19">
          <a:extLst>
            <a:ext uri="{FF2B5EF4-FFF2-40B4-BE49-F238E27FC236}">
              <a16:creationId xmlns:a16="http://schemas.microsoft.com/office/drawing/2014/main" id="{00000000-0008-0000-0F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243415</xdr:colOff>
      <xdr:row>59</xdr:row>
      <xdr:rowOff>84667</xdr:rowOff>
    </xdr:from>
    <xdr:to>
      <xdr:col>26</xdr:col>
      <xdr:colOff>367640</xdr:colOff>
      <xdr:row>69</xdr:row>
      <xdr:rowOff>120846</xdr:rowOff>
    </xdr:to>
    <xdr:graphicFrame macro="">
      <xdr:nvGraphicFramePr>
        <xdr:cNvPr id="21" name="Chart 20">
          <a:extLst>
            <a:ext uri="{FF2B5EF4-FFF2-40B4-BE49-F238E27FC236}">
              <a16:creationId xmlns:a16="http://schemas.microsoft.com/office/drawing/2014/main" id="{00000000-0008-0000-0F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25400</xdr:colOff>
          <xdr:row>6</xdr:row>
          <xdr:rowOff>12700</xdr:rowOff>
        </xdr:from>
        <xdr:to>
          <xdr:col>9</xdr:col>
          <xdr:colOff>558800</xdr:colOff>
          <xdr:row>6</xdr:row>
          <xdr:rowOff>215900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1000-000001F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6</xdr:row>
          <xdr:rowOff>25400</xdr:rowOff>
        </xdr:from>
        <xdr:to>
          <xdr:col>10</xdr:col>
          <xdr:colOff>558800</xdr:colOff>
          <xdr:row>6</xdr:row>
          <xdr:rowOff>215900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1000-000002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1" i="0" u="none" strike="noStrike" baseline="0">
                  <a:solidFill>
                    <a:srgbClr val="000000"/>
                  </a:solidFill>
                  <a:latin typeface="Calibri" pitchFamily="2" charset="0"/>
                  <a:cs typeface="Calibri"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3</xdr:row>
          <xdr:rowOff>12700</xdr:rowOff>
        </xdr:from>
        <xdr:to>
          <xdr:col>10</xdr:col>
          <xdr:colOff>558800</xdr:colOff>
          <xdr:row>3</xdr:row>
          <xdr:rowOff>215900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1000-00000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pitchFamily="2" charset="0"/>
                  <a:cs typeface="Calibri" pitchFamily="2" charset="0"/>
                </a:rPr>
                <a:t>PLANT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4</xdr:row>
          <xdr:rowOff>63500</xdr:rowOff>
        </xdr:from>
        <xdr:to>
          <xdr:col>1</xdr:col>
          <xdr:colOff>2654300</xdr:colOff>
          <xdr:row>6</xdr:row>
          <xdr:rowOff>215900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1100-000001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Calibri" pitchFamily="2" charset="0"/>
                  <a:cs typeface="Calibri" pitchFamily="2" charset="0"/>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11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25400</xdr:colOff>
          <xdr:row>3</xdr:row>
          <xdr:rowOff>12700</xdr:rowOff>
        </xdr:from>
        <xdr:to>
          <xdr:col>12</xdr:col>
          <xdr:colOff>1587500</xdr:colOff>
          <xdr:row>3</xdr:row>
          <xdr:rowOff>254000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1100-0000021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400" b="1" i="0" u="none" strike="noStrike" baseline="0">
                  <a:solidFill>
                    <a:srgbClr val="000000"/>
                  </a:solidFill>
                  <a:latin typeface="Calibri" pitchFamily="2" charset="0"/>
                  <a:cs typeface="Calibri"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25400</xdr:colOff>
          <xdr:row>4</xdr:row>
          <xdr:rowOff>25400</xdr:rowOff>
        </xdr:from>
        <xdr:to>
          <xdr:col>12</xdr:col>
          <xdr:colOff>1587500</xdr:colOff>
          <xdr:row>4</xdr:row>
          <xdr:rowOff>241300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1100-0000031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400" b="1" i="0" u="none" strike="noStrike" baseline="0">
                  <a:solidFill>
                    <a:srgbClr val="000000"/>
                  </a:solidFill>
                  <a:latin typeface="Calibri" pitchFamily="2" charset="0"/>
                  <a:cs typeface="Calibri" pitchFamily="2" charset="0"/>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25400</xdr:rowOff>
        </xdr:from>
        <xdr:to>
          <xdr:col>2</xdr:col>
          <xdr:colOff>1358900</xdr:colOff>
          <xdr:row>8</xdr:row>
          <xdr:rowOff>177800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2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Calibri" pitchFamily="2" charset="0"/>
                  <a:cs typeface="Calibri" pitchFamily="2" charset="0"/>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6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6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20.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431" dataDxfId="429" headerRowBorderDxfId="430" tableBorderDxfId="428">
  <autoFilter ref="AE6:AE7" xr:uid="{BD430C73-D62B-4B34-81C6-4CB5D46BEDB9}">
    <filterColumn colId="0" hiddenButton="1"/>
  </autoFilter>
  <tableColumns count="1">
    <tableColumn id="1" xr3:uid="{84F9157D-4D99-4CBA-AAD8-CC3862882A85}" name="Stream" dataDxfId="427"/>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426" dataDxfId="424" headerRowBorderDxfId="425" tableBorderDxfId="423" totalsRowBorderDxfId="422">
  <autoFilter ref="AG6:AG7" xr:uid="{510DCB59-50DF-48D5-B930-238A03E9FB6D}">
    <filterColumn colId="0" hiddenButton="1"/>
  </autoFilter>
  <tableColumns count="1">
    <tableColumn id="1" xr3:uid="{0220A6D5-F39F-488C-949A-4AABD7B530C9}" name="Component 1" dataDxfId="421"/>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420" dataDxfId="418" headerRowBorderDxfId="419" tableBorderDxfId="417" totalsRowBorderDxfId="416">
  <autoFilter ref="AF6:AF7" xr:uid="{1E496B6B-9D2B-467B-B1BC-B30D13381E1A}">
    <filterColumn colId="0" hiddenButton="1"/>
  </autoFilter>
  <tableColumns count="1">
    <tableColumn id="1" xr3:uid="{876249EE-102A-4A6F-80BD-15A7B17749BB}" name="Property 1" dataDxfId="415"/>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2491ED9-ADBE-4A21-9C33-D522640247B5}" name="Tabla25879012013584" displayName="Tabla25879012013584" ref="D12:D43" totalsRowShown="0" headerRowDxfId="414" dataDxfId="412" headerRowBorderDxfId="413" tableBorderDxfId="411">
  <autoFilter ref="D12:D43" xr:uid="{54D9AD24-3255-47F8-8858-1911F353046A}">
    <filterColumn colId="0" hiddenButton="1"/>
  </autoFilter>
  <tableColumns count="1">
    <tableColumn id="1" xr3:uid="{E2C7F522-9A10-4747-B743-4BA5CBC36C7F}" name="Equipment" dataDxfId="410"/>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E6C02C5B-AC22-4371-8BB7-A15753E8346C}" name="Tabla27889112113685" displayName="Tabla27889112113685" ref="E12:E43" totalsRowShown="0" headerRowDxfId="409" dataDxfId="407" headerRowBorderDxfId="408" tableBorderDxfId="406">
  <autoFilter ref="E12:E43" xr:uid="{E7DD97D0-07C4-49A5-A08A-CD158C5E4B0A}">
    <filterColumn colId="0" hiddenButton="1"/>
  </autoFilter>
  <tableColumns count="1">
    <tableColumn id="1" xr3:uid="{94135715-EC0D-45DE-BA2D-3B79D1602839}" name="Subtype" dataDxfId="405"/>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2D72A71C-F945-4110-8E1D-F914641C3A24}" name="Tabla54899212213786" displayName="Tabla54899212213786" ref="I12:I43" totalsRowShown="0" headerRowDxfId="404" headerRowBorderDxfId="403" tableBorderDxfId="402">
  <autoFilter ref="I12:I43" xr:uid="{5E4964A9-7D89-4560-BE84-23E70166B931}">
    <filterColumn colId="0" hiddenButton="1"/>
  </autoFilter>
  <tableColumns count="1">
    <tableColumn id="1" xr3:uid="{8F694475-BEEC-44BF-A743-CF023E5F6289}"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B81DEAB5-EAF5-4D64-B21F-D78CED65FECD}" name="Tabla25879012013530" displayName="Tabla25879012013530" ref="D12:D43" totalsRowShown="0" headerRowDxfId="401" dataDxfId="399" headerRowBorderDxfId="400" tableBorderDxfId="398">
  <autoFilter ref="D12:D43" xr:uid="{54D9AD24-3255-47F8-8858-1911F353046A}">
    <filterColumn colId="0" hiddenButton="1"/>
  </autoFilter>
  <tableColumns count="1">
    <tableColumn id="1" xr3:uid="{925C1D1D-1BF0-488D-8048-B1EF621AFA15}" name="Equipment" dataDxfId="397"/>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D349D2CA-3864-4C7E-A89A-3C4541C182B0}" name="Tabla27889112113631" displayName="Tabla27889112113631" ref="E12:E43" totalsRowShown="0" headerRowDxfId="396" dataDxfId="394" headerRowBorderDxfId="395" tableBorderDxfId="393">
  <autoFilter ref="E12:E43" xr:uid="{E7DD97D0-07C4-49A5-A08A-CD158C5E4B0A}">
    <filterColumn colId="0" hiddenButton="1"/>
  </autoFilter>
  <tableColumns count="1">
    <tableColumn id="1" xr3:uid="{07914FFA-2B35-422D-A33D-0C04815B106C}" name="Subtype" dataDxfId="392"/>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7EE25052-54F9-42CB-B92B-F245D6A67BAB}" name="Tabla54899212213755" displayName="Tabla54899212213755" ref="I12:I43" totalsRowShown="0" headerRowDxfId="391" headerRowBorderDxfId="390" tableBorderDxfId="389">
  <autoFilter ref="I12:I43" xr:uid="{5E4964A9-7D89-4560-BE84-23E70166B931}">
    <filterColumn colId="0" hiddenButton="1"/>
  </autoFilter>
  <tableColumns count="1">
    <tableColumn id="1" xr3:uid="{777AE632-FEBD-4794-BE87-5C9DE75B494F}"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388" dataDxfId="386" headerRowBorderDxfId="387" tableBorderDxfId="385">
  <autoFilter ref="D12:D43" xr:uid="{54D9AD24-3255-47F8-8858-1911F353046A}">
    <filterColumn colId="0" hiddenButton="1"/>
  </autoFilter>
  <tableColumns count="1">
    <tableColumn id="1" xr3:uid="{A355DF28-B822-4D21-91F3-9DBB6C59828A}" name="Equipment" dataDxfId="384"/>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383" dataDxfId="381" headerRowBorderDxfId="382" tableBorderDxfId="380">
  <autoFilter ref="E12:E43" xr:uid="{E7DD97D0-07C4-49A5-A08A-CD158C5E4B0A}">
    <filterColumn colId="0" hiddenButton="1"/>
  </autoFilter>
  <tableColumns count="1">
    <tableColumn id="1" xr3:uid="{6FE28B51-AB7B-4376-A0AF-515604CD3E9B}" name="Subtype" dataDxfId="379"/>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378" headerRowBorderDxfId="377" tableBorderDxfId="376">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71E65A8A-DB26-40D9-960E-462012CE9D65}" name="Tabla25879012013593" displayName="Tabla25879012013593" ref="D12:D43" totalsRowShown="0" headerRowDxfId="375" dataDxfId="373" headerRowBorderDxfId="374" tableBorderDxfId="372">
  <autoFilter ref="D12:D43" xr:uid="{54D9AD24-3255-47F8-8858-1911F353046A}">
    <filterColumn colId="0" hiddenButton="1"/>
  </autoFilter>
  <tableColumns count="1">
    <tableColumn id="1" xr3:uid="{5A01F229-833A-41E5-9B32-A22573A6057D}" name="Equipment" dataDxfId="371"/>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C17D6B47-CC00-4E0A-8825-840C3D6BF622}" name="Tabla27889112113694" displayName="Tabla27889112113694" ref="E12:E43" totalsRowShown="0" headerRowDxfId="370" dataDxfId="368" headerRowBorderDxfId="369" tableBorderDxfId="367">
  <autoFilter ref="E12:E43" xr:uid="{E7DD97D0-07C4-49A5-A08A-CD158C5E4B0A}">
    <filterColumn colId="0" hiddenButton="1"/>
  </autoFilter>
  <tableColumns count="1">
    <tableColumn id="1" xr3:uid="{D6B933C9-598B-483E-AB70-6F866FE3DBAD}" name="Subtype" dataDxfId="366"/>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67CA6049-B47C-4E3B-AC03-4A30DA2F6D52}" name="Tabla54899212213795" displayName="Tabla54899212213795" ref="I12:I43" totalsRowShown="0" headerRowDxfId="365" headerRowBorderDxfId="364" tableBorderDxfId="363">
  <autoFilter ref="I12:I43" xr:uid="{5E4964A9-7D89-4560-BE84-23E70166B931}">
    <filterColumn colId="0" hiddenButton="1"/>
  </autoFilter>
  <tableColumns count="1">
    <tableColumn id="1" xr3:uid="{B1A45FAB-2570-412E-A94F-D5BC20577981}" name="Material"/>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2418BD8D-04FC-4B09-BE5C-F92A95A5DFB3}" name="Tabla25879012013563" displayName="Tabla25879012013563" ref="D12:D43" totalsRowShown="0" headerRowDxfId="362" dataDxfId="360" headerRowBorderDxfId="361" tableBorderDxfId="359">
  <autoFilter ref="D12:D43" xr:uid="{54D9AD24-3255-47F8-8858-1911F353046A}">
    <filterColumn colId="0" hiddenButton="1"/>
  </autoFilter>
  <tableColumns count="1">
    <tableColumn id="1" xr3:uid="{97FC13D2-80CF-45EC-9B53-09F12A8D259B}" name="Equipment" dataDxfId="358"/>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26D7C916-6303-470E-94D4-06BF2A799AD4}" name="Tabla27889112113664" displayName="Tabla27889112113664" ref="E12:E43" totalsRowShown="0" headerRowDxfId="357" dataDxfId="355" headerRowBorderDxfId="356" tableBorderDxfId="354">
  <autoFilter ref="E12:E43" xr:uid="{E7DD97D0-07C4-49A5-A08A-CD158C5E4B0A}">
    <filterColumn colId="0" hiddenButton="1"/>
  </autoFilter>
  <tableColumns count="1">
    <tableColumn id="1" xr3:uid="{8B4E265D-34F7-43E9-BF67-19CE4C6DBF7A}" name="Subtype" dataDxfId="353"/>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ACA9210E-9575-42C2-9B4A-B3C1E4BC9884}" name="Tabla54899212213765" displayName="Tabla54899212213765" ref="I12:I43" totalsRowShown="0" headerRowDxfId="352" headerRowBorderDxfId="351" tableBorderDxfId="350">
  <autoFilter ref="I12:I43" xr:uid="{5E4964A9-7D89-4560-BE84-23E70166B931}">
    <filterColumn colId="0" hiddenButton="1"/>
  </autoFilter>
  <tableColumns count="1">
    <tableColumn id="1" xr3:uid="{09561E2E-202E-42F1-A146-D38C5C22211F}" name="Material"/>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8C1F7471-2D9D-4EC2-BD16-1590FCA55AE3}" name="Tabla2587901201356288919497" displayName="Tabla2587901201356288919497" ref="D12:D43" totalsRowShown="0" headerRowDxfId="349" dataDxfId="347" headerRowBorderDxfId="348" tableBorderDxfId="346">
  <autoFilter ref="D12:D43" xr:uid="{54D9AD24-3255-47F8-8858-1911F353046A}">
    <filterColumn colId="0" hiddenButton="1"/>
  </autoFilter>
  <tableColumns count="1">
    <tableColumn id="1" xr3:uid="{32F6BBD3-CC5F-43B3-BF6A-25F8D277EF07}" name="Equipment" dataDxfId="345"/>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96776146-DAEC-4174-8D1C-B89328A5117B}" name="Tabla2788911211366389929598" displayName="Tabla2788911211366389929598" ref="E12:E43" totalsRowShown="0" headerRowDxfId="344" dataDxfId="342" headerRowBorderDxfId="343" tableBorderDxfId="341">
  <autoFilter ref="E12:E43" xr:uid="{E7DD97D0-07C4-49A5-A08A-CD158C5E4B0A}">
    <filterColumn colId="0" hiddenButton="1"/>
  </autoFilter>
  <tableColumns count="1">
    <tableColumn id="1" xr3:uid="{074D30AD-EBAA-4C49-9F74-BD534BDDFB3A}" name="Subtype" dataDxfId="340"/>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48D47B27-10D1-4746-9CE8-36AEB9C4D1E1}" name="Tabla5489921221376490939699" displayName="Tabla5489921221376490939699" ref="I12:I43" totalsRowShown="0" headerRowDxfId="339" headerRowBorderDxfId="338" tableBorderDxfId="337">
  <autoFilter ref="I12:I43" xr:uid="{5E4964A9-7D89-4560-BE84-23E70166B931}">
    <filterColumn colId="0" hiddenButton="1"/>
  </autoFilter>
  <tableColumns count="1">
    <tableColumn id="1" xr3:uid="{69F8CAEA-2E13-4711-80CF-B2A7E3CFB837}" name="Material"/>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C3B990BB-2CC3-4E3D-B7D8-458D2F5DB59E}" name="Tabla2587901201356366" displayName="Tabla2587901201356366" ref="D12:D43" totalsRowShown="0" headerRowDxfId="336" dataDxfId="334" headerRowBorderDxfId="335" tableBorderDxfId="333">
  <autoFilter ref="D12:D43" xr:uid="{54D9AD24-3255-47F8-8858-1911F353046A}">
    <filterColumn colId="0" hiddenButton="1"/>
  </autoFilter>
  <tableColumns count="1">
    <tableColumn id="1" xr3:uid="{692D2662-9511-4D18-9520-411E1F2A9935}" name="Equipment" dataDxfId="332"/>
  </tableColumns>
  <tableStyleInfo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CD988BF0-1790-4837-97CB-2232924673DC}" name="Tabla2788911211366484" displayName="Tabla2788911211366484" ref="E12:E43" totalsRowShown="0" headerRowDxfId="331" dataDxfId="329" headerRowBorderDxfId="330" tableBorderDxfId="328">
  <autoFilter ref="E12:E43" xr:uid="{E7DD97D0-07C4-49A5-A08A-CD158C5E4B0A}">
    <filterColumn colId="0" hiddenButton="1"/>
  </autoFilter>
  <tableColumns count="1">
    <tableColumn id="1" xr3:uid="{9B4BDFC1-20FC-4165-9976-9BAE2A7F5EDD}" name="Subtype" dataDxfId="327"/>
  </tableColumns>
  <tableStyleInfo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D12AE9F8-CC32-4074-83B7-C39BF5EEEBE7}" name="Tabla5489921221376585" displayName="Tabla5489921221376585" ref="I12:I43" totalsRowShown="0" headerRowDxfId="326" headerRowBorderDxfId="325" tableBorderDxfId="324">
  <autoFilter ref="I12:I43" xr:uid="{5E4964A9-7D89-4560-BE84-23E70166B931}">
    <filterColumn colId="0" hiddenButton="1"/>
  </autoFilter>
  <tableColumns count="1">
    <tableColumn id="1" xr3:uid="{68D737DA-6A3E-4464-91AB-44F6D059E1F0}" name="Material"/>
  </tableColumns>
  <tableStyleInfo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E4D1FB3B-CA43-4F5C-AF46-5FAE6311F78E}" name="Tabla25879012013530638490" displayName="Tabla25879012013530638490" ref="D12:D43" totalsRowShown="0" headerRowDxfId="323" dataDxfId="321" headerRowBorderDxfId="322" tableBorderDxfId="320">
  <autoFilter ref="D12:D43" xr:uid="{54D9AD24-3255-47F8-8858-1911F353046A}">
    <filterColumn colId="0" hiddenButton="1"/>
  </autoFilter>
  <tableColumns count="1">
    <tableColumn id="1" xr3:uid="{4CC43CC8-681B-4748-8138-E4269FACBB65}" name="Equipment" dataDxfId="319"/>
  </tableColumns>
  <tableStyleInfo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4A74CE69-2B9C-4A78-B3AF-FD00ACCFE829}" name="Tabla27889112113631648591" displayName="Tabla27889112113631648591" ref="E12:E43" totalsRowShown="0" headerRowDxfId="318" dataDxfId="316" headerRowBorderDxfId="317" tableBorderDxfId="315">
  <autoFilter ref="E12:E43" xr:uid="{E7DD97D0-07C4-49A5-A08A-CD158C5E4B0A}">
    <filterColumn colId="0" hiddenButton="1"/>
  </autoFilter>
  <tableColumns count="1">
    <tableColumn id="1" xr3:uid="{16F29D3C-3111-434C-A3DC-363D0709ABBC}" name="Subtype" dataDxfId="314"/>
  </tableColumns>
  <tableStyleInfo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738CF7DC-AD72-4C06-B889-580BE43B4DF2}" name="Tabla54899212213755668692" displayName="Tabla54899212213755668692" ref="I12:I43" totalsRowShown="0" headerRowDxfId="313" headerRowBorderDxfId="312" tableBorderDxfId="311">
  <autoFilter ref="I12:I43" xr:uid="{5E4964A9-7D89-4560-BE84-23E70166B931}">
    <filterColumn colId="0" hiddenButton="1"/>
  </autoFilter>
  <tableColumns count="1">
    <tableColumn id="1" xr3:uid="{2746D9B9-521B-499E-922A-4BE66F011AAA}" name="Material"/>
  </tableColumns>
  <tableStyleInfo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0B225ACD-D447-4848-8266-C2BD7A03CB18}" name="Tabla25879012013530638490105" displayName="Tabla25879012013530638490105" ref="D12:D43" totalsRowShown="0" headerRowDxfId="310" dataDxfId="308" headerRowBorderDxfId="309" tableBorderDxfId="307">
  <autoFilter ref="D12:D43" xr:uid="{54D9AD24-3255-47F8-8858-1911F353046A}">
    <filterColumn colId="0" hiddenButton="1"/>
  </autoFilter>
  <tableColumns count="1">
    <tableColumn id="1" xr3:uid="{5DB8F4D1-0543-43BC-9EBC-131D25D6600D}" name="Equipment" dataDxfId="306"/>
  </tableColumns>
  <tableStyleInfo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FDB35C9A-630A-4A3A-B0BD-D9AE86699747}" name="Tabla27889112113631648591106" displayName="Tabla27889112113631648591106" ref="E12:E43" totalsRowShown="0" headerRowDxfId="305" dataDxfId="303" headerRowBorderDxfId="304" tableBorderDxfId="302">
  <autoFilter ref="E12:E43" xr:uid="{E7DD97D0-07C4-49A5-A08A-CD158C5E4B0A}">
    <filterColumn colId="0" hiddenButton="1"/>
  </autoFilter>
  <tableColumns count="1">
    <tableColumn id="1" xr3:uid="{64810F2C-1A65-4F74-AD9F-45B9875448D2}" name="Subtype" dataDxfId="301"/>
  </tableColumns>
  <tableStyleInfo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0F2F6B08-7305-43A2-8BDC-FA434D67ACF1}" name="Tabla54899212213755668692107" displayName="Tabla54899212213755668692107" ref="I12:I43" totalsRowShown="0" headerRowDxfId="300" headerRowBorderDxfId="299" tableBorderDxfId="298">
  <autoFilter ref="I12:I43" xr:uid="{5E4964A9-7D89-4560-BE84-23E70166B931}">
    <filterColumn colId="0" hiddenButton="1"/>
  </autoFilter>
  <tableColumns count="1">
    <tableColumn id="1" xr3:uid="{A250B405-F8BA-4E42-B81E-293734F26D2C}" name="Material"/>
  </tableColumns>
  <tableStyleInfo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666926D-4992-4484-9330-CFB85B9A50F4}" name="Tabla2587901201356330" displayName="Tabla2587901201356330" ref="D12:D43" totalsRowShown="0" headerRowDxfId="297" dataDxfId="295" headerRowBorderDxfId="296" tableBorderDxfId="294">
  <autoFilter ref="D12:D43" xr:uid="{54D9AD24-3255-47F8-8858-1911F353046A}">
    <filterColumn colId="0" hiddenButton="1"/>
  </autoFilter>
  <tableColumns count="1">
    <tableColumn id="1" xr3:uid="{7AC47649-3B32-4516-B6CD-F6B5B1ADE5A1}" name="Equipment" dataDxfId="293"/>
  </tableColumns>
  <tableStyleInfo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71E6F59-BDA1-4F4E-9348-440FC2924EF0}" name="Tabla2788911211366431" displayName="Tabla2788911211366431" ref="E12:E43" totalsRowShown="0" headerRowDxfId="292" dataDxfId="290" headerRowBorderDxfId="291" tableBorderDxfId="289">
  <autoFilter ref="E12:E43" xr:uid="{E7DD97D0-07C4-49A5-A08A-CD158C5E4B0A}">
    <filterColumn colId="0" hiddenButton="1"/>
  </autoFilter>
  <tableColumns count="1">
    <tableColumn id="1" xr3:uid="{CA281444-2E3E-479F-80B9-AF46C6670DDA}" name="Subtype" dataDxfId="288"/>
  </tableColumns>
  <tableStyleInfo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EBBE4D34-1598-4F37-80BF-48EC7E29FC3E}" name="Tabla5489921221376555" displayName="Tabla5489921221376555" ref="I12:I43" totalsRowShown="0" headerRowDxfId="287" headerRowBorderDxfId="286" tableBorderDxfId="285">
  <autoFilter ref="I12:I43" xr:uid="{5E4964A9-7D89-4560-BE84-23E70166B931}">
    <filterColumn colId="0" hiddenButton="1"/>
  </autoFilter>
  <tableColumns count="1">
    <tableColumn id="1" xr3:uid="{BB8F87E3-1A50-44D0-B841-055B9767B31C}" name="Material"/>
  </tableColumns>
  <tableStyleInfo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N14" headerRowDxfId="284" dataDxfId="282" headerRowBorderDxfId="283" tableBorderDxfId="281">
  <autoFilter ref="D3:N14" xr:uid="{64CC735C-3D0C-4D1C-922B-02CBF98B8EB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3D7F9C3B-45CD-4580-80A0-AE226C2C5DCF}" name="Item 1" totalsRowLabel="Total" dataDxfId="280" totalsRowDxfId="279"/>
    <tableColumn id="2" xr3:uid="{4D82A35B-4189-4719-BB3C-4D34D7E09642}" name="Item 2" dataDxfId="278" totalsRowDxfId="277">
      <calculatedColumnFormula>+#REF!+#REF!</calculatedColumnFormula>
    </tableColumn>
    <tableColumn id="3" xr3:uid="{031D8C80-7B65-48B3-95DE-EBBD12D602AA}" name="Item 3" dataDxfId="276" totalsRowDxfId="275"/>
    <tableColumn id="4" xr3:uid="{76940428-0803-44F4-9D2F-7A17429945D0}" name="Item 4" dataDxfId="274" totalsRowDxfId="273"/>
    <tableColumn id="5" xr3:uid="{6E8EC526-E9AE-46E2-9BE5-D5C09BA92DEC}" name="Item 5" dataDxfId="272" totalsRowDxfId="271"/>
    <tableColumn id="6" xr3:uid="{D296B98F-A4B7-41F9-880A-A34D7992B9B1}" name="Item 6" dataDxfId="270" totalsRowDxfId="269"/>
    <tableColumn id="7" xr3:uid="{4E988AC9-A213-484E-B51A-E0162A2F6DC7}" name="Item 7" dataDxfId="268" totalsRowDxfId="267"/>
    <tableColumn id="8" xr3:uid="{A592ED7E-4DD2-45C8-872F-EE0C7E5A5BFF}" name="Item 8" dataDxfId="266" totalsRowDxfId="265"/>
    <tableColumn id="9" xr3:uid="{CFBC9E8F-05BF-C64B-AD25-A9AADBCC0615}" name="Item 9" dataDxfId="4" totalsRowDxfId="5"/>
    <tableColumn id="10" xr3:uid="{74870F4C-09D6-E74C-A6A9-122029C2E699}" name="Item 10" dataDxfId="1" totalsRowDxfId="2"/>
    <tableColumn id="22" xr3:uid="{118B0DE5-F4D6-41BA-B022-A7A53FBE109A}" name="Total" dataDxfId="264" totalsRowDxfId="263">
      <calculatedColumnFormula array="1">+suma(#REF!)</calculatedColumnFormula>
    </tableColumn>
  </tableColumns>
  <tableStyleInfo name="TableStyleLight13" showFirstColumn="0" showLastColumn="1" showRowStripes="1" showColumnStripes="1"/>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M25" totalsRowShown="0" headerRowDxfId="262" dataDxfId="260" headerRowBorderDxfId="261" tableBorderDxfId="259">
  <autoFilter ref="D16:M25" xr:uid="{242DD7A6-A2F2-4530-8CB1-4AE3D4814DA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F63E2223-F910-4628-9144-F8EE509C95E9}" name="Item 1" dataDxfId="258"/>
    <tableColumn id="2" xr3:uid="{A2FE6D58-DE8B-428E-BCCE-879A37C47E6E}" name="Item 2" dataDxfId="257"/>
    <tableColumn id="3" xr3:uid="{7925CDB2-450B-4481-AAF3-C97257BEAACF}" name="Item 3" dataDxfId="256"/>
    <tableColumn id="4" xr3:uid="{04880DFB-6CC9-4F3A-8D86-4D2CF229564A}" name="Item 4" dataDxfId="255"/>
    <tableColumn id="5" xr3:uid="{32B69645-6E1D-42F6-A1E3-DBDE06E1B4D8}" name="Item 5" dataDxfId="254"/>
    <tableColumn id="6" xr3:uid="{3A3F5348-24B0-4892-812D-67464574B071}" name="Item 6" dataDxfId="253"/>
    <tableColumn id="7" xr3:uid="{17440640-2DFD-482B-B162-96BA5FE9F66C}" name="Item 7" dataDxfId="252"/>
    <tableColumn id="8" xr3:uid="{467EAB69-FFA2-4745-9629-DA039BEBF03C}" name="Item 8" dataDxfId="251"/>
    <tableColumn id="9" xr3:uid="{43D08EE4-0F87-844D-906A-7028D7B05E26}" name="Item 9" dataDxfId="3"/>
    <tableColumn id="10" xr3:uid="{BCD7A73C-1B78-E649-A146-CDF77143C5B4}" name="Item 10" dataDxfId="0"/>
  </tableColumns>
  <tableStyleInfo name="TableStyleLight13" showFirstColumn="0" showLastColumn="0" showRowStripes="1" showColumnStripes="1"/>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25" totalsRowShown="0" headerRowDxfId="250" dataDxfId="248" headerRowBorderDxfId="249" tableBorderDxfId="247">
  <autoFilter ref="P15:U25"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46"/>
    <tableColumn id="2" xr3:uid="{9B4C5D61-F713-41FC-B7C7-9F077DE82275}" name="Value" dataDxfId="245"/>
    <tableColumn id="3" xr3:uid="{A4C06DCA-E860-4A4F-B152-665585967753}" name="unit/year" dataDxfId="244"/>
    <tableColumn id="4" xr3:uid="{CCA6FF56-D426-420F-BF2F-A692827F42E1}" name="Specific Cost" dataDxfId="243"/>
    <tableColumn id="5" xr3:uid="{4648B13C-CDDA-4B0E-ABF0-FBA2AFA9D245}" name="cost/unit" dataDxfId="242"/>
    <tableColumn id="6" xr3:uid="{F22C8FA2-C58A-42CD-927E-2B28BD9711A6}" name="cost/year" dataDxfId="241">
      <calculatedColumnFormula>+Q16*S16/10^6</calculatedColumnFormula>
    </tableColumn>
  </tableColumns>
  <tableStyleInfo name="TableStyleLight13" showFirstColumn="0" showLastColumn="0" showRowStripes="1" showColumnStripes="1"/>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40" headerRowBorderDxfId="239" tableBorderDxfId="238">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37"/>
    <tableColumn id="2" xr3:uid="{332EA6EB-8C1E-4D46-8464-EFCB65EA23A5}" name="Value" dataDxfId="236"/>
    <tableColumn id="3" xr3:uid="{BAEA2EAA-B867-4C8B-926B-D331C449D698}" name="unit/year" dataDxfId="235"/>
    <tableColumn id="4" xr3:uid="{23D264B9-CD6B-4F68-92FC-49B00E384F23}" name="Specific Cost" dataDxfId="234"/>
    <tableColumn id="5" xr3:uid="{00D8C109-8039-47C9-A54A-67B25387E9D5}" name="cost/unit" dataDxfId="233"/>
    <tableColumn id="6" xr3:uid="{526DA783-5211-4718-AFCF-98B7F83F959A}" name="cost/year" dataDxfId="232">
      <calculatedColumnFormula>+J16*L16/10^6</calculatedColumnFormula>
    </tableColumn>
  </tableColumns>
  <tableStyleInfo name="TableStyleLight13" showFirstColumn="0" showLastColumn="0" showRowStripes="1" showColumnStripes="1"/>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20" totalsRowShown="0" headerRowDxfId="231" dataDxfId="229" headerRowBorderDxfId="230" tableBorderDxfId="228">
  <autoFilter ref="B15:G20"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27"/>
    <tableColumn id="2" xr3:uid="{C2D6BCEA-8C9D-49FB-BFC1-D70F1AF96B3C}" name="Value" dataDxfId="226"/>
    <tableColumn id="3" xr3:uid="{1E8C5934-680E-4CE8-BF03-307BA777810C}" name="unit/year" dataDxfId="225"/>
    <tableColumn id="4" xr3:uid="{F602E6B3-7A75-49BA-AF4A-D607E8EFA18E}" name="Specific Cost" dataDxfId="224"/>
    <tableColumn id="5" xr3:uid="{B0FD65F7-3D14-410A-871D-F32A1D988FCC}" name="cost/unit" dataDxfId="223"/>
    <tableColumn id="6" xr3:uid="{88D3E296-CC80-4404-A1FA-960EC01E83C3}" name="cost/year" dataDxfId="222">
      <calculatedColumnFormula>+C16*E16</calculatedColumnFormula>
    </tableColumn>
  </tableColumns>
  <tableStyleInfo name="TableStyleLight13" showFirstColumn="0" showLastColumn="0" showRowStripes="1" showColumnStripes="1"/>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2F12598-032E-4418-B740-31E84CF3C6F9}" name="Table6365" displayName="Table6365" ref="B42:K48" totalsRowShown="0" headerRowDxfId="221" dataDxfId="219" headerRowBorderDxfId="220" tableBorderDxfId="218">
  <autoFilter ref="B42:K48" xr:uid="{62F12598-032E-4418-B740-31E84CF3C6F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E19BBCFA-6AEE-4FD1-890A-B4B892703C18}" name="Ind. Var" dataDxfId="217"/>
    <tableColumn id="8" xr3:uid="{13962B58-5507-471A-BF41-DB3D247F2EB8}" name="Units - Ind." dataDxfId="216" dataCellStyle="Normal 2 2">
      <calculatedColumnFormula>+J6</calculatedColumnFormula>
    </tableColumn>
    <tableColumn id="7" xr3:uid="{7F18E2CB-07BE-41AD-B637-10F7EE62D6EB}" name="Man. Var." dataDxfId="215"/>
    <tableColumn id="9" xr3:uid="{574E43A6-8486-40C7-B651-1962EA7E4007}" name="Units - Man." dataDxfId="214"/>
    <tableColumn id="1" xr3:uid="{C7FD6883-4D11-441B-8033-2F5638C288AB}" name="Ind. Var." dataDxfId="213"/>
    <tableColumn id="2" xr3:uid="{2B96A6EB-3DCE-4ACF-BE25-AD6563C6EACD}" name="Man. Var" dataDxfId="212"/>
    <tableColumn id="10" xr3:uid="{91912897-20E6-402F-8EC7-CB60E9298E64}" name="Base" dataDxfId="211"/>
    <tableColumn id="3" xr3:uid="{3841FCC4-9A9A-4F1B-B6BA-E8710FF67200}" name="Increment" dataDxfId="210"/>
    <tableColumn id="4" xr3:uid="{6476EB88-DCAC-414F-916E-8EFFE60F9B01}" name="nº of points" dataDxfId="209"/>
    <tableColumn id="5" xr3:uid="{1838860E-1D28-4712-AF3D-C97316DBDF49}" name="Initial" dataDxfId="208"/>
  </tableColumns>
  <tableStyleInfo name="TableStyleLight20" showFirstColumn="0" showLastColumn="0" showRowStripes="0"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07" headerRowBorderDxfId="206" tableBorderDxfId="205">
  <autoFilter ref="B4:D5" xr:uid="{13B9CF21-C87C-43E8-A2FC-6C7E7E3723BC}">
    <filterColumn colId="0" hiddenButton="1"/>
    <filterColumn colId="1" hiddenButton="1"/>
    <filterColumn colId="2" hiddenButton="1"/>
  </autoFilter>
  <tableColumns count="3">
    <tableColumn id="1" xr3:uid="{69C8C329-5A37-4DA0-B145-403AB231B570}" name="Item" dataDxfId="204"/>
    <tableColumn id="2" xr3:uid="{C3584EDC-8DAE-4A60-A6B9-1E1B36EBAC17}" name="Value" dataDxfId="203"/>
    <tableColumn id="3" xr3:uid="{CEC51037-7AE6-4111-AF08-E7CB8D2C3C3A}" name="Units" dataDxfId="202"/>
  </tableColumns>
  <tableStyleInfo name="TableStyleLight13"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201" dataDxfId="200">
  <autoFilter ref="W2:W25" xr:uid="{228BC41D-0912-47E0-88C8-E31E895E7B98}"/>
  <tableColumns count="1">
    <tableColumn id="1" xr3:uid="{96F8729B-427A-4FDE-9469-CBDAE8A7E026}" name="Equipment" dataDxfId="199"/>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8" dataDxfId="197" headerRowCellStyle="Normal 2" dataCellStyle="Normal 2">
  <autoFilter ref="X2:X5" xr:uid="{94891308-2F99-4CBE-89F9-8FA144C5B5D5}"/>
  <tableColumns count="1">
    <tableColumn id="1" xr3:uid="{7939984D-879C-499C-BF68-B1EA95D3A269}" name="Blender " dataDxfId="196" dataCellStyle="Normal 2">
      <calculatedColumnFormula>+'Equipment Data'!B4</calculatedColumnFormula>
    </tableColumn>
  </tableColumns>
  <tableStyleInfo name="TableStyleMedium6"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95" dataDxfId="194" dataCellStyle="Normal 2">
  <autoFilter ref="Y2:Y6" xr:uid="{F459A973-F944-4E80-9411-FF29CC5E20F3}"/>
  <tableColumns count="1">
    <tableColumn id="1" xr3:uid="{30576F42-7924-4D41-8D8F-F48FFBAE37F8}" name="Centrifuge " dataDxfId="193" dataCellStyle="Normal 2">
      <calculatedColumnFormula>+'Equipment Data'!B11</calculatedColumnFormula>
    </tableColumn>
  </tableColumns>
  <tableStyleInfo name="TableStyleMedium6"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92" dataDxfId="191" dataCellStyle="Normal 2">
  <autoFilter ref="Z2:Z6" xr:uid="{0E77BDC2-2671-4D5A-A24E-5ACCEAF7EEB8}"/>
  <tableColumns count="1">
    <tableColumn id="1" xr3:uid="{F4F13026-D569-45B8-B4AC-274FF2AE74B7}" name="Compressor" dataDxfId="190" dataCellStyle="Normal 2">
      <calculatedColumnFormula>+'Equipment Data'!B19</calculatedColumnFormula>
    </tableColumn>
  </tableColumns>
  <tableStyleInfo name="TableStyleMedium6"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9" dataDxfId="188" dataCellStyle="Normal 2">
  <autoFilter ref="AA2:AA6" xr:uid="{CF9B4E60-B84B-4DEB-B06A-A01D125A08DB}"/>
  <tableColumns count="1">
    <tableColumn id="1" xr3:uid="{3A39B6EE-B2F9-4580-A1BD-964121D9500C}" name="Conveyor" dataDxfId="187" dataCellStyle="Normal 2">
      <calculatedColumnFormula>+'Equipment Data'!B27</calculatedColumnFormula>
    </tableColumn>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6" dataDxfId="185" dataCellStyle="Normal 2">
  <autoFilter ref="AB2:AB3" xr:uid="{EFA4F263-55C2-4743-85A4-2F6C53E51E27}"/>
  <tableColumns count="1">
    <tableColumn id="1" xr3:uid="{20DC7D11-3D6C-4284-B04E-2D8F63CC6E04}" name="Crystallizer " dataDxfId="184" dataCellStyle="Normal 2">
      <calculatedColumnFormula>+'Equipment Data'!B35</calculatedColumnFormula>
    </tableColumn>
  </tableColumns>
  <tableStyleInfo name="TableStyleMedium6"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83" dataDxfId="182">
  <autoFilter ref="AC2:AC8" xr:uid="{DAC915E7-B40C-4500-AA97-424E042AA7DE}"/>
  <tableColumns count="1">
    <tableColumn id="1" xr3:uid="{802FB2C7-1ED1-44E8-B881-C7614300DA80}" name="Drive " dataDxfId="181"/>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80" dataDxfId="179">
  <autoFilter ref="AD2:AD5" xr:uid="{3007DBC2-AFB8-4B7B-8B59-B4748BC20D78}"/>
  <tableColumns count="1">
    <tableColumn id="1" xr3:uid="{E299F165-497B-4D50-8332-D3AB290C4BEB}" name="Dryer" dataDxfId="178">
      <calculatedColumnFormula>+'Equipment Data'!B52</calculatedColumnFormula>
    </tableColumn>
  </tableColumns>
  <tableStyleInfo name="TableStyleMedium6"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7" dataDxfId="176">
  <autoFilter ref="AE2:AE6" xr:uid="{EC2D4087-09AB-4C54-9E2C-5D208D22FEC7}"/>
  <tableColumns count="1">
    <tableColumn id="1" xr3:uid="{821762A4-5BCC-4E6B-84AD-8D0959312070}" name="Dust Collectors " dataDxfId="175"/>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74" dataDxfId="173">
  <autoFilter ref="AF2:AF6" xr:uid="{C818263F-1902-4B46-8870-624DA666101D}"/>
  <tableColumns count="1">
    <tableColumn id="1" xr3:uid="{816A1797-D876-4E72-9155-B2F99DBCC995}" name="Fan" dataDxfId="172">
      <calculatedColumnFormula>+'Equipment Data'!B70</calculatedColumnFormula>
    </tableColumn>
  </tableColumns>
  <tableStyleInfo name="TableStyleMedium6"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71" dataDxfId="170">
  <autoFilter ref="AG2:AG11" xr:uid="{00278867-4EAA-4B10-AC96-24FAFCC9007B}"/>
  <tableColumns count="1">
    <tableColumn id="1" xr3:uid="{58A2D0DF-2D21-4479-922A-3EB6D9E0DB58}" name="Filter " dataDxfId="169">
      <calculatedColumnFormula>+'Equipment Data'!B78</calculatedColumnFormula>
    </tableColumn>
  </tableColumns>
  <tableStyleInfo name="TableStyleMedium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8" dataDxfId="167">
  <autoFilter ref="AH2:AH9" xr:uid="{B1647EF9-2BD6-43F3-93B6-F107DBE24F3A}"/>
  <tableColumns count="1">
    <tableColumn id="1" xr3:uid="{DB16C8E2-A33F-4B4C-B31D-5D37BB6AB687}" name="Fired Heater " dataDxfId="166">
      <calculatedColumnFormula>+'Equipment Data'!B99</calculatedColumnFormula>
    </tableColumn>
  </tableColumns>
  <tableStyleInfo name="TableStyleMedium6"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65" dataDxfId="164">
  <autoFilter ref="AI2:AI7" xr:uid="{942D7014-C0CF-4237-9232-9415975F109C}"/>
  <tableColumns count="1">
    <tableColumn id="1" xr3:uid="{AE2E0094-7841-4B64-AFED-5565B70396BA}" name="Evaporator " dataDxfId="163">
      <calculatedColumnFormula>+'Equipment Data'!B111</calculatedColumnFormula>
    </tableColumn>
  </tableColumns>
  <tableStyleInfo name="TableStyleMedium6"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62" dataDxfId="161">
  <autoFilter ref="AJ2:AJ14" xr:uid="{B536BA8D-16CD-427D-8794-C82AC29125C2}"/>
  <tableColumns count="1">
    <tableColumn id="1" xr3:uid="{86A46060-19DE-4843-AEDB-AAF0180A654F}" name="Heat Exchanger" dataDxfId="160"/>
  </tableColumns>
  <tableStyleInfo name="TableStyleMedium6"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9" dataDxfId="158" dataCellStyle="Normal 2">
  <autoFilter ref="AK2:AK5" xr:uid="{949812EA-0F98-4D69-8382-8D09D04A258B}"/>
  <tableColumns count="1">
    <tableColumn id="1" xr3:uid="{B5DBD036-BFAE-48A1-81F0-10226A32B065}" name="Mixer " dataDxfId="157" dataCellStyle="Normal 2">
      <calculatedColumnFormula>+'Equipment Data'!B172</calculatedColumnFormula>
    </tableColumn>
  </tableColumns>
  <tableStyleInfo name="TableStyleMedium6"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6" dataDxfId="155" dataCellStyle="Normal 2">
  <autoFilter ref="AL2:AL5" xr:uid="{8E9A2C41-F67B-4CA0-BAB0-FABB11DFF702}"/>
  <tableColumns count="1">
    <tableColumn id="1" xr3:uid="{DC29DDE1-B1CC-4485-B787-77EF007F526C}" name="Pump " dataDxfId="154" dataCellStyle="Normal 2">
      <calculatedColumnFormula>+'Equipment Data'!B179</calculatedColumnFormula>
    </tableColumn>
  </tableColumns>
  <tableStyleInfo name="TableStyleMedium6"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53" dataDxfId="152">
  <autoFilter ref="AM2:AM8" xr:uid="{BC9F9C63-B4E8-4FE3-BC78-58AA6C99C630}"/>
  <tableColumns count="1">
    <tableColumn id="1" xr3:uid="{EFA9AE71-4DC2-49E7-BB89-ECA1DA6D5047}" name="Reactor " dataDxfId="151">
      <calculatedColumnFormula>+'Equipment Data'!B186</calculatedColumnFormula>
    </tableColumn>
  </tableColumns>
  <tableStyleInfo name="TableStyleMedium6"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50" dataDxfId="149">
  <autoFilter ref="AN2:AN6" xr:uid="{342E9B8A-D362-444D-BE6E-D9EE58F0916E}"/>
  <tableColumns count="1">
    <tableColumn id="1" xr3:uid="{4CD08EBA-18AA-4809-8A2B-6FB741A8706C}" name="Screen " dataDxfId="148">
      <calculatedColumnFormula>+'Equipment Data'!B196</calculatedColumnFormula>
    </tableColumn>
  </tableColumns>
  <tableStyleInfo name="TableStyleMedium6"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7" dataDxfId="146">
  <autoFilter ref="AO2:AO4" xr:uid="{14C3BD97-403D-4850-A395-1FE0306E1367}"/>
  <tableColumns count="1">
    <tableColumn id="1" xr3:uid="{5116F074-B471-4690-9F11-6EFBF537DD0C}" name="Tank" dataDxfId="145">
      <calculatedColumnFormula>+'Equipment Data'!B204</calculatedColumnFormula>
    </tableColumn>
  </tableColumns>
  <tableStyleInfo name="TableStyleMedium6"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44" dataDxfId="143">
  <autoFilter ref="AP2:AP4" xr:uid="{E12542DF-6647-4F8F-998A-279BE3CCC8CC}"/>
  <tableColumns count="1">
    <tableColumn id="1" xr3:uid="{61C5A7C7-7677-43E8-B75A-9C402A2DCFAC}" name="Turbine" dataDxfId="142">
      <calculatedColumnFormula>'Equipment Data'!B210</calculatedColumnFormula>
    </tableColumn>
  </tableColumns>
  <tableStyleInfo name="TableStyleMedium6"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41" dataDxfId="140">
  <autoFilter ref="AQ2:AQ5" xr:uid="{B53A4EF3-4476-44C2-AFF0-AC65C562A210}"/>
  <tableColumns count="1">
    <tableColumn id="1" xr3:uid="{477F4F40-9000-4714-AB2B-CDE94B17C8B6}" name="Vaporizer" dataDxfId="139">
      <calculatedColumnFormula>+'Equipment Data'!B216</calculatedColumnFormula>
    </tableColumn>
  </tableColumns>
  <tableStyleInfo name="TableStyleMedium6"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8" dataDxfId="137">
  <autoFilter ref="AR2:AR5" xr:uid="{FED659A3-D7A7-4D39-834B-519F9357A3DD}"/>
  <tableColumns count="1">
    <tableColumn id="1" xr3:uid="{78C17F0C-A504-46B0-93B6-8C8589E44EE2}" name="Vessel" dataDxfId="136"/>
  </tableColumns>
  <tableStyleInfo name="TableStyleMedium6"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35" dataDxfId="134">
  <autoFilter ref="AS2:AS5" xr:uid="{44400DB0-2F71-4F64-B86E-20DB17F2BEEE}"/>
  <tableColumns count="1">
    <tableColumn id="1" xr3:uid="{464CAAC0-7398-4CD2-9E85-7FBEBD1D3211}" name="Tower Trays" dataDxfId="133">
      <calculatedColumnFormula>+'Equipment Data'!B257</calculatedColumnFormula>
    </tableColumn>
  </tableColumns>
  <tableStyleInfo name="TableStyleMedium6"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32" dataDxfId="131">
  <autoFilter ref="AT2:AT3" xr:uid="{E09F0E09-65FF-45E0-AE4B-2C0E8DC99D46}"/>
  <tableColumns count="1">
    <tableColumn id="1" xr3:uid="{40F5BCD7-6DE6-48FB-8EF0-DA14505ACFBA}" name="Tower Packing" dataDxfId="130">
      <calculatedColumnFormula>+'Equipment Data'!B283</calculatedColumnFormula>
    </tableColumn>
  </tableColumns>
  <tableStyleInfo name="TableStyleMedium6"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9" dataDxfId="128">
  <autoFilter ref="AV2:AV3" xr:uid="{0972E802-8C3B-4F22-AEB2-12E0D0BF69E4}"/>
  <tableColumns count="1">
    <tableColumn id="1" xr3:uid="{C4872E29-A555-43B3-91F5-26EA5C594FC1}" name="Blender_Material" dataDxfId="127"/>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6" dataDxfId="125" headerRowCellStyle="Normal 2">
  <autoFilter ref="AW2:AW3" xr:uid="{635F4DBD-44C3-4DC9-9509-3E3B8C029E82}"/>
  <tableColumns count="1">
    <tableColumn id="1" xr3:uid="{DCC3B8E0-3440-4751-988C-8211D6C9390D}" name="Centrifuge_Material" dataDxfId="124"/>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23" dataDxfId="122">
  <autoFilter ref="AX2:AX5" xr:uid="{E2215464-BE04-4BD8-9938-503D675DA0EE}"/>
  <tableColumns count="1">
    <tableColumn id="1" xr3:uid="{787E8A9A-CD73-4764-ABE6-90B8C477C897}" name="Compressor_Material" dataDxfId="121"/>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20" dataDxfId="119" dataCellStyle="Normal 2">
  <autoFilter ref="AY2:AY3" xr:uid="{3B9810A6-A43F-47A7-A1BB-CCC4AEC099EA}"/>
  <tableColumns count="1">
    <tableColumn id="1" xr3:uid="{7BBA5863-E9CE-4C45-B942-01BFCD76F700}" name="Conveyor_Material" dataDxfId="118" dataCellStyle="Normal 2"/>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7" dataDxfId="116" dataCellStyle="Normal 2">
  <autoFilter ref="AZ2:AZ3" xr:uid="{4AD84E5D-348D-45C3-B1A5-76E6F7686776}"/>
  <tableColumns count="1">
    <tableColumn id="1" xr3:uid="{1EB8DACC-D52D-4891-9BDB-A6C55E35E07E}" name="Crystallizer_Material" dataDxfId="115" dataCellStyle="Normal 2"/>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14" dataDxfId="113" dataCellStyle="Normal 2">
  <autoFilter ref="BA2:BA3" xr:uid="{52CC2F65-8E5F-48EE-AD6B-22B2E75FD87F}"/>
  <tableColumns count="1">
    <tableColumn id="1" xr3:uid="{076F7D13-0590-4F9F-81EE-17363227BF65}" name="Drive_Material" dataDxfId="112" dataCellStyle="Normal 2"/>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11" dataDxfId="110" dataCellStyle="Normal 2">
  <autoFilter ref="BB2:BB3" xr:uid="{F849317A-2820-40AA-84FF-DD67EE0B6422}"/>
  <tableColumns count="1">
    <tableColumn id="1" xr3:uid="{43CC03BE-1C15-42AC-8E7D-F097921ADE6F}" name="Dryer_Material" dataDxfId="109" dataCellStyle="Normal 2"/>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8" dataDxfId="107" dataCellStyle="Normal 2">
  <autoFilter ref="BC2:BC3" xr:uid="{233E4483-0DB4-493C-95D0-19E86132A7AB}"/>
  <tableColumns count="1">
    <tableColumn id="1" xr3:uid="{3BF19E1D-47CE-48D1-B4D8-10731C497C7C}" name="DustCollectors_Material" dataDxfId="106" dataCellStyle="Normal 2"/>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105" dataDxfId="104">
  <autoFilter ref="BD2:BD6" xr:uid="{F66810C5-EF90-460A-BBDC-697BBDF89B8E}"/>
  <tableColumns count="1">
    <tableColumn id="1" xr3:uid="{C14E43AC-FE45-4EF7-B433-0C93A589F419}" name="Fan_Material" dataDxfId="103"/>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102" dataDxfId="101">
  <autoFilter ref="BE2:BE3" xr:uid="{97599293-3761-41A2-8D89-C105A020ADCC}"/>
  <tableColumns count="1">
    <tableColumn id="1" xr3:uid="{0839ED54-E0ED-48C7-937F-21F4345DC556}" name="Filter_Material" dataDxfId="100">
      <calculatedColumnFormula>+BC3</calculatedColumnFormula>
    </tableColumn>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9" dataDxfId="98">
  <autoFilter ref="BF2:BF5" xr:uid="{C841E698-528A-45FB-B389-4A3AC6D5A165}"/>
  <tableColumns count="1">
    <tableColumn id="1" xr3:uid="{015AD40B-F98A-45D7-93F0-4C0947E37FD3}" name="FiredHeater_Material" dataDxfId="97"/>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6" dataDxfId="95">
  <autoFilter ref="BG2:BG7" xr:uid="{8E065FE5-A586-4A37-823A-D7C741D0AF20}"/>
  <tableColumns count="1">
    <tableColumn id="1" xr3:uid="{10CDD0D5-AD2F-4D77-AE7D-60ECDAF3B24C}" name="Evaporator_Material" dataDxfId="94"/>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93" dataDxfId="92">
  <autoFilter ref="BH2:BH17" xr:uid="{02F12597-D103-4BBC-9DA1-1BB226F17251}"/>
  <tableColumns count="1">
    <tableColumn id="1" xr3:uid="{A2E27DDB-3DAC-4A7F-ADB4-CCA48751C978}" name="HeatExchanger_Material" dataDxfId="91"/>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90" dataDxfId="89">
  <autoFilter ref="BI2:BI3" xr:uid="{DE8F2E34-FDE6-4AE1-A118-014C42F160EF}"/>
  <tableColumns count="1">
    <tableColumn id="1" xr3:uid="{8E1303AF-BB53-4F7B-A892-6C489D9D603A}" name="Mixer_Material" dataDxfId="88">
      <calculatedColumnFormula>+BE3</calculatedColumnFormula>
    </tableColumn>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7" dataDxfId="86">
  <autoFilter ref="BJ2:BJ8" xr:uid="{AF63D4FD-5724-4EB2-A27F-914A4B745620}"/>
  <tableColumns count="1">
    <tableColumn id="1" xr3:uid="{E6546D22-D3E9-4512-903D-69D11F3D9345}" name="Pump_Material" dataDxfId="85"/>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84" dataDxfId="83">
  <autoFilter ref="BK2:BK3" xr:uid="{FB4C580F-824A-4A9F-91E5-42908BEAC266}"/>
  <tableColumns count="1">
    <tableColumn id="1" xr3:uid="{DFC84B14-279F-46C9-92A4-0B5EEF05F46A}" name="Reactor_Material" dataDxfId="82"/>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81" dataDxfId="80">
  <autoFilter ref="BL2:BL3" xr:uid="{ECC7DF98-9455-470A-BA74-CCD21D38E611}"/>
  <tableColumns count="1">
    <tableColumn id="1" xr3:uid="{34217042-B712-4D0C-9DB2-D56DBD011A29}" name="Screen_Material" dataDxfId="79">
      <calculatedColumnFormula>+BI3</calculatedColumnFormula>
    </tableColumn>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8" dataDxfId="77">
  <autoFilter ref="BM2:BM3" xr:uid="{5915637A-DF21-49DE-9DBB-B61F5DFEAFDE}"/>
  <tableColumns count="1">
    <tableColumn id="1" xr3:uid="{A4247BB3-D46E-410E-8933-394866A13CA3}" name="Tank_Material" dataDxfId="76"/>
  </tableColumns>
  <tableStyleInfo name="TableStyleLight13"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75" dataDxfId="74">
  <autoFilter ref="BN2:BN8" xr:uid="{FB8C7938-F031-46B0-B049-892DB9F077AB}"/>
  <tableColumns count="1">
    <tableColumn id="1" xr3:uid="{BFD73E16-BD8C-4B2A-8CFE-35376C8513AF}" name="Turbine_Material" dataDxfId="73"/>
  </tableColumns>
  <tableStyleInfo name="TableStyleLight13"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72" dataDxfId="71" dataCellStyle="Normal 2">
  <autoFilter ref="BO2:BO12" xr:uid="{6B33B833-663A-4C9B-93A5-B67BD28D6031}"/>
  <tableColumns count="1">
    <tableColumn id="1" xr3:uid="{E2D308F8-BD83-4924-9FD9-23469E09F51F}" name="Vaporizer_Material" dataDxfId="70" dataCellStyle="Normal 2"/>
  </tableColumns>
  <tableStyleInfo name="TableStyleLight13"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9" dataDxfId="68">
  <autoFilter ref="BP2:BP9" xr:uid="{A7FD4972-8540-450A-9CB3-3C1DD791BEF0}"/>
  <tableColumns count="1">
    <tableColumn id="1" xr3:uid="{295B7012-2B3C-4915-A8F7-D541C30BB718}" name="Vessel_Material" dataDxfId="67"/>
  </tableColumns>
  <tableStyleInfo name="TableStyleLight13"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6" dataDxfId="65">
  <autoFilter ref="BQ2:BQ6" xr:uid="{CE38668D-63CB-4930-9F90-8ACEFB7FDCBC}"/>
  <tableColumns count="1">
    <tableColumn id="1" xr3:uid="{957353F6-A3D7-4B9C-80C2-07B411AFDC1B}" name="TowerTrays_Material" dataDxfId="64"/>
  </tableColumns>
  <tableStyleInfo name="TableStyleLight13"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63" dataDxfId="62">
  <autoFilter ref="BR2:BR5" xr:uid="{B13B6759-3FAA-465E-83CF-5874E1EDB7FB}"/>
  <tableColumns count="1">
    <tableColumn id="1" xr3:uid="{0EFF8D7E-2021-421C-9E45-BEA1D2662BF2}" name="TowerPacking_Material" dataDxfId="61"/>
  </tableColumns>
  <tableStyleInfo name="TableStyleLight13"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60" dataDxfId="59">
  <autoFilter ref="BT2:BT11" xr:uid="{E3C5F55A-7C6C-419A-895E-82CFD49B5A29}"/>
  <tableColumns count="1">
    <tableColumn id="1" xr3:uid="{F6926670-A301-4C59-AAD1-51B1A395C252}" name="HeatExchanger_DoublePipe_Material" dataDxfId="58"/>
  </tableColumns>
  <tableStyleInfo name="TableStyleLight13"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7" dataDxfId="56">
  <autoFilter ref="BU2:BU11" xr:uid="{1F5EADEB-1772-441D-B696-A4B6B763580B}"/>
  <tableColumns count="1">
    <tableColumn id="1" xr3:uid="{216670CF-A765-4E7F-954B-8B26A99E30E1}" name="HeatExchanger_MultiplePipe_Material" dataDxfId="55"/>
  </tableColumns>
  <tableStyleInfo name="TableStyleLight13"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54" dataDxfId="53">
  <autoFilter ref="BV2:BV11" xr:uid="{5450ECFF-2C43-40CF-BE10-892B639FED0B}"/>
  <tableColumns count="1">
    <tableColumn id="1" xr3:uid="{8F8A0B74-E310-465B-8423-53845402702F}" name="HeatExchanger_FixedtubesheetorUtube_Material" dataDxfId="52"/>
  </tableColumns>
  <tableStyleInfo name="TableStyleLight13"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51" dataDxfId="50">
  <autoFilter ref="BW2:BW11" xr:uid="{8205E09C-AEA4-4B62-B511-9C270E082690}"/>
  <tableColumns count="1">
    <tableColumn id="1" xr3:uid="{5EA2DDB4-2753-409A-BC48-701EF4995E4D}" name="HeatExchanger_FloatingHead_Material" dataDxfId="49"/>
  </tableColumns>
  <tableStyleInfo name="TableStyleLight13"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8" dataDxfId="47">
  <autoFilter ref="BX2:BX11" xr:uid="{611F9890-68CC-46BF-85D7-F630187C5CE0}"/>
  <tableColumns count="1">
    <tableColumn id="1" xr3:uid="{DD41E2CC-8C06-4C79-98D0-8F52C65B48B4}" name="HeatExchanger_Bayonet_Material" dataDxfId="46"/>
  </tableColumns>
  <tableStyleInfo name="TableStyleLight13"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45" dataDxfId="44">
  <autoFilter ref="BY2:BY11" xr:uid="{B925832A-D17D-4D82-900B-6B5700792FBA}"/>
  <tableColumns count="1">
    <tableColumn id="1" xr3:uid="{8BA67C77-C0B1-4F66-B790-9DE6C999612A}" name="HeatExchanger_KettleReboiler_Material" dataDxfId="43"/>
  </tableColumns>
  <tableStyleInfo name="TableStyleLight13"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42" dataDxfId="41">
  <autoFilter ref="BZ2:BZ11" xr:uid="{3E8715FD-E60B-44DC-83DA-ED7E87F3003E}"/>
  <tableColumns count="1">
    <tableColumn id="1" xr3:uid="{55918318-7816-46BF-BA6C-8EFF88DD5D21}" name="HeatExchanger_ScrapedWall_Material" dataDxfId="40"/>
  </tableColumns>
  <tableStyleInfo name="TableStyleLight13"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9" dataDxfId="38">
  <autoFilter ref="CA2:CA11" xr:uid="{3F6D41CA-A245-4B4F-90F8-9B2A5B49CEA7}"/>
  <tableColumns count="1">
    <tableColumn id="1" xr3:uid="{AE76EB23-64D5-4345-8D2E-3D2C553B1333}" name="HeatExchanger_SpiralTube_Material" dataDxfId="37"/>
  </tableColumns>
  <tableStyleInfo name="TableStyleLight13"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6" dataDxfId="35">
  <autoFilter ref="CB2:CB7" xr:uid="{F6765398-4396-4AB9-BEDC-EE3DBA0E969F}"/>
  <tableColumns count="1">
    <tableColumn id="1" xr3:uid="{FCF11394-C08F-4439-B313-9AC0AB0BDC28}" name="HeatExchanger_TeflonTubeExchanger_Material" dataDxfId="34"/>
  </tableColumns>
  <tableStyleInfo name="TableStyleLight13"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33" dataDxfId="32">
  <autoFilter ref="CC2:CC7" xr:uid="{F3B80F41-0219-4BCE-B7CF-B7E0024AC9FA}"/>
  <tableColumns count="1">
    <tableColumn id="1" xr3:uid="{A6F03C1B-D6AB-4395-9686-1625770C469E}" name="HeatExchanger_SpiralPlate_Material" dataDxfId="31"/>
  </tableColumns>
  <tableStyleInfo name="TableStyleLight13"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30" dataDxfId="29">
  <autoFilter ref="CD2:CD7" xr:uid="{4CA2608E-EE6F-44E5-A1A5-09DAFDF35930}"/>
  <tableColumns count="1">
    <tableColumn id="1" xr3:uid="{436E8449-99E6-4AFC-9E99-65CC0F546F11}" name="HeatExchanger_FlatPlate_Material" dataDxfId="28"/>
  </tableColumns>
  <tableStyleInfo name="TableStyleLight13"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7" dataDxfId="26">
  <autoFilter ref="CE2:CE5" xr:uid="{CC21315E-32E1-4787-B1C4-8683B488D05E}"/>
  <tableColumns count="1">
    <tableColumn id="1" xr3:uid="{CD6EBE87-5A83-43BE-BABF-685135E28515}" name="HeatExchanger_AirCooler_Material" dataDxfId="25"/>
  </tableColumns>
  <tableStyleInfo name="TableStyleLight13"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24">
  <autoFilter ref="C117:C124" xr:uid="{46A1D7A4-BE3E-4947-B1C1-38355474925A}"/>
  <tableColumns count="1">
    <tableColumn id="1" xr3:uid="{99C2C3CF-62D2-445E-93E5-98B3BE357141}" name="Task" dataDxfId="23"/>
  </tableColumns>
  <tableStyleInfo name="TableStyleLight13"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22" dataDxfId="20" headerRowBorderDxfId="21" tableBorderDxfId="19">
  <autoFilter ref="E117:E132" xr:uid="{70F5CE4F-8B70-4AB6-8CC8-4E54B0F61FF1}"/>
  <tableColumns count="1">
    <tableColumn id="1" xr3:uid="{8628757C-0544-46E0-9AD7-33B4529D916B}" name="Location" dataDxfId="18"/>
  </tableColumns>
  <tableStyleInfo name="TableStyleLight13"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7">
  <autoFilter ref="D117:D119" xr:uid="{7DDBE83D-0F4B-4F3C-9C79-A4E8F2A39A6E}"/>
  <tableColumns count="1">
    <tableColumn id="1" xr3:uid="{BF69723D-AB47-42C9-B913-9D73B33B2253}" name="Currency" dataDxfId="16"/>
  </tableColumns>
  <tableStyleInfo name="TableStyleLight13"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15" dataDxfId="14" tableBorderDxfId="13">
  <autoFilter ref="F117:F163" xr:uid="{8CFBE97A-94B7-444F-BAD8-E248B6015D83}"/>
  <tableColumns count="1">
    <tableColumn id="1" xr3:uid="{4621CF8A-6729-4673-AA22-5A4D210AF45C}" name="Year" dataDxfId="12"/>
  </tableColumns>
  <tableStyleInfo name="TableStyleLight13"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11" dataDxfId="10">
  <autoFilter ref="G117:G121" xr:uid="{66FB7830-C886-44BF-8166-542CEEA9E03F}"/>
  <tableColumns count="1">
    <tableColumn id="1" xr3:uid="{7876CA10-89A5-44DC-A00C-44F5E19665CD}" name="Construction" dataDxfId="9"/>
  </tableColumns>
  <tableStyleInfo name="TableStyleLight13"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8" dataDxfId="7">
  <autoFilter ref="H117:H157" xr:uid="{06959F78-E382-4AA1-92EF-A26697999ABE}"/>
  <tableColumns count="1">
    <tableColumn id="1" xr3:uid="{1C0A23DF-8133-426F-AD18-99A958C1AAB3}" name="Lifetime" dataDxfId="6"/>
  </tableColumns>
  <tableStyleInfo name="TableStyleLight13"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W66" dT="2021-08-24T10:09:59.13" personId="{6E65B61A-4FC2-4E8C-BD4C-7248342FB643}" id="{CDF9D107-8412-4CE9-9F2E-3FF0BB9A248F}">
    <text>check</text>
  </threadedComment>
</ThreadedComments>
</file>

<file path=xl/threadedComments/threadedComment2.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3.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4.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1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ctrlProp" Target="../ctrlProps/ctrlProp14.xml"/><Relationship Id="rId9"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6.vml"/><Relationship Id="rId7" Type="http://schemas.openxmlformats.org/officeDocument/2006/relationships/table" Target="../tables/table15.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table" Target="../tables/table18.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21.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ctrlProp" Target="../ctrlProps/ctrlProp17.xml"/></Relationships>
</file>

<file path=xl/worksheets/_rels/sheet9.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table" Target="../tables/table24.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23.xml"/><Relationship Id="rId5" Type="http://schemas.openxmlformats.org/officeDocument/2006/relationships/table" Target="../tables/table22.xml"/><Relationship Id="rId4" Type="http://schemas.openxmlformats.org/officeDocument/2006/relationships/ctrlProp" Target="../ctrlProps/ctrlProp18.xml"/></Relationships>
</file>

<file path=xl/worksheets/_rels/sheet10.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table" Target="../tables/table27.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table" Target="../tables/table26.xml"/><Relationship Id="rId5" Type="http://schemas.openxmlformats.org/officeDocument/2006/relationships/table" Target="../tables/table25.xml"/><Relationship Id="rId4" Type="http://schemas.openxmlformats.org/officeDocument/2006/relationships/ctrlProp" Target="../ctrlProps/ctrlProp19.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0.xml"/><Relationship Id="rId3" Type="http://schemas.openxmlformats.org/officeDocument/2006/relationships/drawing" Target="../drawings/drawing10.xml"/><Relationship Id="rId7" Type="http://schemas.openxmlformats.org/officeDocument/2006/relationships/table" Target="../tables/table29.xml"/><Relationship Id="rId2" Type="http://schemas.openxmlformats.org/officeDocument/2006/relationships/printerSettings" Target="../printerSettings/printerSettings10.bin"/><Relationship Id="rId1" Type="http://schemas.openxmlformats.org/officeDocument/2006/relationships/hyperlink" Target="https://lib.dr.iastate.edu/cgi/viewcontent.cgi?article=2119&amp;context=etd" TargetMode="External"/><Relationship Id="rId6" Type="http://schemas.openxmlformats.org/officeDocument/2006/relationships/table" Target="../tables/table28.xml"/><Relationship Id="rId5" Type="http://schemas.openxmlformats.org/officeDocument/2006/relationships/ctrlProp" Target="../ctrlProps/ctrlProp20.xml"/><Relationship Id="rId4" Type="http://schemas.openxmlformats.org/officeDocument/2006/relationships/vmlDrawing" Target="../drawings/vmlDrawing11.vml"/><Relationship Id="rId9"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omments" Target="../comments12.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21.xml"/><Relationship Id="rId5" Type="http://schemas.openxmlformats.org/officeDocument/2006/relationships/image" Target="../media/image17.emf"/><Relationship Id="rId4" Type="http://schemas.openxmlformats.org/officeDocument/2006/relationships/package" Target="../embeddings/Dibujo_de_Microsoft_Visio.vsdx"/></Relationships>
</file>

<file path=xl/worksheets/_rels/sheet13.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table" Target="../tables/table33.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table" Target="../tables/table32.xml"/><Relationship Id="rId5" Type="http://schemas.openxmlformats.org/officeDocument/2006/relationships/table" Target="../tables/table31.xml"/><Relationship Id="rId4" Type="http://schemas.openxmlformats.org/officeDocument/2006/relationships/ctrlProp" Target="../ctrlProps/ctrlProp2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vmlDrawing" Target="../drawings/vmlDrawing14.vml"/><Relationship Id="rId7" Type="http://schemas.openxmlformats.org/officeDocument/2006/relationships/ctrlProp" Target="../ctrlProps/ctrlProp26.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25.xml"/><Relationship Id="rId5" Type="http://schemas.openxmlformats.org/officeDocument/2006/relationships/ctrlProp" Target="../ctrlProps/ctrlProp24.xml"/><Relationship Id="rId10" Type="http://schemas.openxmlformats.org/officeDocument/2006/relationships/table" Target="../tables/table35.xml"/><Relationship Id="rId4" Type="http://schemas.openxmlformats.org/officeDocument/2006/relationships/ctrlProp" Target="../ctrlProps/ctrlProp23.xml"/><Relationship Id="rId9" Type="http://schemas.openxmlformats.org/officeDocument/2006/relationships/table" Target="../tables/table3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32.xml"/><Relationship Id="rId13" Type="http://schemas.openxmlformats.org/officeDocument/2006/relationships/table" Target="../tables/table38.xml"/><Relationship Id="rId3" Type="http://schemas.openxmlformats.org/officeDocument/2006/relationships/vmlDrawing" Target="../drawings/vmlDrawing15.vml"/><Relationship Id="rId7" Type="http://schemas.openxmlformats.org/officeDocument/2006/relationships/ctrlProp" Target="../ctrlProps/ctrlProp31.xml"/><Relationship Id="rId12" Type="http://schemas.openxmlformats.org/officeDocument/2006/relationships/table" Target="../tables/table37.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30.xml"/><Relationship Id="rId11" Type="http://schemas.openxmlformats.org/officeDocument/2006/relationships/table" Target="../tables/table36.xml"/><Relationship Id="rId5" Type="http://schemas.openxmlformats.org/officeDocument/2006/relationships/ctrlProp" Target="../ctrlProps/ctrlProp29.xml"/><Relationship Id="rId10" Type="http://schemas.openxmlformats.org/officeDocument/2006/relationships/ctrlProp" Target="../ctrlProps/ctrlProp34.xml"/><Relationship Id="rId4" Type="http://schemas.openxmlformats.org/officeDocument/2006/relationships/ctrlProp" Target="../ctrlProps/ctrlProp28.xml"/><Relationship Id="rId9" Type="http://schemas.openxmlformats.org/officeDocument/2006/relationships/ctrlProp" Target="../ctrlProps/ctrlProp33.xml"/></Relationships>
</file>

<file path=xl/worksheets/_rels/sheet16.xml.rels><?xml version="1.0" encoding="UTF-8" standalone="yes"?>
<Relationships xmlns="http://schemas.openxmlformats.org/package/2006/relationships"><Relationship Id="rId8" Type="http://schemas.openxmlformats.org/officeDocument/2006/relationships/table" Target="../tables/table39.xml"/><Relationship Id="rId3" Type="http://schemas.openxmlformats.org/officeDocument/2006/relationships/ctrlProp" Target="../ctrlProps/ctrlProp35.xml"/><Relationship Id="rId7" Type="http://schemas.openxmlformats.org/officeDocument/2006/relationships/ctrlProp" Target="../ctrlProps/ctrlProp39.xml"/><Relationship Id="rId2" Type="http://schemas.openxmlformats.org/officeDocument/2006/relationships/vmlDrawing" Target="../drawings/vmlDrawing16.vml"/><Relationship Id="rId1" Type="http://schemas.openxmlformats.org/officeDocument/2006/relationships/drawing" Target="../drawings/drawing15.xml"/><Relationship Id="rId6" Type="http://schemas.openxmlformats.org/officeDocument/2006/relationships/ctrlProp" Target="../ctrlProps/ctrlProp38.xml"/><Relationship Id="rId5" Type="http://schemas.openxmlformats.org/officeDocument/2006/relationships/ctrlProp" Target="../ctrlProps/ctrlProp37.xml"/><Relationship Id="rId10" Type="http://schemas.openxmlformats.org/officeDocument/2006/relationships/comments" Target="../comments14.xml"/><Relationship Id="rId4" Type="http://schemas.openxmlformats.org/officeDocument/2006/relationships/ctrlProp" Target="../ctrlProps/ctrlProp36.xml"/><Relationship Id="rId9" Type="http://schemas.openxmlformats.org/officeDocument/2006/relationships/table" Target="../tables/table4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table" Target="../tables/table41.xml"/><Relationship Id="rId2" Type="http://schemas.openxmlformats.org/officeDocument/2006/relationships/drawing" Target="../drawings/drawing16.xml"/><Relationship Id="rId1" Type="http://schemas.openxmlformats.org/officeDocument/2006/relationships/printerSettings" Target="../printerSettings/printerSettings15.bin"/><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hyperlink" Target="https://ieaghg.org/exco_docs/2017-02.pdf" TargetMode="External"/><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9.xml.rels><?xml version="1.0" encoding="UTF-8" standalone="yes"?>
<Relationships xmlns="http://schemas.openxmlformats.org/package/2006/relationships"><Relationship Id="rId26" Type="http://schemas.openxmlformats.org/officeDocument/2006/relationships/table" Target="../tables/table62.xml"/><Relationship Id="rId21" Type="http://schemas.openxmlformats.org/officeDocument/2006/relationships/table" Target="../tables/table57.xml"/><Relationship Id="rId34" Type="http://schemas.openxmlformats.org/officeDocument/2006/relationships/table" Target="../tables/table70.xml"/><Relationship Id="rId42" Type="http://schemas.openxmlformats.org/officeDocument/2006/relationships/table" Target="../tables/table78.xml"/><Relationship Id="rId47" Type="http://schemas.openxmlformats.org/officeDocument/2006/relationships/table" Target="../tables/table83.xml"/><Relationship Id="rId50" Type="http://schemas.openxmlformats.org/officeDocument/2006/relationships/table" Target="../tables/table86.xml"/><Relationship Id="rId55" Type="http://schemas.openxmlformats.org/officeDocument/2006/relationships/table" Target="../tables/table91.xml"/><Relationship Id="rId63" Type="http://schemas.openxmlformats.org/officeDocument/2006/relationships/table" Target="../tables/table99.xml"/><Relationship Id="rId7" Type="http://schemas.openxmlformats.org/officeDocument/2006/relationships/table" Target="../tables/table43.xml"/><Relationship Id="rId2" Type="http://schemas.openxmlformats.org/officeDocument/2006/relationships/printerSettings" Target="../printerSettings/printerSettings16.bin"/><Relationship Id="rId16" Type="http://schemas.openxmlformats.org/officeDocument/2006/relationships/table" Target="../tables/table52.xml"/><Relationship Id="rId29" Type="http://schemas.openxmlformats.org/officeDocument/2006/relationships/table" Target="../tables/table65.xml"/><Relationship Id="rId11" Type="http://schemas.openxmlformats.org/officeDocument/2006/relationships/table" Target="../tables/table47.xml"/><Relationship Id="rId24" Type="http://schemas.openxmlformats.org/officeDocument/2006/relationships/table" Target="../tables/table60.xml"/><Relationship Id="rId32" Type="http://schemas.openxmlformats.org/officeDocument/2006/relationships/table" Target="../tables/table68.xml"/><Relationship Id="rId37" Type="http://schemas.openxmlformats.org/officeDocument/2006/relationships/table" Target="../tables/table73.xml"/><Relationship Id="rId40" Type="http://schemas.openxmlformats.org/officeDocument/2006/relationships/table" Target="../tables/table76.xml"/><Relationship Id="rId45" Type="http://schemas.openxmlformats.org/officeDocument/2006/relationships/table" Target="../tables/table81.xml"/><Relationship Id="rId53" Type="http://schemas.openxmlformats.org/officeDocument/2006/relationships/table" Target="../tables/table89.xml"/><Relationship Id="rId58" Type="http://schemas.openxmlformats.org/officeDocument/2006/relationships/table" Target="../tables/table94.xml"/><Relationship Id="rId66" Type="http://schemas.microsoft.com/office/2017/10/relationships/threadedComment" Target="../threadedComments/threadedComment2.xml"/><Relationship Id="rId5" Type="http://schemas.openxmlformats.org/officeDocument/2006/relationships/ctrlProp" Target="../ctrlProps/ctrlProp46.xml"/><Relationship Id="rId61" Type="http://schemas.openxmlformats.org/officeDocument/2006/relationships/table" Target="../tables/table97.xml"/><Relationship Id="rId19" Type="http://schemas.openxmlformats.org/officeDocument/2006/relationships/table" Target="../tables/table55.xml"/><Relationship Id="rId14" Type="http://schemas.openxmlformats.org/officeDocument/2006/relationships/table" Target="../tables/table50.xml"/><Relationship Id="rId22" Type="http://schemas.openxmlformats.org/officeDocument/2006/relationships/table" Target="../tables/table58.xml"/><Relationship Id="rId27" Type="http://schemas.openxmlformats.org/officeDocument/2006/relationships/table" Target="../tables/table63.xml"/><Relationship Id="rId30" Type="http://schemas.openxmlformats.org/officeDocument/2006/relationships/table" Target="../tables/table66.xml"/><Relationship Id="rId35" Type="http://schemas.openxmlformats.org/officeDocument/2006/relationships/table" Target="../tables/table71.xml"/><Relationship Id="rId43" Type="http://schemas.openxmlformats.org/officeDocument/2006/relationships/table" Target="../tables/table79.xml"/><Relationship Id="rId48" Type="http://schemas.openxmlformats.org/officeDocument/2006/relationships/table" Target="../tables/table84.xml"/><Relationship Id="rId56" Type="http://schemas.openxmlformats.org/officeDocument/2006/relationships/table" Target="../tables/table92.xml"/><Relationship Id="rId64" Type="http://schemas.openxmlformats.org/officeDocument/2006/relationships/table" Target="../tables/table100.xml"/><Relationship Id="rId8" Type="http://schemas.openxmlformats.org/officeDocument/2006/relationships/table" Target="../tables/table44.xml"/><Relationship Id="rId51" Type="http://schemas.openxmlformats.org/officeDocument/2006/relationships/table" Target="../tables/table87.xml"/><Relationship Id="rId3" Type="http://schemas.openxmlformats.org/officeDocument/2006/relationships/drawing" Target="../drawings/drawing18.xml"/><Relationship Id="rId12" Type="http://schemas.openxmlformats.org/officeDocument/2006/relationships/table" Target="../tables/table48.xml"/><Relationship Id="rId17" Type="http://schemas.openxmlformats.org/officeDocument/2006/relationships/table" Target="../tables/table53.xml"/><Relationship Id="rId25" Type="http://schemas.openxmlformats.org/officeDocument/2006/relationships/table" Target="../tables/table61.xml"/><Relationship Id="rId33" Type="http://schemas.openxmlformats.org/officeDocument/2006/relationships/table" Target="../tables/table69.xml"/><Relationship Id="rId38" Type="http://schemas.openxmlformats.org/officeDocument/2006/relationships/table" Target="../tables/table74.xml"/><Relationship Id="rId46" Type="http://schemas.openxmlformats.org/officeDocument/2006/relationships/table" Target="../tables/table82.xml"/><Relationship Id="rId59" Type="http://schemas.openxmlformats.org/officeDocument/2006/relationships/table" Target="../tables/table95.xml"/><Relationship Id="rId20" Type="http://schemas.openxmlformats.org/officeDocument/2006/relationships/table" Target="../tables/table56.xml"/><Relationship Id="rId41" Type="http://schemas.openxmlformats.org/officeDocument/2006/relationships/table" Target="../tables/table77.xml"/><Relationship Id="rId54" Type="http://schemas.openxmlformats.org/officeDocument/2006/relationships/table" Target="../tables/table90.xml"/><Relationship Id="rId62" Type="http://schemas.openxmlformats.org/officeDocument/2006/relationships/table" Target="../tables/table98.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42.xml"/><Relationship Id="rId15" Type="http://schemas.openxmlformats.org/officeDocument/2006/relationships/table" Target="../tables/table51.xml"/><Relationship Id="rId23" Type="http://schemas.openxmlformats.org/officeDocument/2006/relationships/table" Target="../tables/table59.xml"/><Relationship Id="rId28" Type="http://schemas.openxmlformats.org/officeDocument/2006/relationships/table" Target="../tables/table64.xml"/><Relationship Id="rId36" Type="http://schemas.openxmlformats.org/officeDocument/2006/relationships/table" Target="../tables/table72.xml"/><Relationship Id="rId49" Type="http://schemas.openxmlformats.org/officeDocument/2006/relationships/table" Target="../tables/table85.xml"/><Relationship Id="rId57" Type="http://schemas.openxmlformats.org/officeDocument/2006/relationships/table" Target="../tables/table93.xml"/><Relationship Id="rId10" Type="http://schemas.openxmlformats.org/officeDocument/2006/relationships/table" Target="../tables/table46.xml"/><Relationship Id="rId31" Type="http://schemas.openxmlformats.org/officeDocument/2006/relationships/table" Target="../tables/table67.xml"/><Relationship Id="rId44" Type="http://schemas.openxmlformats.org/officeDocument/2006/relationships/table" Target="../tables/table80.xml"/><Relationship Id="rId52" Type="http://schemas.openxmlformats.org/officeDocument/2006/relationships/table" Target="../tables/table88.xml"/><Relationship Id="rId60" Type="http://schemas.openxmlformats.org/officeDocument/2006/relationships/table" Target="../tables/table96.xml"/><Relationship Id="rId65" Type="http://schemas.openxmlformats.org/officeDocument/2006/relationships/comments" Target="../comments15.xml"/><Relationship Id="rId4" Type="http://schemas.openxmlformats.org/officeDocument/2006/relationships/vmlDrawing" Target="../drawings/vmlDrawing19.vml"/><Relationship Id="rId9" Type="http://schemas.openxmlformats.org/officeDocument/2006/relationships/table" Target="../tables/table45.xml"/><Relationship Id="rId13" Type="http://schemas.openxmlformats.org/officeDocument/2006/relationships/table" Target="../tables/table49.xml"/><Relationship Id="rId18" Type="http://schemas.openxmlformats.org/officeDocument/2006/relationships/table" Target="../tables/table54.xml"/><Relationship Id="rId39" Type="http://schemas.openxmlformats.org/officeDocument/2006/relationships/table" Target="../tables/table7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22.xml.rels><?xml version="1.0" encoding="UTF-8" standalone="yes"?>
<Relationships xmlns="http://schemas.openxmlformats.org/package/2006/relationships"><Relationship Id="rId8" Type="http://schemas.openxmlformats.org/officeDocument/2006/relationships/comments" Target="../comments17.xml"/><Relationship Id="rId3" Type="http://schemas.openxmlformats.org/officeDocument/2006/relationships/table" Target="../tables/table102.xml"/><Relationship Id="rId7" Type="http://schemas.openxmlformats.org/officeDocument/2006/relationships/table" Target="../tables/table106.xml"/><Relationship Id="rId2" Type="http://schemas.openxmlformats.org/officeDocument/2006/relationships/table" Target="../tables/table101.xml"/><Relationship Id="rId1" Type="http://schemas.openxmlformats.org/officeDocument/2006/relationships/vmlDrawing" Target="../drawings/vmlDrawing21.vml"/><Relationship Id="rId6" Type="http://schemas.openxmlformats.org/officeDocument/2006/relationships/table" Target="../tables/table105.xml"/><Relationship Id="rId5" Type="http://schemas.openxmlformats.org/officeDocument/2006/relationships/table" Target="../tables/table104.xml"/><Relationship Id="rId4" Type="http://schemas.openxmlformats.org/officeDocument/2006/relationships/table" Target="../tables/table103.xml"/><Relationship Id="rId9" Type="http://schemas.microsoft.com/office/2017/10/relationships/threadedComment" Target="../threadedComments/threadedComment4.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zoomScaleNormal="100" workbookViewId="0">
      <selection activeCell="C3" sqref="C3:Y5"/>
    </sheetView>
  </sheetViews>
  <sheetFormatPr baseColWidth="10" defaultColWidth="8.83203125" defaultRowHeight="15" x14ac:dyDescent="0.2"/>
  <cols>
    <col min="1" max="3" width="2.83203125" customWidth="1"/>
    <col min="4" max="16" width="9.33203125" customWidth="1"/>
    <col min="17" max="17" width="3.5" customWidth="1"/>
    <col min="18" max="19" width="2.83203125" customWidth="1"/>
    <col min="20" max="24" width="9.33203125" customWidth="1"/>
    <col min="25" max="26" width="2.83203125" customWidth="1"/>
    <col min="27" max="27" width="3.5" customWidth="1"/>
    <col min="28" max="30" width="32.5" customWidth="1"/>
    <col min="31" max="31" width="6.33203125" customWidth="1"/>
    <col min="32" max="32" width="8.83203125" customWidth="1"/>
    <col min="33" max="33" width="4" customWidth="1"/>
  </cols>
  <sheetData>
    <row r="1" spans="2:32" ht="18" customHeight="1" x14ac:dyDescent="0.2"/>
    <row r="2" spans="2:32" ht="18" customHeight="1" x14ac:dyDescent="0.2">
      <c r="B2" s="468"/>
      <c r="C2" s="281"/>
      <c r="D2" s="503"/>
      <c r="E2" s="503"/>
      <c r="F2" s="503"/>
      <c r="G2" s="503"/>
      <c r="H2" s="503"/>
      <c r="I2" s="503"/>
      <c r="J2" s="503"/>
      <c r="K2" s="503"/>
      <c r="L2" s="503"/>
      <c r="M2" s="503"/>
      <c r="N2" s="503"/>
      <c r="O2" s="503"/>
      <c r="P2" s="503"/>
      <c r="Q2" s="503"/>
      <c r="R2" s="503"/>
      <c r="S2" s="503"/>
      <c r="T2" s="503"/>
      <c r="U2" s="503"/>
      <c r="V2" s="503"/>
      <c r="W2" s="503"/>
      <c r="X2" s="503"/>
      <c r="Y2" s="503"/>
      <c r="Z2" s="504"/>
      <c r="AA2" s="196"/>
      <c r="AB2" s="856" t="s">
        <v>0</v>
      </c>
      <c r="AC2" s="857"/>
      <c r="AD2" s="858"/>
      <c r="AE2" s="196"/>
      <c r="AF2" s="196"/>
    </row>
    <row r="3" spans="2:32" ht="18" customHeight="1" x14ac:dyDescent="0.2">
      <c r="B3" s="91"/>
      <c r="C3" s="859" t="s">
        <v>1</v>
      </c>
      <c r="D3" s="860"/>
      <c r="E3" s="860"/>
      <c r="F3" s="860"/>
      <c r="G3" s="860"/>
      <c r="H3" s="860"/>
      <c r="I3" s="860"/>
      <c r="J3" s="860"/>
      <c r="K3" s="860"/>
      <c r="L3" s="860"/>
      <c r="M3" s="860"/>
      <c r="N3" s="860"/>
      <c r="O3" s="860"/>
      <c r="P3" s="860"/>
      <c r="Q3" s="860"/>
      <c r="R3" s="860"/>
      <c r="S3" s="860"/>
      <c r="T3" s="860"/>
      <c r="U3" s="860"/>
      <c r="V3" s="860"/>
      <c r="W3" s="860"/>
      <c r="X3" s="860"/>
      <c r="Y3" s="861"/>
      <c r="Z3" s="514"/>
      <c r="AA3" s="559"/>
      <c r="AB3" s="169" t="s">
        <v>2</v>
      </c>
      <c r="AC3" s="169" t="s">
        <v>3</v>
      </c>
      <c r="AD3" s="169" t="s">
        <v>4</v>
      </c>
      <c r="AE3" s="559"/>
      <c r="AF3" s="196"/>
    </row>
    <row r="4" spans="2:32" ht="18" customHeight="1" x14ac:dyDescent="0.2">
      <c r="B4" s="91"/>
      <c r="C4" s="862"/>
      <c r="D4" s="863"/>
      <c r="E4" s="863"/>
      <c r="F4" s="863"/>
      <c r="G4" s="863"/>
      <c r="H4" s="863"/>
      <c r="I4" s="863"/>
      <c r="J4" s="863"/>
      <c r="K4" s="863"/>
      <c r="L4" s="863"/>
      <c r="M4" s="863"/>
      <c r="N4" s="863"/>
      <c r="O4" s="863"/>
      <c r="P4" s="863"/>
      <c r="Q4" s="863"/>
      <c r="R4" s="863"/>
      <c r="S4" s="863"/>
      <c r="T4" s="863"/>
      <c r="U4" s="863"/>
      <c r="V4" s="863"/>
      <c r="W4" s="863"/>
      <c r="X4" s="863"/>
      <c r="Y4" s="864"/>
      <c r="Z4" s="505"/>
      <c r="AA4" s="196"/>
      <c r="AB4" s="578"/>
      <c r="AC4" s="581"/>
      <c r="AD4" s="97"/>
      <c r="AE4" s="196"/>
      <c r="AF4" s="196"/>
    </row>
    <row r="5" spans="2:32" ht="18" customHeight="1" x14ac:dyDescent="0.2">
      <c r="B5" s="91"/>
      <c r="C5" s="865"/>
      <c r="D5" s="866"/>
      <c r="E5" s="866"/>
      <c r="F5" s="866"/>
      <c r="G5" s="866"/>
      <c r="H5" s="866"/>
      <c r="I5" s="866"/>
      <c r="J5" s="866"/>
      <c r="K5" s="866"/>
      <c r="L5" s="866"/>
      <c r="M5" s="866"/>
      <c r="N5" s="866"/>
      <c r="O5" s="866"/>
      <c r="P5" s="866"/>
      <c r="Q5" s="866"/>
      <c r="R5" s="866"/>
      <c r="S5" s="866"/>
      <c r="T5" s="866"/>
      <c r="U5" s="866"/>
      <c r="V5" s="866"/>
      <c r="W5" s="866"/>
      <c r="X5" s="866"/>
      <c r="Y5" s="867"/>
      <c r="Z5" s="505"/>
      <c r="AA5" s="196"/>
      <c r="AB5" s="579"/>
      <c r="AC5" s="582"/>
      <c r="AD5" s="97"/>
      <c r="AE5" s="196"/>
      <c r="AF5" s="196"/>
    </row>
    <row r="6" spans="2:32" ht="18" customHeight="1" x14ac:dyDescent="0.2">
      <c r="B6" s="91"/>
      <c r="C6" s="196"/>
      <c r="D6" s="196"/>
      <c r="E6" s="196"/>
      <c r="F6" s="196"/>
      <c r="G6" s="196"/>
      <c r="H6" s="196"/>
      <c r="I6" s="196"/>
      <c r="J6" s="196"/>
      <c r="M6" s="560"/>
      <c r="N6" s="560"/>
      <c r="O6" s="560"/>
      <c r="P6" s="196"/>
      <c r="R6" s="196"/>
      <c r="S6" s="196"/>
      <c r="T6" s="196"/>
      <c r="Y6" s="196"/>
      <c r="Z6" s="505"/>
      <c r="AA6" s="196"/>
      <c r="AB6" s="579"/>
      <c r="AC6" s="582"/>
      <c r="AD6" s="97"/>
      <c r="AE6" s="196"/>
      <c r="AF6" s="196"/>
    </row>
    <row r="7" spans="2:32" ht="18" customHeight="1" x14ac:dyDescent="0.25">
      <c r="B7" s="91"/>
      <c r="C7" s="196"/>
      <c r="D7" s="196"/>
      <c r="E7" s="196"/>
      <c r="H7" s="561"/>
      <c r="I7" s="562"/>
      <c r="J7" s="517"/>
      <c r="K7" s="563"/>
      <c r="L7" s="564" t="s">
        <v>5</v>
      </c>
      <c r="M7" s="563"/>
      <c r="N7" s="563"/>
      <c r="O7" s="563"/>
      <c r="P7" s="517"/>
      <c r="R7" s="562"/>
      <c r="S7" s="562"/>
      <c r="T7" s="562"/>
      <c r="Y7" s="196"/>
      <c r="Z7" s="505"/>
      <c r="AA7" s="196"/>
      <c r="AB7" s="579"/>
      <c r="AC7" s="582"/>
      <c r="AD7" s="97"/>
      <c r="AE7" s="196"/>
      <c r="AF7" s="196"/>
    </row>
    <row r="8" spans="2:32" ht="18" customHeight="1" x14ac:dyDescent="0.25">
      <c r="B8" s="91"/>
      <c r="C8" s="196"/>
      <c r="J8" s="517"/>
      <c r="K8" s="563"/>
      <c r="L8" s="564" t="s">
        <v>6</v>
      </c>
      <c r="M8" s="563"/>
      <c r="N8" s="563"/>
      <c r="O8" s="563"/>
      <c r="P8" s="517"/>
      <c r="Z8" s="84"/>
      <c r="AB8" s="579"/>
      <c r="AC8" s="582"/>
      <c r="AD8" s="97"/>
      <c r="AF8" s="196"/>
    </row>
    <row r="9" spans="2:32" ht="18" customHeight="1" x14ac:dyDescent="0.25">
      <c r="B9" s="91"/>
      <c r="C9" s="196"/>
      <c r="J9" s="563"/>
      <c r="K9" s="563"/>
      <c r="L9" s="564" t="s">
        <v>7</v>
      </c>
      <c r="M9" s="517"/>
      <c r="N9" s="517"/>
      <c r="O9" s="517"/>
      <c r="P9" s="517"/>
      <c r="Z9" s="84"/>
      <c r="AB9" s="579"/>
      <c r="AC9" s="582"/>
      <c r="AD9" s="97"/>
      <c r="AF9" s="196"/>
    </row>
    <row r="10" spans="2:32" ht="18" customHeight="1" x14ac:dyDescent="0.2">
      <c r="B10" s="91"/>
      <c r="C10" s="196"/>
      <c r="D10" s="196"/>
      <c r="E10" s="196"/>
      <c r="F10" s="196"/>
      <c r="L10" s="561"/>
      <c r="R10" s="562"/>
      <c r="S10" s="562"/>
      <c r="T10" s="562"/>
      <c r="U10" s="562"/>
      <c r="V10" s="562"/>
      <c r="W10" s="562"/>
      <c r="X10" s="196"/>
      <c r="Y10" s="196"/>
      <c r="Z10" s="505"/>
      <c r="AA10" s="196"/>
      <c r="AB10" s="579"/>
      <c r="AC10" s="582"/>
      <c r="AD10" s="97"/>
      <c r="AE10" s="196"/>
      <c r="AF10" s="196"/>
    </row>
    <row r="11" spans="2:32" ht="18" customHeight="1" x14ac:dyDescent="0.25">
      <c r="B11" s="91"/>
      <c r="C11" s="196"/>
      <c r="D11" s="196"/>
      <c r="E11" s="196"/>
      <c r="F11" s="196"/>
      <c r="G11" s="196"/>
      <c r="H11" s="196"/>
      <c r="I11" s="565"/>
      <c r="J11" s="516"/>
      <c r="K11" s="516"/>
      <c r="L11" s="365" t="s">
        <v>8</v>
      </c>
      <c r="M11" s="365"/>
      <c r="N11" s="365"/>
      <c r="O11" s="365"/>
      <c r="P11" s="365"/>
      <c r="Q11" s="365"/>
      <c r="R11" s="561"/>
      <c r="S11" s="96"/>
      <c r="T11" s="196"/>
      <c r="U11" s="196"/>
      <c r="V11" s="196"/>
      <c r="W11" s="196"/>
      <c r="X11" s="196"/>
      <c r="Y11" s="196"/>
      <c r="Z11" s="505"/>
      <c r="AA11" s="196"/>
      <c r="AB11" s="579"/>
      <c r="AC11" s="582"/>
      <c r="AD11" s="97"/>
      <c r="AE11" s="196"/>
      <c r="AF11" s="196"/>
    </row>
    <row r="12" spans="2:32" ht="18" customHeight="1" x14ac:dyDescent="0.25">
      <c r="B12" s="91"/>
      <c r="C12" s="196"/>
      <c r="I12" s="515"/>
      <c r="J12" s="186"/>
      <c r="K12" s="516"/>
      <c r="L12" s="365" t="s">
        <v>9</v>
      </c>
      <c r="M12" s="187"/>
      <c r="N12" s="187"/>
      <c r="O12" s="187"/>
      <c r="P12" s="187"/>
      <c r="Q12" s="187"/>
      <c r="R12" s="566"/>
      <c r="S12" s="96"/>
      <c r="T12" s="196"/>
      <c r="U12" s="196"/>
      <c r="V12" s="196"/>
      <c r="W12" s="196"/>
      <c r="X12" s="196"/>
      <c r="Y12" s="196"/>
      <c r="Z12" s="505"/>
      <c r="AA12" s="196"/>
      <c r="AB12" s="579"/>
      <c r="AC12" s="582"/>
      <c r="AD12" s="97"/>
      <c r="AE12" s="196"/>
      <c r="AF12" s="196"/>
    </row>
    <row r="13" spans="2:32" ht="18" customHeight="1" x14ac:dyDescent="0.2">
      <c r="B13" s="91"/>
      <c r="C13" s="196"/>
      <c r="I13" s="291"/>
      <c r="J13" s="567"/>
      <c r="K13" s="291"/>
      <c r="L13" s="131" t="s">
        <v>10</v>
      </c>
      <c r="M13" s="131"/>
      <c r="N13" s="131"/>
      <c r="O13" s="131"/>
      <c r="P13" s="131"/>
      <c r="Q13" s="131"/>
      <c r="R13" s="131"/>
      <c r="S13" s="131"/>
      <c r="T13" s="567"/>
      <c r="U13" s="196"/>
      <c r="V13" s="196"/>
      <c r="W13" s="196"/>
      <c r="X13" s="196"/>
      <c r="Y13" s="196"/>
      <c r="Z13" s="505"/>
      <c r="AA13" s="196"/>
      <c r="AB13" s="579"/>
      <c r="AC13" s="582"/>
      <c r="AD13" s="97"/>
      <c r="AE13" s="196"/>
      <c r="AF13" s="196"/>
    </row>
    <row r="14" spans="2:32" ht="18" customHeight="1" x14ac:dyDescent="0.2">
      <c r="B14" s="91"/>
      <c r="C14" s="196"/>
      <c r="J14" s="196"/>
      <c r="K14" s="196"/>
      <c r="L14" s="196"/>
      <c r="M14" s="196"/>
      <c r="N14" s="196"/>
      <c r="O14" s="196"/>
      <c r="P14" s="196"/>
      <c r="Q14" s="196"/>
      <c r="R14" s="196"/>
      <c r="S14" s="196"/>
      <c r="Y14" s="196"/>
      <c r="Z14" s="505"/>
      <c r="AA14" s="196"/>
      <c r="AB14" s="579"/>
      <c r="AC14" s="582"/>
      <c r="AD14" s="97"/>
      <c r="AE14" s="196"/>
      <c r="AF14" s="196"/>
    </row>
    <row r="15" spans="2:32" ht="18" customHeight="1" x14ac:dyDescent="0.2">
      <c r="B15" s="91"/>
      <c r="C15" s="868" t="s">
        <v>11</v>
      </c>
      <c r="D15" s="869"/>
      <c r="E15" s="870"/>
      <c r="F15" s="871" t="s">
        <v>12</v>
      </c>
      <c r="G15" s="872"/>
      <c r="H15" s="872"/>
      <c r="I15" s="872"/>
      <c r="J15" s="872"/>
      <c r="K15" s="872"/>
      <c r="L15" s="872"/>
      <c r="M15" s="872"/>
      <c r="N15" s="872"/>
      <c r="O15" s="872"/>
      <c r="P15" s="872"/>
      <c r="Q15" s="872"/>
      <c r="R15" s="872"/>
      <c r="S15" s="872"/>
      <c r="T15" s="872"/>
      <c r="U15" s="872"/>
      <c r="V15" s="872"/>
      <c r="W15" s="872"/>
      <c r="X15" s="872"/>
      <c r="Y15" s="873"/>
      <c r="Z15" s="84"/>
      <c r="AB15" s="579"/>
      <c r="AC15" s="582"/>
      <c r="AD15" s="97"/>
      <c r="AF15" s="196"/>
    </row>
    <row r="16" spans="2:32" ht="18" customHeight="1" x14ac:dyDescent="0.2">
      <c r="B16" s="91"/>
      <c r="C16" s="196"/>
      <c r="D16" s="196"/>
      <c r="E16" s="196"/>
      <c r="F16" s="196"/>
      <c r="G16" s="196"/>
      <c r="H16" s="196"/>
      <c r="I16" s="196"/>
      <c r="J16" s="196"/>
      <c r="K16" s="196"/>
      <c r="L16" s="196"/>
      <c r="M16" s="196"/>
      <c r="N16" s="196"/>
      <c r="O16" s="196"/>
      <c r="P16" s="196"/>
      <c r="Q16" s="196"/>
      <c r="R16" s="196"/>
      <c r="S16" s="196"/>
      <c r="T16" s="196"/>
      <c r="U16" s="196"/>
      <c r="V16" s="196"/>
      <c r="W16" s="196"/>
      <c r="X16" s="196"/>
      <c r="Y16" s="196"/>
      <c r="Z16" s="505"/>
      <c r="AA16" s="196"/>
      <c r="AB16" s="579"/>
      <c r="AC16" s="582"/>
      <c r="AD16" s="97"/>
      <c r="AE16" s="196"/>
      <c r="AF16" s="196"/>
    </row>
    <row r="17" spans="2:32" ht="18" customHeight="1" x14ac:dyDescent="0.2">
      <c r="B17" s="91"/>
      <c r="C17" s="339"/>
      <c r="D17" s="503"/>
      <c r="E17" s="503"/>
      <c r="F17" s="503"/>
      <c r="G17" s="503"/>
      <c r="H17" s="503"/>
      <c r="I17" s="503"/>
      <c r="J17" s="503"/>
      <c r="K17" s="503"/>
      <c r="L17" s="503"/>
      <c r="M17" s="503"/>
      <c r="N17" s="503"/>
      <c r="O17" s="503"/>
      <c r="P17" s="503"/>
      <c r="Q17" s="504"/>
      <c r="R17" s="196"/>
      <c r="S17" s="339"/>
      <c r="T17" s="503"/>
      <c r="U17" s="503"/>
      <c r="V17" s="503"/>
      <c r="W17" s="503"/>
      <c r="X17" s="503"/>
      <c r="Y17" s="504"/>
      <c r="Z17" s="505"/>
      <c r="AA17" s="196"/>
      <c r="AB17" s="579"/>
      <c r="AC17" s="582"/>
      <c r="AD17" s="97"/>
      <c r="AE17" s="196"/>
      <c r="AF17" s="196"/>
    </row>
    <row r="18" spans="2:32" ht="18" customHeight="1" x14ac:dyDescent="0.2">
      <c r="B18" s="91"/>
      <c r="C18" s="329"/>
      <c r="D18" s="856" t="s">
        <v>13</v>
      </c>
      <c r="E18" s="857"/>
      <c r="F18" s="857"/>
      <c r="G18" s="857"/>
      <c r="H18" s="857"/>
      <c r="I18" s="857"/>
      <c r="J18" s="857"/>
      <c r="K18" s="858"/>
      <c r="L18" s="853" t="s">
        <v>14</v>
      </c>
      <c r="M18" s="854"/>
      <c r="N18" s="854"/>
      <c r="O18" s="854"/>
      <c r="P18" s="855"/>
      <c r="Q18" s="505"/>
      <c r="R18" s="196"/>
      <c r="S18" s="329"/>
      <c r="T18" s="845" t="s">
        <v>15</v>
      </c>
      <c r="U18" s="846"/>
      <c r="V18" s="847" t="s">
        <v>16</v>
      </c>
      <c r="W18" s="848"/>
      <c r="X18" s="849"/>
      <c r="Y18" s="505"/>
      <c r="Z18" s="505"/>
      <c r="AA18" s="196"/>
      <c r="AB18" s="579"/>
      <c r="AC18" s="582"/>
      <c r="AD18" s="97"/>
      <c r="AE18" s="196"/>
      <c r="AF18" s="196"/>
    </row>
    <row r="19" spans="2:32" ht="18" customHeight="1" x14ac:dyDescent="0.2">
      <c r="B19" s="91"/>
      <c r="C19" s="329"/>
      <c r="D19" s="196"/>
      <c r="E19" s="196"/>
      <c r="F19" s="196"/>
      <c r="G19" s="196"/>
      <c r="I19" s="562"/>
      <c r="J19" s="562"/>
      <c r="K19" s="562"/>
      <c r="L19" s="562"/>
      <c r="M19" s="562"/>
      <c r="N19" s="562"/>
      <c r="O19" s="562"/>
      <c r="P19" s="562"/>
      <c r="Q19" s="505"/>
      <c r="R19" s="196"/>
      <c r="S19" s="329"/>
      <c r="T19" s="845" t="s">
        <v>17</v>
      </c>
      <c r="U19" s="846"/>
      <c r="V19" s="847" t="s">
        <v>18</v>
      </c>
      <c r="W19" s="848"/>
      <c r="X19" s="849"/>
      <c r="Y19" s="505"/>
      <c r="Z19" s="505"/>
      <c r="AA19" s="196"/>
      <c r="AB19" s="579"/>
      <c r="AC19" s="582"/>
      <c r="AD19" s="97"/>
      <c r="AE19" s="196"/>
      <c r="AF19" s="196"/>
    </row>
    <row r="20" spans="2:32" ht="18" customHeight="1" x14ac:dyDescent="0.2">
      <c r="B20" s="91"/>
      <c r="C20" s="329"/>
      <c r="D20" s="567" t="s">
        <v>19</v>
      </c>
      <c r="E20" s="567"/>
      <c r="F20" s="567"/>
      <c r="G20" s="567"/>
      <c r="H20" s="291"/>
      <c r="I20" s="567"/>
      <c r="J20" s="567"/>
      <c r="K20" s="567"/>
      <c r="L20" s="567"/>
      <c r="M20" s="567"/>
      <c r="N20" s="567"/>
      <c r="O20" s="567"/>
      <c r="P20" s="567"/>
      <c r="Q20" s="505"/>
      <c r="R20" s="196"/>
      <c r="S20" s="329"/>
      <c r="T20" s="845" t="s">
        <v>20</v>
      </c>
      <c r="U20" s="846"/>
      <c r="V20" s="850" t="s">
        <v>21</v>
      </c>
      <c r="W20" s="851"/>
      <c r="X20" s="852"/>
      <c r="Y20" s="505"/>
      <c r="Z20" s="505"/>
      <c r="AA20" s="196"/>
      <c r="AB20" s="579"/>
      <c r="AC20" s="582"/>
      <c r="AD20" s="97"/>
      <c r="AE20" s="196"/>
      <c r="AF20" s="196"/>
    </row>
    <row r="21" spans="2:32" ht="18" customHeight="1" x14ac:dyDescent="0.2">
      <c r="B21" s="91"/>
      <c r="C21" s="329"/>
      <c r="D21" s="567" t="s">
        <v>22</v>
      </c>
      <c r="E21" s="567"/>
      <c r="F21" s="567"/>
      <c r="G21" s="567"/>
      <c r="H21" s="291"/>
      <c r="I21" s="567"/>
      <c r="J21" s="567"/>
      <c r="K21" s="567"/>
      <c r="L21" s="567"/>
      <c r="M21" s="567"/>
      <c r="N21" s="567"/>
      <c r="O21" s="567"/>
      <c r="P21" s="567"/>
      <c r="Q21" s="505"/>
      <c r="R21" s="196"/>
      <c r="S21" s="329"/>
      <c r="T21" s="845" t="s">
        <v>23</v>
      </c>
      <c r="U21" s="846"/>
      <c r="V21" s="853" t="s">
        <v>24</v>
      </c>
      <c r="W21" s="854"/>
      <c r="X21" s="855"/>
      <c r="Y21" s="505"/>
      <c r="Z21" s="505"/>
      <c r="AA21" s="196"/>
      <c r="AB21" s="579"/>
      <c r="AC21" s="582"/>
      <c r="AD21" s="97"/>
      <c r="AE21" s="196"/>
      <c r="AF21" s="196"/>
    </row>
    <row r="22" spans="2:32" ht="18" customHeight="1" x14ac:dyDescent="0.2">
      <c r="B22" s="91"/>
      <c r="C22" s="329"/>
      <c r="E22" s="568" t="s">
        <v>25</v>
      </c>
      <c r="F22" s="568"/>
      <c r="G22" s="568"/>
      <c r="J22" s="567"/>
      <c r="K22" s="567"/>
      <c r="L22" s="567"/>
      <c r="M22" s="567"/>
      <c r="N22" s="567"/>
      <c r="O22" s="567"/>
      <c r="P22" s="567"/>
      <c r="Q22" s="505"/>
      <c r="R22" s="196"/>
      <c r="S22" s="329"/>
      <c r="Y22" s="505"/>
      <c r="Z22" s="505"/>
      <c r="AA22" s="196"/>
      <c r="AB22" s="579"/>
      <c r="AC22" s="582"/>
      <c r="AD22" s="97"/>
      <c r="AE22" s="196"/>
      <c r="AF22" s="196"/>
    </row>
    <row r="23" spans="2:32" ht="18" customHeight="1" x14ac:dyDescent="0.2">
      <c r="B23" s="91"/>
      <c r="C23" s="329"/>
      <c r="E23" s="568" t="s">
        <v>26</v>
      </c>
      <c r="F23" s="568"/>
      <c r="G23" s="568"/>
      <c r="J23" s="567"/>
      <c r="K23" s="567"/>
      <c r="L23" s="567"/>
      <c r="M23" s="567"/>
      <c r="N23" s="567"/>
      <c r="O23" s="567"/>
      <c r="P23" s="567"/>
      <c r="Q23" s="505"/>
      <c r="R23" s="196"/>
      <c r="S23" s="329"/>
      <c r="T23" s="833" t="s">
        <v>27</v>
      </c>
      <c r="U23" s="834"/>
      <c r="V23" s="834"/>
      <c r="W23" s="834"/>
      <c r="X23" s="835"/>
      <c r="Y23" s="505"/>
      <c r="Z23" s="505"/>
      <c r="AA23" s="196"/>
      <c r="AB23" s="579"/>
      <c r="AC23" s="582"/>
      <c r="AD23" s="97"/>
      <c r="AE23" s="196"/>
      <c r="AF23" s="196"/>
    </row>
    <row r="24" spans="2:32" ht="18" customHeight="1" x14ac:dyDescent="0.2">
      <c r="B24" s="91"/>
      <c r="C24" s="329"/>
      <c r="D24" s="567" t="s">
        <v>28</v>
      </c>
      <c r="E24" s="567"/>
      <c r="F24" s="567"/>
      <c r="G24" s="567"/>
      <c r="H24" s="567"/>
      <c r="I24" s="567"/>
      <c r="J24" s="567"/>
      <c r="K24" s="567"/>
      <c r="L24" s="567"/>
      <c r="M24" s="567"/>
      <c r="N24" s="567"/>
      <c r="O24" s="567"/>
      <c r="P24" s="567"/>
      <c r="Q24" s="505"/>
      <c r="R24" s="196"/>
      <c r="S24" s="329"/>
      <c r="T24" s="836" t="s">
        <v>29</v>
      </c>
      <c r="U24" s="837"/>
      <c r="V24" s="837"/>
      <c r="W24" s="837"/>
      <c r="X24" s="838"/>
      <c r="Y24" s="505"/>
      <c r="Z24" s="505"/>
      <c r="AA24" s="196"/>
      <c r="AB24" s="579"/>
      <c r="AC24" s="582"/>
      <c r="AD24" s="97"/>
      <c r="AE24" s="196"/>
      <c r="AF24" s="196"/>
    </row>
    <row r="25" spans="2:32" ht="18" customHeight="1" x14ac:dyDescent="0.2">
      <c r="B25" s="91"/>
      <c r="C25" s="329"/>
      <c r="D25" s="567" t="s">
        <v>30</v>
      </c>
      <c r="E25" s="567"/>
      <c r="F25" s="567"/>
      <c r="G25" s="567"/>
      <c r="H25" s="567"/>
      <c r="I25" s="567"/>
      <c r="J25" s="567"/>
      <c r="K25" s="567"/>
      <c r="L25" s="567"/>
      <c r="M25" s="567"/>
      <c r="N25" s="567"/>
      <c r="O25" s="567"/>
      <c r="P25" s="567"/>
      <c r="Q25" s="505"/>
      <c r="R25" s="196"/>
      <c r="S25" s="329"/>
      <c r="T25" s="839"/>
      <c r="U25" s="840"/>
      <c r="V25" s="840"/>
      <c r="W25" s="840"/>
      <c r="X25" s="841"/>
      <c r="Y25" s="505"/>
      <c r="Z25" s="505"/>
      <c r="AA25" s="196"/>
      <c r="AB25" s="579"/>
      <c r="AC25" s="582"/>
      <c r="AD25" s="97"/>
      <c r="AE25" s="196"/>
      <c r="AF25" s="196"/>
    </row>
    <row r="26" spans="2:32" ht="18" customHeight="1" x14ac:dyDescent="0.2">
      <c r="B26" s="91"/>
      <c r="C26" s="329"/>
      <c r="D26" s="567" t="s">
        <v>31</v>
      </c>
      <c r="E26" s="567"/>
      <c r="F26" s="567"/>
      <c r="G26" s="567"/>
      <c r="H26" s="567"/>
      <c r="I26" s="567"/>
      <c r="J26" s="567"/>
      <c r="K26" s="567"/>
      <c r="L26" s="567"/>
      <c r="M26" s="567"/>
      <c r="N26" s="567"/>
      <c r="O26" s="567"/>
      <c r="P26" s="567"/>
      <c r="Q26" s="505"/>
      <c r="R26" s="196"/>
      <c r="S26" s="329"/>
      <c r="T26" s="839"/>
      <c r="U26" s="840"/>
      <c r="V26" s="840"/>
      <c r="W26" s="840"/>
      <c r="X26" s="841"/>
      <c r="Y26" s="505"/>
      <c r="Z26" s="505"/>
      <c r="AA26" s="196"/>
      <c r="AB26" s="579"/>
      <c r="AC26" s="582"/>
      <c r="AD26" s="97"/>
      <c r="AE26" s="196"/>
      <c r="AF26" s="196"/>
    </row>
    <row r="27" spans="2:32" ht="18" customHeight="1" x14ac:dyDescent="0.2">
      <c r="B27" s="91"/>
      <c r="C27" s="329"/>
      <c r="D27" s="567" t="s">
        <v>32</v>
      </c>
      <c r="E27" s="567"/>
      <c r="F27" s="567"/>
      <c r="G27" s="567"/>
      <c r="H27" s="567"/>
      <c r="I27" s="567"/>
      <c r="J27" s="567"/>
      <c r="K27" s="567"/>
      <c r="L27" s="567"/>
      <c r="M27" s="567"/>
      <c r="N27" s="567"/>
      <c r="O27" s="567"/>
      <c r="P27" s="567"/>
      <c r="Q27" s="505"/>
      <c r="R27" s="196"/>
      <c r="S27" s="329"/>
      <c r="T27" s="842"/>
      <c r="U27" s="843"/>
      <c r="V27" s="843"/>
      <c r="W27" s="843"/>
      <c r="X27" s="844"/>
      <c r="Y27" s="505"/>
      <c r="Z27" s="505"/>
      <c r="AA27" s="196"/>
      <c r="AB27" s="579"/>
      <c r="AC27" s="582"/>
      <c r="AD27" s="97"/>
      <c r="AE27" s="196"/>
      <c r="AF27" s="196"/>
    </row>
    <row r="28" spans="2:32" ht="18" customHeight="1" x14ac:dyDescent="0.2">
      <c r="B28" s="91"/>
      <c r="C28" s="506"/>
      <c r="D28" s="507"/>
      <c r="E28" s="507"/>
      <c r="F28" s="507"/>
      <c r="G28" s="507"/>
      <c r="H28" s="507"/>
      <c r="I28" s="507"/>
      <c r="J28" s="507"/>
      <c r="K28" s="507"/>
      <c r="L28" s="507"/>
      <c r="M28" s="507"/>
      <c r="N28" s="507"/>
      <c r="O28" s="507"/>
      <c r="P28" s="507"/>
      <c r="Q28" s="508"/>
      <c r="R28" s="196"/>
      <c r="S28" s="506"/>
      <c r="T28" s="507"/>
      <c r="U28" s="507"/>
      <c r="V28" s="507"/>
      <c r="W28" s="507"/>
      <c r="X28" s="507"/>
      <c r="Y28" s="508"/>
      <c r="Z28" s="505"/>
      <c r="AA28" s="196"/>
      <c r="AB28" s="579"/>
      <c r="AC28" s="582"/>
      <c r="AD28" s="97"/>
      <c r="AE28" s="196"/>
      <c r="AF28" s="196"/>
    </row>
    <row r="29" spans="2:32" ht="18" customHeight="1" x14ac:dyDescent="0.2">
      <c r="B29" s="325"/>
      <c r="C29" s="507"/>
      <c r="D29" s="507"/>
      <c r="E29" s="507"/>
      <c r="F29" s="507"/>
      <c r="G29" s="507"/>
      <c r="H29" s="507"/>
      <c r="I29" s="507"/>
      <c r="J29" s="507"/>
      <c r="K29" s="507"/>
      <c r="L29" s="507"/>
      <c r="M29" s="507"/>
      <c r="N29" s="507"/>
      <c r="O29" s="507"/>
      <c r="P29" s="507"/>
      <c r="Q29" s="507"/>
      <c r="R29" s="507"/>
      <c r="S29" s="507"/>
      <c r="T29" s="507"/>
      <c r="U29" s="507"/>
      <c r="V29" s="507"/>
      <c r="W29" s="507"/>
      <c r="X29" s="507"/>
      <c r="Y29" s="507"/>
      <c r="Z29" s="508"/>
      <c r="AA29" s="196"/>
      <c r="AB29" s="580"/>
      <c r="AC29" s="583"/>
      <c r="AD29" s="98"/>
      <c r="AE29" s="196"/>
      <c r="AF29" s="196"/>
    </row>
    <row r="30" spans="2:32" ht="18" customHeight="1" x14ac:dyDescent="0.2">
      <c r="C30" s="196"/>
      <c r="D30" s="196"/>
      <c r="E30" s="196"/>
      <c r="F30" s="196"/>
      <c r="G30" s="196"/>
      <c r="H30" s="196"/>
      <c r="I30" s="196"/>
      <c r="J30" s="196"/>
      <c r="K30" s="196"/>
      <c r="L30" s="196"/>
      <c r="M30" s="196"/>
      <c r="N30" s="196"/>
      <c r="O30" s="196"/>
      <c r="P30" s="196"/>
      <c r="Q30" s="196"/>
      <c r="R30" s="196"/>
      <c r="S30" s="196"/>
      <c r="T30" s="196"/>
      <c r="U30" s="196"/>
      <c r="V30" s="196"/>
      <c r="W30" s="196"/>
      <c r="X30" s="196"/>
      <c r="Y30" s="196"/>
      <c r="Z30" s="196"/>
      <c r="AA30" s="196"/>
      <c r="AB30" s="196"/>
      <c r="AC30" s="196"/>
      <c r="AD30" s="196"/>
      <c r="AE30" s="196"/>
      <c r="AF30" s="196"/>
    </row>
    <row r="31" spans="2:32" ht="18" customHeight="1" x14ac:dyDescent="0.2">
      <c r="B31" s="584"/>
      <c r="C31" s="585"/>
      <c r="D31" s="586" t="s">
        <v>33</v>
      </c>
      <c r="E31" s="585"/>
      <c r="F31" s="503"/>
      <c r="G31" s="503"/>
      <c r="H31" s="503"/>
      <c r="I31" s="503"/>
      <c r="J31" s="503"/>
      <c r="K31" s="503"/>
      <c r="L31" s="503"/>
      <c r="M31" s="503"/>
      <c r="N31" s="503"/>
      <c r="O31" s="503"/>
      <c r="P31" s="503"/>
      <c r="Q31" s="503"/>
      <c r="R31" s="503"/>
      <c r="S31" s="503"/>
      <c r="T31" s="503"/>
      <c r="U31" s="503"/>
      <c r="V31" s="503"/>
      <c r="W31" s="503"/>
      <c r="X31" s="503"/>
      <c r="Y31" s="503"/>
      <c r="Z31" s="503"/>
      <c r="AA31" s="503"/>
      <c r="AB31" s="503"/>
      <c r="AC31" s="503"/>
      <c r="AD31" s="504"/>
      <c r="AE31" s="196"/>
      <c r="AF31" s="196"/>
    </row>
    <row r="32" spans="2:32" ht="18" customHeight="1" x14ac:dyDescent="0.2">
      <c r="B32" s="329"/>
      <c r="C32" s="196"/>
      <c r="D32" s="196" t="s">
        <v>34</v>
      </c>
      <c r="E32" s="196"/>
      <c r="F32" s="196"/>
      <c r="G32" s="196"/>
      <c r="H32" s="196"/>
      <c r="I32" s="196"/>
      <c r="J32" s="196"/>
      <c r="K32" s="196"/>
      <c r="L32" s="196"/>
      <c r="M32" s="196"/>
      <c r="N32" s="196"/>
      <c r="O32" s="196"/>
      <c r="P32" s="196"/>
      <c r="Q32" s="196"/>
      <c r="R32" s="196"/>
      <c r="S32" s="196"/>
      <c r="T32" s="196"/>
      <c r="U32" s="196"/>
      <c r="V32" s="196"/>
      <c r="W32" s="196"/>
      <c r="X32" s="196"/>
      <c r="Y32" s="196"/>
      <c r="Z32" s="196"/>
      <c r="AA32" s="196"/>
      <c r="AB32" s="196"/>
      <c r="AC32" s="196"/>
      <c r="AD32" s="505"/>
      <c r="AE32" s="196"/>
      <c r="AF32" s="196"/>
    </row>
    <row r="33" spans="2:32" ht="18" customHeight="1" x14ac:dyDescent="0.2">
      <c r="B33" s="329"/>
      <c r="C33" s="196"/>
      <c r="D33" s="196" t="s">
        <v>35</v>
      </c>
      <c r="E33" s="196"/>
      <c r="F33" s="196"/>
      <c r="G33" s="196"/>
      <c r="H33" s="196"/>
      <c r="I33" s="196"/>
      <c r="J33" s="196"/>
      <c r="K33" s="196"/>
      <c r="L33" s="196"/>
      <c r="M33" s="196"/>
      <c r="N33" s="196"/>
      <c r="O33" s="196"/>
      <c r="P33" s="196"/>
      <c r="Q33" s="196"/>
      <c r="R33" s="196"/>
      <c r="S33" s="196"/>
      <c r="T33" s="196"/>
      <c r="U33" s="196"/>
      <c r="V33" s="196"/>
      <c r="W33" s="196"/>
      <c r="X33" s="196"/>
      <c r="Y33" s="196"/>
      <c r="Z33" s="196"/>
      <c r="AA33" s="196"/>
      <c r="AB33" s="196"/>
      <c r="AC33" s="196"/>
      <c r="AD33" s="505"/>
      <c r="AE33" s="196"/>
      <c r="AF33" s="196"/>
    </row>
    <row r="34" spans="2:32" ht="18" customHeight="1" x14ac:dyDescent="0.2">
      <c r="B34" s="329"/>
      <c r="C34" s="196"/>
      <c r="D34" s="196" t="s">
        <v>36</v>
      </c>
      <c r="E34" s="196"/>
      <c r="F34" s="196"/>
      <c r="G34" s="196"/>
      <c r="H34" s="196"/>
      <c r="I34" s="196"/>
      <c r="J34" s="196"/>
      <c r="K34" s="196"/>
      <c r="L34" s="196"/>
      <c r="M34" s="196"/>
      <c r="N34" s="196"/>
      <c r="O34" s="196"/>
      <c r="P34" s="196"/>
      <c r="Q34" s="196"/>
      <c r="R34" s="196"/>
      <c r="S34" s="196"/>
      <c r="T34" s="196"/>
      <c r="U34" s="196"/>
      <c r="V34" s="196"/>
      <c r="W34" s="196"/>
      <c r="X34" s="196"/>
      <c r="Y34" s="196"/>
      <c r="Z34" s="196"/>
      <c r="AA34" s="196"/>
      <c r="AB34" s="196"/>
      <c r="AC34" s="196"/>
      <c r="AD34" s="505"/>
      <c r="AE34" s="196"/>
      <c r="AF34" s="196"/>
    </row>
    <row r="35" spans="2:32" ht="18" customHeight="1" x14ac:dyDescent="0.2">
      <c r="B35" s="506"/>
      <c r="C35" s="507"/>
      <c r="D35" s="507" t="s">
        <v>37</v>
      </c>
      <c r="E35" s="507"/>
      <c r="F35" s="507"/>
      <c r="G35" s="507"/>
      <c r="H35" s="507"/>
      <c r="I35" s="507"/>
      <c r="J35" s="507"/>
      <c r="K35" s="507"/>
      <c r="L35" s="507"/>
      <c r="M35" s="507"/>
      <c r="N35" s="507"/>
      <c r="O35" s="507"/>
      <c r="P35" s="507"/>
      <c r="Q35" s="507"/>
      <c r="R35" s="507"/>
      <c r="S35" s="507"/>
      <c r="T35" s="507"/>
      <c r="U35" s="507"/>
      <c r="V35" s="507"/>
      <c r="W35" s="507"/>
      <c r="X35" s="507"/>
      <c r="Y35" s="507"/>
      <c r="Z35" s="507"/>
      <c r="AA35" s="507"/>
      <c r="AB35" s="507"/>
      <c r="AC35" s="507"/>
      <c r="AD35" s="508"/>
      <c r="AE35" s="196"/>
      <c r="AF35" s="196"/>
    </row>
    <row r="36" spans="2:32" ht="18" customHeight="1" x14ac:dyDescent="0.2">
      <c r="C36" s="196"/>
      <c r="D36" s="196"/>
      <c r="E36" s="196"/>
      <c r="F36" s="196"/>
      <c r="G36" s="196"/>
      <c r="H36" s="196"/>
      <c r="I36" s="196"/>
      <c r="J36" s="196"/>
      <c r="K36" s="196"/>
      <c r="L36" s="196"/>
      <c r="M36" s="196"/>
      <c r="N36" s="196"/>
      <c r="O36" s="196"/>
      <c r="P36" s="196"/>
      <c r="Q36" s="196"/>
      <c r="R36" s="196"/>
      <c r="S36" s="196"/>
      <c r="T36" s="196"/>
      <c r="U36" s="196"/>
      <c r="V36" s="196"/>
      <c r="W36" s="196"/>
      <c r="X36" s="196"/>
      <c r="Y36" s="196"/>
      <c r="Z36" s="196"/>
      <c r="AA36" s="196"/>
      <c r="AB36" s="196"/>
      <c r="AC36" s="196"/>
      <c r="AD36" s="196"/>
      <c r="AE36" s="196"/>
      <c r="AF36" s="196"/>
    </row>
    <row r="37" spans="2:32" ht="18.5" customHeight="1" x14ac:dyDescent="0.2">
      <c r="C37" s="196"/>
      <c r="D37" s="196"/>
      <c r="E37" s="196"/>
      <c r="F37" s="196"/>
      <c r="G37" s="196"/>
      <c r="H37" s="196"/>
      <c r="I37" s="196"/>
      <c r="J37" s="196"/>
      <c r="K37" s="196"/>
      <c r="L37" s="196"/>
      <c r="M37" s="196"/>
      <c r="N37" s="196"/>
      <c r="O37" s="196"/>
      <c r="P37" s="196"/>
      <c r="Q37" s="196"/>
      <c r="R37" s="196"/>
      <c r="S37" s="196"/>
      <c r="T37" s="196"/>
      <c r="U37" s="196"/>
      <c r="V37" s="196"/>
      <c r="W37" s="196"/>
      <c r="X37" s="196"/>
      <c r="Y37" s="196"/>
      <c r="Z37" s="196"/>
      <c r="AA37" s="196"/>
      <c r="AB37" s="196"/>
      <c r="AC37" s="196"/>
      <c r="AD37" s="196"/>
      <c r="AE37" s="196"/>
      <c r="AF37" s="196"/>
    </row>
    <row r="38" spans="2:32" ht="18.5" customHeight="1" x14ac:dyDescent="0.2">
      <c r="C38" s="196"/>
      <c r="D38" s="196"/>
      <c r="E38" s="196"/>
      <c r="F38" s="196"/>
      <c r="G38" s="196"/>
      <c r="H38" s="196"/>
      <c r="I38" s="196"/>
      <c r="J38" s="196"/>
      <c r="K38" s="196"/>
      <c r="L38" s="196"/>
      <c r="M38" s="196"/>
      <c r="N38" s="196"/>
      <c r="O38" s="196"/>
      <c r="P38" s="196"/>
      <c r="Q38" s="196"/>
      <c r="R38" s="196"/>
      <c r="S38" s="196"/>
      <c r="T38" s="196"/>
      <c r="U38" s="196"/>
      <c r="V38" s="196"/>
      <c r="W38" s="196"/>
      <c r="X38" s="196"/>
      <c r="Y38" s="196"/>
      <c r="Z38" s="196"/>
      <c r="AA38" s="196"/>
      <c r="AB38" s="196"/>
      <c r="AC38" s="196"/>
      <c r="AD38" s="196"/>
      <c r="AE38" s="196"/>
      <c r="AF38" s="196"/>
    </row>
    <row r="39" spans="2:32" ht="18.5" customHeight="1" x14ac:dyDescent="0.2">
      <c r="C39" s="196"/>
      <c r="D39" s="196"/>
      <c r="E39" s="196"/>
      <c r="F39" s="196"/>
      <c r="G39" s="196"/>
      <c r="H39" s="196"/>
      <c r="I39" s="196"/>
      <c r="J39" s="196"/>
      <c r="K39" s="196"/>
      <c r="L39" s="196"/>
      <c r="M39" s="196"/>
      <c r="N39" s="196"/>
      <c r="O39" s="196"/>
      <c r="P39" s="196"/>
      <c r="Q39" s="196"/>
      <c r="R39" s="196"/>
      <c r="S39" s="196"/>
      <c r="T39" s="196"/>
      <c r="U39" s="196"/>
      <c r="V39" s="196"/>
      <c r="W39" s="196"/>
      <c r="X39" s="196"/>
      <c r="Y39" s="196"/>
      <c r="Z39" s="196"/>
      <c r="AA39" s="196"/>
      <c r="AB39" s="196"/>
      <c r="AC39" s="196"/>
      <c r="AD39" s="196"/>
      <c r="AE39" s="196"/>
      <c r="AF39" s="196"/>
    </row>
    <row r="40" spans="2:32" ht="18.5" customHeight="1" x14ac:dyDescent="0.2">
      <c r="C40" s="196"/>
      <c r="D40" s="196"/>
      <c r="E40" s="196"/>
      <c r="F40" s="196"/>
      <c r="G40" s="196"/>
      <c r="H40" s="196"/>
      <c r="I40" s="196"/>
      <c r="J40" s="196"/>
      <c r="K40" s="196"/>
      <c r="L40" s="196"/>
      <c r="M40" s="196"/>
      <c r="N40" s="196"/>
      <c r="O40" s="196"/>
      <c r="P40" s="196"/>
      <c r="Q40" s="196"/>
      <c r="R40" s="196"/>
      <c r="S40" s="196"/>
      <c r="T40" s="196"/>
      <c r="U40" s="196"/>
      <c r="V40" s="196"/>
      <c r="W40" s="196"/>
      <c r="X40" s="196"/>
      <c r="Y40" s="196"/>
      <c r="Z40" s="196"/>
      <c r="AA40" s="196"/>
      <c r="AB40" s="196"/>
      <c r="AC40" s="196"/>
      <c r="AD40" s="196"/>
      <c r="AE40" s="196"/>
      <c r="AF40" s="196"/>
    </row>
    <row r="41" spans="2:32" ht="18.5" customHeight="1" x14ac:dyDescent="0.2">
      <c r="C41" s="196"/>
      <c r="D41" s="196"/>
      <c r="E41" s="196"/>
      <c r="F41" s="196"/>
      <c r="G41" s="196"/>
      <c r="H41" s="196"/>
      <c r="I41" s="196"/>
      <c r="J41" s="196"/>
      <c r="K41" s="196"/>
      <c r="L41" s="196"/>
      <c r="M41" s="196"/>
      <c r="N41" s="196"/>
      <c r="O41" s="196"/>
      <c r="P41" s="196"/>
      <c r="Q41" s="196"/>
      <c r="R41" s="196"/>
      <c r="S41" s="196"/>
      <c r="T41" s="196"/>
      <c r="U41" s="196"/>
      <c r="V41" s="196"/>
      <c r="W41" s="196"/>
      <c r="X41" s="196"/>
      <c r="Y41" s="196"/>
      <c r="Z41" s="196"/>
      <c r="AA41" s="196"/>
      <c r="AB41" s="196"/>
      <c r="AC41" s="196"/>
      <c r="AD41" s="196"/>
      <c r="AE41" s="196"/>
      <c r="AF41" s="196"/>
    </row>
  </sheetData>
  <mergeCells count="16">
    <mergeCell ref="AB2:AD2"/>
    <mergeCell ref="C3:Y5"/>
    <mergeCell ref="L18:P18"/>
    <mergeCell ref="T18:U18"/>
    <mergeCell ref="V18:X18"/>
    <mergeCell ref="D18:K18"/>
    <mergeCell ref="C15:E15"/>
    <mergeCell ref="F15:Y15"/>
    <mergeCell ref="T23:X23"/>
    <mergeCell ref="T24:X27"/>
    <mergeCell ref="T19:U19"/>
    <mergeCell ref="V19:X19"/>
    <mergeCell ref="T20:U20"/>
    <mergeCell ref="V20:X20"/>
    <mergeCell ref="T21:U21"/>
    <mergeCell ref="V21:X21"/>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topLeftCell="E23" zoomScale="125" zoomScaleNormal="100" workbookViewId="0">
      <selection activeCell="I32" sqref="I32"/>
    </sheetView>
  </sheetViews>
  <sheetFormatPr baseColWidth="10" defaultColWidth="11.1640625" defaultRowHeight="15" x14ac:dyDescent="0.2"/>
  <cols>
    <col min="1" max="2" width="3.5" customWidth="1"/>
    <col min="3" max="3" width="3.6640625" customWidth="1"/>
    <col min="4" max="10" width="22.33203125" customWidth="1"/>
    <col min="11" max="14" width="3" customWidth="1"/>
    <col min="15" max="20" width="16.83203125" customWidth="1"/>
    <col min="21" max="21" width="3.5" customWidth="1"/>
    <col min="22" max="27" width="16.83203125" customWidth="1"/>
    <col min="28" max="30" width="3" customWidth="1"/>
    <col min="31" max="47" width="20.5" customWidth="1"/>
    <col min="48" max="52" width="19.1640625" customWidth="1"/>
  </cols>
  <sheetData>
    <row r="1" spans="1:62" ht="15" customHeight="1" x14ac:dyDescent="0.2">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row>
    <row r="2" spans="1:62" ht="22.25" customHeight="1" x14ac:dyDescent="0.2">
      <c r="A2" s="83"/>
      <c r="B2" s="100"/>
      <c r="C2" s="101"/>
      <c r="D2" s="101"/>
      <c r="E2" s="101"/>
      <c r="F2" s="101"/>
      <c r="G2" s="101"/>
      <c r="H2" s="101"/>
      <c r="I2" s="101"/>
      <c r="J2" s="101"/>
      <c r="K2" s="101"/>
      <c r="L2" s="102"/>
      <c r="M2" s="83"/>
      <c r="N2" s="100"/>
      <c r="O2" s="101"/>
      <c r="P2" s="101"/>
      <c r="Q2" s="101"/>
      <c r="R2" s="101"/>
      <c r="S2" s="101"/>
      <c r="T2" s="101"/>
      <c r="U2" s="101"/>
      <c r="V2" s="101"/>
      <c r="W2" s="101"/>
      <c r="X2" s="101"/>
      <c r="Y2" s="101"/>
      <c r="Z2" s="101"/>
      <c r="AA2" s="101"/>
      <c r="AB2" s="102"/>
      <c r="AC2" s="83"/>
      <c r="AD2" s="83"/>
      <c r="AE2" s="83"/>
      <c r="AF2" s="83"/>
      <c r="AG2" s="83"/>
      <c r="AH2" s="83"/>
      <c r="AI2" s="83"/>
      <c r="AJ2" s="83"/>
      <c r="AK2" s="83"/>
      <c r="AL2" s="83"/>
      <c r="AM2" s="83"/>
      <c r="AN2" s="83"/>
      <c r="AO2" s="83"/>
      <c r="AP2" s="83"/>
    </row>
    <row r="3" spans="1:62" ht="22.25" customHeight="1" x14ac:dyDescent="0.2">
      <c r="A3" s="83"/>
      <c r="B3" s="103"/>
      <c r="C3" s="917" t="s">
        <v>38</v>
      </c>
      <c r="D3" s="918"/>
      <c r="E3" s="918"/>
      <c r="F3" s="918"/>
      <c r="G3" s="918"/>
      <c r="H3" s="918"/>
      <c r="I3" s="918"/>
      <c r="J3" s="918"/>
      <c r="K3" s="919"/>
      <c r="L3" s="104"/>
      <c r="M3" s="83"/>
      <c r="N3" s="103"/>
      <c r="O3" s="914" t="str">
        <f>+E6&amp;" Diagram"</f>
        <v>GSR-LT Diagram</v>
      </c>
      <c r="P3" s="915"/>
      <c r="Q3" s="915"/>
      <c r="R3" s="915"/>
      <c r="S3" s="915"/>
      <c r="T3" s="915"/>
      <c r="U3" s="915"/>
      <c r="V3" s="915"/>
      <c r="W3" s="915"/>
      <c r="X3" s="915"/>
      <c r="Y3" s="915"/>
      <c r="Z3" s="915"/>
      <c r="AA3" s="916"/>
      <c r="AB3" s="104"/>
      <c r="AC3" s="83"/>
      <c r="AD3" s="83"/>
      <c r="AE3" s="913" t="str">
        <f>+E6&amp;" Stream Summary"</f>
        <v>GSR-LT Stream Summary</v>
      </c>
      <c r="AF3" s="913"/>
      <c r="AG3" s="913"/>
      <c r="AH3" s="551"/>
      <c r="AI3" s="551"/>
      <c r="AJ3" s="551"/>
      <c r="AK3" s="551"/>
      <c r="AL3" s="551"/>
      <c r="AM3" s="551"/>
      <c r="AN3" s="551"/>
      <c r="AO3" s="551"/>
      <c r="AP3" s="551"/>
      <c r="AQ3" s="551"/>
      <c r="AR3" s="551"/>
    </row>
    <row r="4" spans="1:62" ht="22.25" customHeight="1" x14ac:dyDescent="0.2">
      <c r="A4" s="83"/>
      <c r="B4" s="103"/>
      <c r="C4" s="83"/>
      <c r="D4" s="83"/>
      <c r="E4" s="83"/>
      <c r="F4" s="83"/>
      <c r="G4" s="83"/>
      <c r="H4" s="83"/>
      <c r="I4" s="83"/>
      <c r="J4" s="83"/>
      <c r="K4" s="83"/>
      <c r="L4" s="104"/>
      <c r="M4" s="83"/>
      <c r="N4" s="103"/>
      <c r="O4" s="83"/>
      <c r="P4" s="83"/>
      <c r="Q4" s="83"/>
      <c r="R4" s="83"/>
      <c r="S4" s="83"/>
      <c r="T4" s="83"/>
      <c r="U4" s="83"/>
      <c r="V4" s="83"/>
      <c r="W4" s="83"/>
      <c r="X4" s="83"/>
      <c r="Y4" s="83"/>
      <c r="Z4" s="83"/>
      <c r="AA4" s="83"/>
      <c r="AB4" s="104"/>
      <c r="AC4" s="83"/>
      <c r="AD4" s="83"/>
      <c r="AE4" s="83"/>
      <c r="AF4" s="83"/>
      <c r="AG4" s="83"/>
      <c r="AH4" s="83"/>
      <c r="AI4" s="83"/>
      <c r="AJ4" s="83"/>
      <c r="AK4" s="83"/>
      <c r="AL4" s="83"/>
      <c r="AM4" s="83"/>
      <c r="AN4" s="83"/>
      <c r="AO4" s="83"/>
      <c r="AP4" s="83"/>
    </row>
    <row r="5" spans="1:62" ht="22.25" customHeight="1" x14ac:dyDescent="0.2">
      <c r="A5" s="83"/>
      <c r="B5" s="103"/>
      <c r="C5" s="83"/>
      <c r="D5" s="922" t="s">
        <v>39</v>
      </c>
      <c r="E5" s="922"/>
      <c r="F5" s="83"/>
      <c r="I5" s="920" t="s">
        <v>40</v>
      </c>
      <c r="J5" s="921"/>
      <c r="K5" s="83"/>
      <c r="L5" s="104"/>
      <c r="M5" s="83"/>
      <c r="N5" s="103"/>
      <c r="O5" s="83"/>
      <c r="P5" s="83"/>
      <c r="Q5" s="83"/>
      <c r="R5" s="83"/>
      <c r="S5" s="83"/>
      <c r="T5" s="83"/>
      <c r="U5" s="83"/>
      <c r="V5" s="83"/>
      <c r="W5" s="83"/>
      <c r="X5" s="83"/>
      <c r="Y5" s="83"/>
      <c r="Z5" s="83"/>
      <c r="AA5" s="83"/>
      <c r="AB5" s="104"/>
      <c r="AC5" s="83"/>
      <c r="AE5" s="551"/>
      <c r="AF5" s="551"/>
      <c r="AG5" s="551"/>
      <c r="AH5" s="551"/>
      <c r="AI5" s="551"/>
      <c r="AJ5" s="551"/>
      <c r="AK5" s="551"/>
      <c r="AL5" s="551"/>
      <c r="AM5" s="551"/>
      <c r="AN5" s="551"/>
      <c r="AO5" s="551"/>
      <c r="AP5" s="551"/>
      <c r="AQ5" s="551"/>
      <c r="AR5" s="551"/>
    </row>
    <row r="6" spans="1:62" ht="22.25" customHeight="1" x14ac:dyDescent="0.2">
      <c r="A6" s="83"/>
      <c r="B6" s="103"/>
      <c r="C6" s="83"/>
      <c r="D6" s="424" t="s">
        <v>41</v>
      </c>
      <c r="E6" s="86" t="s">
        <v>42</v>
      </c>
      <c r="F6" s="83"/>
      <c r="I6" s="85"/>
      <c r="J6" s="324" t="s">
        <v>43</v>
      </c>
      <c r="K6" s="83"/>
      <c r="L6" s="104"/>
      <c r="M6" s="83"/>
      <c r="N6" s="103"/>
      <c r="O6" s="83"/>
      <c r="P6" s="83"/>
      <c r="Q6" s="83"/>
      <c r="R6" s="83"/>
      <c r="S6" s="83"/>
      <c r="T6" s="83"/>
      <c r="U6" s="83"/>
      <c r="V6" s="83"/>
      <c r="W6" s="83"/>
      <c r="X6" s="83"/>
      <c r="Y6" s="83"/>
      <c r="Z6" s="83"/>
      <c r="AA6" s="83"/>
      <c r="AB6" s="104"/>
      <c r="AC6" s="83"/>
      <c r="AD6" s="83"/>
      <c r="AE6" s="554" t="s">
        <v>44</v>
      </c>
      <c r="AF6" s="553" t="s">
        <v>45</v>
      </c>
      <c r="AG6" s="555" t="s">
        <v>46</v>
      </c>
      <c r="AH6" s="83"/>
      <c r="AI6" s="83"/>
      <c r="AJ6" s="83"/>
    </row>
    <row r="7" spans="1:62" ht="22.25" customHeight="1" x14ac:dyDescent="0.2">
      <c r="A7" s="83"/>
      <c r="B7" s="103"/>
      <c r="C7" s="83"/>
      <c r="D7" s="429" t="s">
        <v>47</v>
      </c>
      <c r="E7" s="457" t="s">
        <v>546</v>
      </c>
      <c r="F7" s="83"/>
      <c r="I7" s="95"/>
      <c r="J7" s="324" t="s">
        <v>49</v>
      </c>
      <c r="K7" s="83"/>
      <c r="L7" s="104"/>
      <c r="M7" s="83"/>
      <c r="N7" s="103"/>
      <c r="O7" s="83"/>
      <c r="P7" s="83"/>
      <c r="Q7" s="83"/>
      <c r="R7" s="83"/>
      <c r="S7" s="83"/>
      <c r="T7" s="83"/>
      <c r="U7" s="83"/>
      <c r="V7" s="83"/>
      <c r="W7" s="83"/>
      <c r="X7" s="83"/>
      <c r="Y7" s="83"/>
      <c r="Z7" s="83"/>
      <c r="AA7" s="83"/>
      <c r="AB7" s="104"/>
      <c r="AC7" s="83"/>
      <c r="AD7" s="83"/>
      <c r="AE7" s="556">
        <v>1</v>
      </c>
      <c r="AF7" s="550"/>
      <c r="AG7" s="550"/>
      <c r="AH7" s="83"/>
      <c r="AI7" s="83"/>
      <c r="AJ7" s="83"/>
    </row>
    <row r="8" spans="1:62" ht="22.25" customHeight="1" x14ac:dyDescent="0.2">
      <c r="A8" s="83"/>
      <c r="B8" s="103"/>
      <c r="C8" s="83"/>
      <c r="D8" s="429" t="s">
        <v>50</v>
      </c>
      <c r="E8" s="458">
        <v>2024</v>
      </c>
      <c r="F8" s="83"/>
      <c r="I8" s="94"/>
      <c r="J8" s="98" t="s">
        <v>51</v>
      </c>
      <c r="K8" s="83"/>
      <c r="L8" s="104"/>
      <c r="M8" s="83"/>
      <c r="N8" s="103"/>
      <c r="O8" s="83"/>
      <c r="P8" s="83"/>
      <c r="Q8" s="83"/>
      <c r="R8" s="83"/>
      <c r="S8" s="83"/>
      <c r="T8" s="83"/>
      <c r="U8" s="83"/>
      <c r="V8" s="83"/>
      <c r="W8" s="83"/>
      <c r="X8" s="83"/>
      <c r="Y8" s="83"/>
      <c r="Z8" s="83"/>
      <c r="AA8" s="83"/>
      <c r="AB8" s="104"/>
      <c r="AC8" s="83"/>
      <c r="AD8" s="83"/>
      <c r="AE8" s="83"/>
      <c r="AF8" s="96"/>
      <c r="AG8" s="83"/>
      <c r="AM8" s="83"/>
      <c r="AT8" s="83"/>
      <c r="AU8" s="83"/>
      <c r="AV8" s="83"/>
      <c r="AX8" s="83"/>
      <c r="AY8" s="83"/>
      <c r="BA8" s="83"/>
      <c r="BB8" s="83"/>
      <c r="BC8" s="83"/>
      <c r="BD8" s="83"/>
      <c r="BE8" s="83"/>
      <c r="BF8" s="83"/>
      <c r="BG8" s="83"/>
      <c r="BH8" s="83"/>
    </row>
    <row r="9" spans="1:62" ht="22.25" customHeight="1" x14ac:dyDescent="0.2">
      <c r="A9" s="83"/>
      <c r="B9" s="103"/>
      <c r="C9" s="83"/>
      <c r="D9" s="429" t="s">
        <v>52</v>
      </c>
      <c r="E9" s="459" t="s">
        <v>236</v>
      </c>
      <c r="F9" s="83"/>
      <c r="I9" s="108"/>
      <c r="J9" s="310" t="s">
        <v>54</v>
      </c>
      <c r="K9" s="83"/>
      <c r="L9" s="104"/>
      <c r="M9" s="83"/>
      <c r="N9" s="103"/>
      <c r="O9" s="83"/>
      <c r="P9" s="83"/>
      <c r="Q9" s="83"/>
      <c r="R9" s="83"/>
      <c r="S9" s="83"/>
      <c r="T9" s="83"/>
      <c r="U9" s="83"/>
      <c r="V9" s="83"/>
      <c r="W9" s="83"/>
      <c r="X9" s="83"/>
      <c r="Y9" s="83"/>
      <c r="Z9" s="83"/>
      <c r="AA9" s="83"/>
      <c r="AB9" s="104"/>
      <c r="AC9" s="83"/>
      <c r="AD9" s="83"/>
      <c r="AE9" s="83"/>
      <c r="AF9" s="83"/>
      <c r="AM9" s="83"/>
      <c r="AN9" s="83"/>
      <c r="AX9" s="83"/>
      <c r="AY9" s="83"/>
      <c r="BA9" s="83"/>
      <c r="BC9" s="83"/>
      <c r="BD9" s="551"/>
      <c r="BE9" s="83"/>
      <c r="BF9" s="83"/>
      <c r="BG9" s="83"/>
      <c r="BH9" s="83"/>
      <c r="BI9" s="83"/>
      <c r="BJ9" s="83"/>
    </row>
    <row r="10" spans="1:62" ht="22.25" customHeight="1" x14ac:dyDescent="0.2">
      <c r="A10" s="83"/>
      <c r="B10" s="103"/>
      <c r="C10" s="83"/>
      <c r="D10" s="83"/>
      <c r="E10" s="83"/>
      <c r="F10" s="83"/>
      <c r="G10" s="83"/>
      <c r="H10" s="83"/>
      <c r="I10" s="83"/>
      <c r="J10" s="83"/>
      <c r="K10" s="83"/>
      <c r="L10" s="104"/>
      <c r="M10" s="83"/>
      <c r="N10" s="103"/>
      <c r="O10" s="83"/>
      <c r="P10" s="83"/>
      <c r="Q10" s="83"/>
      <c r="R10" s="83"/>
      <c r="S10" s="83"/>
      <c r="T10" s="83"/>
      <c r="U10" s="83"/>
      <c r="V10" s="83"/>
      <c r="W10" s="83"/>
      <c r="X10" s="83"/>
      <c r="Y10" s="83"/>
      <c r="Z10" s="83"/>
      <c r="AA10" s="83"/>
      <c r="AB10" s="104"/>
      <c r="AC10" s="83"/>
      <c r="AD10" s="83"/>
      <c r="AF10" s="83"/>
      <c r="AG10" s="551"/>
      <c r="AJ10" s="83"/>
      <c r="AM10" s="83"/>
      <c r="AN10" s="83"/>
      <c r="AT10" s="83"/>
      <c r="AU10" s="83"/>
      <c r="AV10" s="551"/>
      <c r="BB10" s="83"/>
      <c r="BC10" s="83"/>
      <c r="BD10" s="83"/>
      <c r="BE10" s="83"/>
    </row>
    <row r="11" spans="1:62" ht="22.25" customHeight="1" x14ac:dyDescent="0.2">
      <c r="A11" s="83"/>
      <c r="B11" s="103"/>
      <c r="C11" s="83"/>
      <c r="D11" s="83"/>
      <c r="E11" s="83"/>
      <c r="F11" s="83"/>
      <c r="G11" s="83"/>
      <c r="H11" s="83"/>
      <c r="I11" s="83"/>
      <c r="J11" s="83"/>
      <c r="K11" s="83"/>
      <c r="L11" s="104"/>
      <c r="M11" s="83"/>
      <c r="N11" s="103"/>
      <c r="O11" s="83"/>
      <c r="P11" s="83"/>
      <c r="Q11" s="83"/>
      <c r="R11" s="83"/>
      <c r="S11" s="83"/>
      <c r="T11" s="83"/>
      <c r="U11" s="83"/>
      <c r="V11" s="83"/>
      <c r="W11" s="83"/>
      <c r="X11" s="83"/>
      <c r="Y11" s="83"/>
      <c r="Z11" s="83"/>
      <c r="AA11" s="83"/>
      <c r="AB11" s="104"/>
      <c r="AC11" s="83"/>
      <c r="AD11" s="83"/>
      <c r="AJ11" s="83"/>
      <c r="AM11" s="83"/>
      <c r="AN11" s="83"/>
      <c r="AT11" s="83"/>
      <c r="AU11" s="83"/>
      <c r="AW11" s="551"/>
      <c r="AY11" s="551"/>
      <c r="BA11" s="551"/>
      <c r="BB11" s="83"/>
      <c r="BC11" s="83"/>
      <c r="BD11" s="83"/>
      <c r="BE11" s="83"/>
    </row>
    <row r="12" spans="1:62" ht="22.25" customHeight="1" x14ac:dyDescent="0.2">
      <c r="A12" s="83"/>
      <c r="B12" s="103"/>
      <c r="C12" s="914" t="str">
        <f>+E6&amp;": Mass &amp; Energy Balance"</f>
        <v>GSR-LT: Mass &amp; Energy Balance</v>
      </c>
      <c r="D12" s="915"/>
      <c r="E12" s="915"/>
      <c r="F12" s="915"/>
      <c r="G12" s="915"/>
      <c r="H12" s="915"/>
      <c r="I12" s="915"/>
      <c r="J12" s="915"/>
      <c r="K12" s="916"/>
      <c r="L12" s="104"/>
      <c r="M12" s="83"/>
      <c r="N12" s="103"/>
      <c r="O12" s="83"/>
      <c r="P12" s="83"/>
      <c r="Q12" s="83"/>
      <c r="R12" s="83"/>
      <c r="S12" s="83"/>
      <c r="T12" s="83"/>
      <c r="U12" s="83"/>
      <c r="V12" s="83"/>
      <c r="W12" s="83"/>
      <c r="X12" s="83"/>
      <c r="Y12" s="83"/>
      <c r="Z12" s="83"/>
      <c r="AA12" s="83"/>
      <c r="AB12" s="104"/>
      <c r="AC12" s="83"/>
      <c r="AD12" s="83"/>
      <c r="AJ12" s="83"/>
      <c r="AM12" s="83"/>
      <c r="AN12" s="83"/>
      <c r="AT12" s="83"/>
      <c r="AU12" s="83"/>
      <c r="AV12" s="83"/>
      <c r="AW12" s="83"/>
    </row>
    <row r="13" spans="1:62" ht="22.25" customHeight="1" x14ac:dyDescent="0.2">
      <c r="A13" s="83"/>
      <c r="B13" s="103"/>
      <c r="C13" s="135"/>
      <c r="D13" s="141"/>
      <c r="E13" s="141"/>
      <c r="F13" s="141"/>
      <c r="G13" s="141"/>
      <c r="H13" s="141"/>
      <c r="I13" s="141"/>
      <c r="J13" s="141"/>
      <c r="K13" s="142"/>
      <c r="L13" s="104"/>
      <c r="M13" s="83"/>
      <c r="N13" s="103"/>
      <c r="O13" s="83"/>
      <c r="P13" s="83"/>
      <c r="Q13" s="83"/>
      <c r="R13" s="83"/>
      <c r="S13" s="83"/>
      <c r="T13" s="83"/>
      <c r="U13" s="83"/>
      <c r="V13" s="83"/>
      <c r="W13" s="83"/>
      <c r="X13" s="83"/>
      <c r="Y13" s="83"/>
      <c r="Z13" s="83"/>
      <c r="AA13" s="83"/>
      <c r="AB13" s="104"/>
      <c r="AC13" s="83"/>
      <c r="AD13" s="83"/>
      <c r="AH13" s="83"/>
      <c r="AJ13" s="83"/>
      <c r="AL13" s="83"/>
      <c r="AM13" s="83"/>
      <c r="AN13" s="83"/>
      <c r="AT13" s="83"/>
      <c r="AU13" s="83"/>
      <c r="AV13" s="83"/>
      <c r="AW13" s="83"/>
    </row>
    <row r="14" spans="1:62" ht="22.25" customHeight="1" x14ac:dyDescent="0.2">
      <c r="A14" s="83"/>
      <c r="B14" s="103"/>
      <c r="C14" s="112"/>
      <c r="D14" s="877" t="s">
        <v>55</v>
      </c>
      <c r="E14" s="878"/>
      <c r="F14" s="879"/>
      <c r="G14" s="83"/>
      <c r="H14" s="387"/>
      <c r="I14" s="387"/>
      <c r="J14" s="387"/>
      <c r="K14" s="138"/>
      <c r="L14" s="104"/>
      <c r="M14" s="83"/>
      <c r="N14" s="103"/>
      <c r="O14" s="83"/>
      <c r="P14" s="83"/>
      <c r="Q14" s="83"/>
      <c r="R14" s="83"/>
      <c r="S14" s="83"/>
      <c r="T14" s="83"/>
      <c r="U14" s="83"/>
      <c r="V14" s="83"/>
      <c r="W14" s="83"/>
      <c r="X14" s="83"/>
      <c r="Y14" s="83"/>
      <c r="Z14" s="83"/>
      <c r="AA14" s="83"/>
      <c r="AB14" s="104"/>
      <c r="AC14" s="83"/>
      <c r="AD14" s="83"/>
      <c r="AH14" s="83"/>
      <c r="AI14" s="83"/>
      <c r="AJ14" s="83"/>
      <c r="AK14" s="83"/>
      <c r="AL14" s="83"/>
      <c r="AM14" s="83"/>
      <c r="AN14" s="83"/>
      <c r="AO14" s="83"/>
    </row>
    <row r="15" spans="1:62" ht="22.25" customHeight="1" x14ac:dyDescent="0.2">
      <c r="A15" s="83"/>
      <c r="B15" s="103"/>
      <c r="C15" s="112"/>
      <c r="D15" s="182" t="s">
        <v>56</v>
      </c>
      <c r="E15" s="195">
        <v>791.38818139243199</v>
      </c>
      <c r="F15" s="151" t="s">
        <v>57</v>
      </c>
      <c r="G15" s="83"/>
      <c r="H15" s="118"/>
      <c r="I15" s="158"/>
      <c r="J15" s="118"/>
      <c r="K15" s="138"/>
      <c r="L15" s="104"/>
      <c r="M15" s="83"/>
      <c r="N15" s="103"/>
      <c r="O15" s="83"/>
      <c r="P15" s="83"/>
      <c r="Q15" s="83"/>
      <c r="R15" s="83"/>
      <c r="S15" s="83"/>
      <c r="T15" s="83"/>
      <c r="U15" s="83"/>
      <c r="V15" s="83"/>
      <c r="W15" s="83"/>
      <c r="X15" s="83"/>
      <c r="Y15" s="83"/>
      <c r="Z15" s="83"/>
      <c r="AA15" s="83"/>
      <c r="AB15" s="104"/>
      <c r="AC15" s="83"/>
      <c r="AD15" s="83"/>
      <c r="AH15" s="83"/>
      <c r="AI15" s="83"/>
      <c r="AJ15" s="83"/>
      <c r="AK15" s="83"/>
      <c r="AL15" s="83"/>
      <c r="AM15" s="83"/>
      <c r="AN15" s="83"/>
      <c r="AO15" s="83"/>
    </row>
    <row r="16" spans="1:62" ht="22.25" customHeight="1" x14ac:dyDescent="0.2">
      <c r="A16" s="83"/>
      <c r="B16" s="103"/>
      <c r="C16" s="112"/>
      <c r="D16" s="150" t="s">
        <v>58</v>
      </c>
      <c r="E16" s="385">
        <v>761.52078047713906</v>
      </c>
      <c r="F16" s="548" t="s">
        <v>57</v>
      </c>
      <c r="G16" s="83"/>
      <c r="H16" s="118"/>
      <c r="I16" s="158"/>
      <c r="J16" s="118"/>
      <c r="K16" s="138"/>
      <c r="L16" s="104"/>
      <c r="M16" s="83"/>
      <c r="N16" s="103"/>
      <c r="O16" s="83"/>
      <c r="P16" s="83"/>
      <c r="Q16" s="83"/>
      <c r="R16" s="83"/>
      <c r="S16" s="83"/>
      <c r="T16" s="83"/>
      <c r="U16" s="83"/>
      <c r="V16" s="83"/>
      <c r="W16" s="83"/>
      <c r="X16" s="83"/>
      <c r="Y16" s="83"/>
      <c r="Z16" s="83"/>
      <c r="AA16" s="83"/>
      <c r="AB16" s="104"/>
      <c r="AC16" s="83"/>
      <c r="AD16" s="83"/>
      <c r="AH16" s="83"/>
      <c r="AI16" s="83"/>
      <c r="AJ16" s="83"/>
      <c r="AK16" s="83"/>
      <c r="AL16" s="83"/>
      <c r="AM16" s="83"/>
      <c r="AN16" s="83"/>
      <c r="AO16" s="83"/>
    </row>
    <row r="17" spans="1:49" ht="22.25" customHeight="1" x14ac:dyDescent="0.2">
      <c r="A17" s="83"/>
      <c r="B17" s="103"/>
      <c r="C17" s="112"/>
      <c r="D17" s="150" t="s">
        <v>59</v>
      </c>
      <c r="E17" s="385">
        <v>645.61374028585499</v>
      </c>
      <c r="F17" s="97" t="s">
        <v>57</v>
      </c>
      <c r="G17" s="83"/>
      <c r="H17" s="118"/>
      <c r="I17" s="158"/>
      <c r="J17" s="118"/>
      <c r="K17" s="138"/>
      <c r="L17" s="104"/>
      <c r="M17" s="83"/>
      <c r="N17" s="103"/>
      <c r="O17" s="83"/>
      <c r="P17" s="83"/>
      <c r="Q17" s="83"/>
      <c r="R17" s="83"/>
      <c r="S17" s="83"/>
      <c r="T17" s="83"/>
      <c r="U17" s="83"/>
      <c r="V17" s="83"/>
      <c r="W17" s="83"/>
      <c r="X17" s="83"/>
      <c r="Y17" s="83"/>
      <c r="Z17" s="83"/>
      <c r="AA17" s="83"/>
      <c r="AB17" s="104"/>
      <c r="AC17" s="83"/>
      <c r="AD17" s="83"/>
      <c r="AH17" s="83"/>
      <c r="AI17" s="83"/>
      <c r="AJ17" s="83"/>
      <c r="AK17" s="83"/>
      <c r="AL17" s="83"/>
      <c r="AM17" s="83"/>
      <c r="AN17" s="83"/>
      <c r="AO17" s="83"/>
    </row>
    <row r="18" spans="1:49" ht="22.25" customHeight="1" x14ac:dyDescent="0.2">
      <c r="A18" s="83"/>
      <c r="B18" s="103"/>
      <c r="C18" s="112"/>
      <c r="D18" s="874" t="s">
        <v>60</v>
      </c>
      <c r="E18" s="875"/>
      <c r="F18" s="876"/>
      <c r="G18" s="83"/>
      <c r="H18" s="118"/>
      <c r="I18" s="158"/>
      <c r="J18" s="118"/>
      <c r="K18" s="138"/>
      <c r="L18" s="104"/>
      <c r="M18" s="83"/>
      <c r="N18" s="103"/>
      <c r="O18" s="83"/>
      <c r="P18" s="83"/>
      <c r="Q18" s="83"/>
      <c r="R18" s="83"/>
      <c r="S18" s="83"/>
      <c r="T18" s="83"/>
      <c r="U18" s="83"/>
      <c r="V18" s="83"/>
      <c r="W18" s="83"/>
      <c r="X18" s="83"/>
      <c r="Y18" s="83"/>
      <c r="Z18" s="83"/>
      <c r="AA18" s="83"/>
      <c r="AB18" s="104"/>
      <c r="AC18" s="83"/>
      <c r="AD18" s="83"/>
      <c r="AH18" s="83"/>
      <c r="AI18" s="83"/>
      <c r="AJ18" s="83"/>
      <c r="AK18" s="83"/>
      <c r="AL18" s="83"/>
      <c r="AM18" s="83"/>
      <c r="AN18" s="83"/>
      <c r="AO18" s="83"/>
    </row>
    <row r="19" spans="1:49" ht="22.25" customHeight="1" x14ac:dyDescent="0.2">
      <c r="A19" s="83"/>
      <c r="B19" s="103"/>
      <c r="C19" s="112"/>
      <c r="D19" s="99" t="s">
        <v>61</v>
      </c>
      <c r="E19" s="744">
        <v>35.29</v>
      </c>
      <c r="F19" s="151" t="s">
        <v>57</v>
      </c>
      <c r="G19" s="83"/>
      <c r="H19" s="118"/>
      <c r="I19" s="158"/>
      <c r="J19" s="118"/>
      <c r="K19" s="138"/>
      <c r="L19" s="104"/>
      <c r="M19" s="83"/>
      <c r="N19" s="103"/>
      <c r="O19" s="83"/>
      <c r="P19" s="83"/>
      <c r="Q19" s="83"/>
      <c r="R19" s="83"/>
      <c r="S19" s="83"/>
      <c r="T19" s="83"/>
      <c r="U19" s="83"/>
      <c r="V19" s="83"/>
      <c r="W19" s="83"/>
      <c r="X19" s="83"/>
      <c r="Y19" s="83"/>
      <c r="Z19" s="83"/>
      <c r="AA19" s="83"/>
      <c r="AB19" s="104"/>
      <c r="AC19" s="83"/>
      <c r="AD19" s="83"/>
      <c r="AH19" s="83"/>
      <c r="AI19" s="83"/>
      <c r="AJ19" s="83"/>
      <c r="AK19" s="83"/>
      <c r="AL19" s="83"/>
      <c r="AN19" s="83"/>
      <c r="AT19" s="83"/>
      <c r="AU19" s="83"/>
      <c r="AV19" s="83"/>
      <c r="AW19" s="83"/>
    </row>
    <row r="20" spans="1:49" ht="22.25" customHeight="1" x14ac:dyDescent="0.2">
      <c r="A20" s="83"/>
      <c r="B20" s="103"/>
      <c r="C20" s="112"/>
      <c r="D20" s="150" t="s">
        <v>62</v>
      </c>
      <c r="E20" s="682">
        <v>19.239999999999998</v>
      </c>
      <c r="F20" s="548" t="s">
        <v>57</v>
      </c>
      <c r="G20" s="83"/>
      <c r="J20" s="118"/>
      <c r="K20" s="138"/>
      <c r="L20" s="104"/>
      <c r="M20" s="83"/>
      <c r="N20" s="103"/>
      <c r="O20" s="83"/>
      <c r="P20" s="83"/>
      <c r="Q20" s="83"/>
      <c r="R20" s="83"/>
      <c r="S20" s="83"/>
      <c r="T20" s="83"/>
      <c r="U20" s="83"/>
      <c r="V20" s="83"/>
      <c r="W20" s="83"/>
      <c r="X20" s="83"/>
      <c r="Y20" s="83"/>
      <c r="Z20" s="83"/>
      <c r="AA20" s="83"/>
      <c r="AB20" s="104"/>
      <c r="AC20" s="83"/>
      <c r="AD20" s="83"/>
      <c r="AH20" s="83"/>
      <c r="AI20" s="83"/>
      <c r="AJ20" s="83"/>
      <c r="AK20" s="83"/>
      <c r="AL20" s="83"/>
      <c r="AT20" s="83"/>
      <c r="AU20" s="83"/>
      <c r="AV20" s="83"/>
      <c r="AW20" s="83"/>
    </row>
    <row r="21" spans="1:49" ht="22.25" customHeight="1" x14ac:dyDescent="0.2">
      <c r="A21" s="83"/>
      <c r="B21" s="103"/>
      <c r="C21" s="112"/>
      <c r="D21" s="150" t="s">
        <v>63</v>
      </c>
      <c r="E21" s="682">
        <v>3.298</v>
      </c>
      <c r="F21" s="97" t="s">
        <v>57</v>
      </c>
      <c r="G21" s="83"/>
      <c r="H21" s="118"/>
      <c r="I21" s="158"/>
      <c r="J21" s="118"/>
      <c r="K21" s="138"/>
      <c r="L21" s="104"/>
      <c r="M21" s="83"/>
      <c r="N21" s="103"/>
      <c r="O21" s="83"/>
      <c r="P21" s="83"/>
      <c r="Q21" s="83"/>
      <c r="R21" s="83"/>
      <c r="S21" s="83"/>
      <c r="T21" s="83"/>
      <c r="U21" s="83"/>
      <c r="V21" s="83"/>
      <c r="W21" s="83"/>
      <c r="X21" s="83"/>
      <c r="Y21" s="83"/>
      <c r="Z21" s="83"/>
      <c r="AA21" s="83"/>
      <c r="AB21" s="104"/>
      <c r="AC21" s="83"/>
      <c r="AD21" s="83"/>
      <c r="AH21" s="83"/>
      <c r="AI21" s="83"/>
      <c r="AJ21" s="83"/>
      <c r="AK21" s="83"/>
      <c r="AL21" s="83"/>
      <c r="AT21" s="83"/>
      <c r="AU21" s="83"/>
      <c r="AV21" s="83"/>
      <c r="AW21" s="83"/>
    </row>
    <row r="22" spans="1:49" ht="22.25" customHeight="1" x14ac:dyDescent="0.2">
      <c r="A22" s="83"/>
      <c r="B22" s="103"/>
      <c r="C22" s="112"/>
      <c r="D22" s="150" t="s">
        <v>64</v>
      </c>
      <c r="E22" s="682">
        <v>0.59040000000000004</v>
      </c>
      <c r="F22" s="548" t="s">
        <v>57</v>
      </c>
      <c r="G22" s="83"/>
      <c r="H22" s="118"/>
      <c r="I22" s="158"/>
      <c r="J22" s="118"/>
      <c r="K22" s="138"/>
      <c r="L22" s="104"/>
      <c r="M22" s="83"/>
      <c r="N22" s="103"/>
      <c r="O22" s="83"/>
      <c r="P22" s="83"/>
      <c r="Q22" s="83"/>
      <c r="R22" s="83"/>
      <c r="S22" s="83"/>
      <c r="T22" s="83"/>
      <c r="U22" s="83"/>
      <c r="V22" s="83"/>
      <c r="W22" s="83"/>
      <c r="X22" s="83"/>
      <c r="Y22" s="83"/>
      <c r="Z22" s="83"/>
      <c r="AA22" s="83"/>
      <c r="AB22" s="104"/>
      <c r="AC22" s="83"/>
      <c r="AD22" s="83"/>
      <c r="AH22" s="83"/>
      <c r="AI22" s="83"/>
      <c r="AJ22" s="83"/>
      <c r="AK22" s="83"/>
      <c r="AL22" s="83"/>
      <c r="AT22" s="83"/>
      <c r="AU22" s="83"/>
      <c r="AV22" s="83"/>
      <c r="AW22" s="83"/>
    </row>
    <row r="23" spans="1:49" ht="22.25" customHeight="1" x14ac:dyDescent="0.2">
      <c r="A23" s="83"/>
      <c r="B23" s="103"/>
      <c r="C23" s="136"/>
      <c r="D23" s="150" t="s">
        <v>65</v>
      </c>
      <c r="E23" s="682">
        <v>30.82</v>
      </c>
      <c r="F23" s="548" t="s">
        <v>57</v>
      </c>
      <c r="G23" s="549"/>
      <c r="H23" s="118"/>
      <c r="I23" s="118"/>
      <c r="J23" s="118"/>
      <c r="K23" s="138"/>
      <c r="L23" s="104"/>
      <c r="M23" s="83"/>
      <c r="N23" s="103"/>
      <c r="O23" s="83"/>
      <c r="P23" s="83"/>
      <c r="Q23" s="83"/>
      <c r="R23" s="83"/>
      <c r="S23" s="83"/>
      <c r="T23" s="83"/>
      <c r="U23" s="83"/>
      <c r="V23" s="83"/>
      <c r="W23" s="83"/>
      <c r="X23" s="83"/>
      <c r="Y23" s="83"/>
      <c r="Z23" s="83"/>
      <c r="AA23" s="83"/>
      <c r="AB23" s="104"/>
      <c r="AC23" s="83"/>
      <c r="AD23" s="83"/>
      <c r="AH23" s="83"/>
      <c r="AI23" s="83"/>
      <c r="AJ23" s="83"/>
      <c r="AK23" s="83"/>
      <c r="AL23" s="83"/>
      <c r="AT23" s="83"/>
      <c r="AU23" s="83"/>
      <c r="AV23" s="83"/>
      <c r="AW23" s="83"/>
    </row>
    <row r="24" spans="1:49" ht="22.25" customHeight="1" x14ac:dyDescent="0.2">
      <c r="A24" s="83"/>
      <c r="B24" s="103"/>
      <c r="C24" s="136"/>
      <c r="D24" s="150" t="s">
        <v>66</v>
      </c>
      <c r="E24" s="682">
        <v>11.42</v>
      </c>
      <c r="F24" s="97" t="s">
        <v>57</v>
      </c>
      <c r="G24" s="549"/>
      <c r="H24" s="387"/>
      <c r="I24" s="387"/>
      <c r="J24" s="387"/>
      <c r="K24" s="138"/>
      <c r="L24" s="104"/>
      <c r="M24" s="83"/>
      <c r="N24" s="103"/>
      <c r="O24" s="83"/>
      <c r="P24" s="83"/>
      <c r="Q24" s="83"/>
      <c r="R24" s="83"/>
      <c r="S24" s="83"/>
      <c r="T24" s="83"/>
      <c r="U24" s="83"/>
      <c r="V24" s="83"/>
      <c r="W24" s="83"/>
      <c r="X24" s="83"/>
      <c r="Y24" s="83"/>
      <c r="Z24" s="83"/>
      <c r="AA24" s="83"/>
      <c r="AB24" s="104"/>
      <c r="AC24" s="83"/>
      <c r="AD24" s="83"/>
      <c r="AH24" s="83"/>
      <c r="AI24" s="83"/>
      <c r="AJ24" s="83"/>
      <c r="AK24" s="83"/>
      <c r="AL24" s="83"/>
      <c r="AS24" s="83"/>
      <c r="AT24" s="83"/>
      <c r="AU24" s="83"/>
      <c r="AV24" s="83"/>
    </row>
    <row r="25" spans="1:49" ht="22.25" customHeight="1" x14ac:dyDescent="0.2">
      <c r="A25" s="83"/>
      <c r="B25" s="103"/>
      <c r="C25" s="136"/>
      <c r="D25" s="150" t="s">
        <v>67</v>
      </c>
      <c r="E25" s="682">
        <v>0.85880000000000001</v>
      </c>
      <c r="F25" s="548" t="s">
        <v>57</v>
      </c>
      <c r="G25" s="549"/>
      <c r="H25" s="118"/>
      <c r="I25" s="177"/>
      <c r="J25" s="118"/>
      <c r="K25" s="138"/>
      <c r="L25" s="104"/>
      <c r="M25" s="83"/>
      <c r="N25" s="103"/>
      <c r="O25" s="83"/>
      <c r="P25" s="83"/>
      <c r="Q25" s="83"/>
      <c r="R25" s="83"/>
      <c r="S25" s="83"/>
      <c r="T25" s="83"/>
      <c r="U25" s="83"/>
      <c r="V25" s="83"/>
      <c r="W25" s="83"/>
      <c r="X25" s="83"/>
      <c r="Y25" s="83"/>
      <c r="Z25" s="83"/>
      <c r="AA25" s="83"/>
      <c r="AB25" s="104"/>
      <c r="AC25" s="83"/>
      <c r="AD25" s="83"/>
      <c r="AH25" s="83"/>
      <c r="AI25" s="83"/>
      <c r="AJ25" s="83"/>
      <c r="AK25" s="83"/>
      <c r="AL25" s="83"/>
      <c r="AO25" s="83"/>
      <c r="AP25" s="83"/>
    </row>
    <row r="26" spans="1:49" ht="22.25" customHeight="1" x14ac:dyDescent="0.2">
      <c r="A26" s="83"/>
      <c r="B26" s="103"/>
      <c r="C26" s="136"/>
      <c r="D26" s="150" t="s">
        <v>68</v>
      </c>
      <c r="E26" s="682">
        <v>1.034</v>
      </c>
      <c r="F26" s="97" t="s">
        <v>57</v>
      </c>
      <c r="G26" s="549"/>
      <c r="H26" s="118"/>
      <c r="I26" s="177"/>
      <c r="J26" s="118"/>
      <c r="K26" s="138"/>
      <c r="L26" s="104"/>
      <c r="M26" s="83"/>
      <c r="N26" s="103"/>
      <c r="O26" s="83"/>
      <c r="P26" s="83"/>
      <c r="Q26" s="83"/>
      <c r="R26" s="83"/>
      <c r="S26" s="83"/>
      <c r="T26" s="83"/>
      <c r="U26" s="83"/>
      <c r="V26" s="83"/>
      <c r="W26" s="83"/>
      <c r="X26" s="83"/>
      <c r="Y26" s="83"/>
      <c r="Z26" s="83"/>
      <c r="AA26" s="83"/>
      <c r="AB26" s="104"/>
      <c r="AC26" s="83"/>
      <c r="AD26" s="83"/>
      <c r="AH26" s="83"/>
      <c r="AI26" s="83"/>
      <c r="AJ26" s="83"/>
      <c r="AK26" s="83"/>
      <c r="AL26" s="83"/>
      <c r="AO26" s="83"/>
      <c r="AP26" s="83"/>
    </row>
    <row r="27" spans="1:49" ht="22.25" customHeight="1" x14ac:dyDescent="0.2">
      <c r="A27" s="83"/>
      <c r="B27" s="103"/>
      <c r="C27" s="136"/>
      <c r="D27" s="150" t="s">
        <v>69</v>
      </c>
      <c r="E27" s="234">
        <v>0</v>
      </c>
      <c r="F27" s="97" t="s">
        <v>57</v>
      </c>
      <c r="G27" s="549"/>
      <c r="K27" s="138"/>
      <c r="L27" s="104"/>
      <c r="M27" s="83"/>
      <c r="N27" s="103"/>
      <c r="O27" s="83"/>
      <c r="P27" s="83"/>
      <c r="Q27" s="83"/>
      <c r="R27" s="83"/>
      <c r="S27" s="83"/>
      <c r="T27" s="83"/>
      <c r="U27" s="83"/>
      <c r="V27" s="83"/>
      <c r="W27" s="83"/>
      <c r="X27" s="83"/>
      <c r="Y27" s="83"/>
      <c r="Z27" s="83"/>
      <c r="AA27" s="83"/>
      <c r="AB27" s="104"/>
      <c r="AC27" s="83"/>
      <c r="AD27" s="83"/>
      <c r="AH27" s="83"/>
      <c r="AI27" s="83"/>
      <c r="AJ27" s="83"/>
      <c r="AK27" s="83"/>
      <c r="AL27" s="83"/>
      <c r="AO27" s="83"/>
      <c r="AP27" s="83"/>
    </row>
    <row r="28" spans="1:49" ht="22.25" customHeight="1" x14ac:dyDescent="0.2">
      <c r="A28" s="83"/>
      <c r="B28" s="103"/>
      <c r="C28" s="136"/>
      <c r="D28" s="150" t="s">
        <v>70</v>
      </c>
      <c r="E28" s="745">
        <f>+SUM(E19:E27)</f>
        <v>102.55120000000002</v>
      </c>
      <c r="F28" s="654" t="s">
        <v>57</v>
      </c>
      <c r="G28" s="549"/>
      <c r="K28" s="138"/>
      <c r="L28" s="104"/>
      <c r="M28" s="83"/>
      <c r="N28" s="103"/>
      <c r="O28" s="83"/>
      <c r="P28" s="83"/>
      <c r="Q28" s="83"/>
      <c r="R28" s="83"/>
      <c r="S28" s="83"/>
      <c r="T28" s="83"/>
      <c r="U28" s="83"/>
      <c r="V28" s="83"/>
      <c r="W28" s="83"/>
      <c r="X28" s="83"/>
      <c r="Y28" s="83"/>
      <c r="Z28" s="83"/>
      <c r="AA28" s="83"/>
      <c r="AB28" s="104"/>
      <c r="AC28" s="83"/>
      <c r="AD28" s="83"/>
      <c r="AH28" s="83"/>
      <c r="AI28" s="83"/>
      <c r="AJ28" s="83"/>
      <c r="AK28" s="83"/>
      <c r="AL28" s="83"/>
      <c r="AO28" s="83"/>
      <c r="AP28" s="83"/>
    </row>
    <row r="29" spans="1:49" ht="22.25" customHeight="1" x14ac:dyDescent="0.2">
      <c r="A29" s="83"/>
      <c r="B29" s="103"/>
      <c r="C29" s="136"/>
      <c r="D29" s="877" t="s">
        <v>71</v>
      </c>
      <c r="E29" s="878"/>
      <c r="F29" s="879"/>
      <c r="G29" s="549"/>
      <c r="K29" s="138"/>
      <c r="L29" s="104"/>
      <c r="M29" s="83"/>
      <c r="N29" s="103"/>
      <c r="O29" s="83"/>
      <c r="P29" s="83"/>
      <c r="Q29" s="83"/>
      <c r="R29" s="83"/>
      <c r="S29" s="83"/>
      <c r="T29" s="83"/>
      <c r="U29" s="83"/>
      <c r="V29" s="83"/>
      <c r="W29" s="83"/>
      <c r="X29" s="83"/>
      <c r="Y29" s="83"/>
      <c r="Z29" s="83"/>
      <c r="AA29" s="83"/>
      <c r="AB29" s="104"/>
      <c r="AC29" s="83"/>
      <c r="AD29" s="83"/>
      <c r="AG29" s="83"/>
      <c r="AH29" s="83"/>
      <c r="AI29" s="83"/>
      <c r="AJ29" s="83"/>
      <c r="AK29" s="83"/>
      <c r="AL29" s="83"/>
      <c r="AO29" s="83"/>
      <c r="AP29" s="83"/>
    </row>
    <row r="30" spans="1:49" ht="22.25" customHeight="1" x14ac:dyDescent="0.2">
      <c r="A30" s="83"/>
      <c r="B30" s="103"/>
      <c r="C30" s="136"/>
      <c r="D30" s="669" t="s">
        <v>72</v>
      </c>
      <c r="E30" s="797">
        <v>6.8040000000000003</v>
      </c>
      <c r="F30" s="151" t="s">
        <v>57</v>
      </c>
      <c r="G30" s="549"/>
      <c r="K30" s="138"/>
      <c r="L30" s="104"/>
      <c r="M30" s="83"/>
      <c r="N30" s="103"/>
      <c r="O30" s="83"/>
      <c r="P30" s="83"/>
      <c r="Q30" s="83"/>
      <c r="R30" s="83"/>
      <c r="S30" s="83"/>
      <c r="T30" s="83"/>
      <c r="U30" s="83"/>
      <c r="V30" s="83"/>
      <c r="W30" s="83"/>
      <c r="X30" s="83"/>
      <c r="Y30" s="83"/>
      <c r="Z30" s="83"/>
      <c r="AA30" s="83"/>
      <c r="AB30" s="104"/>
      <c r="AC30" s="83"/>
      <c r="AD30" s="83"/>
      <c r="AE30" s="83"/>
      <c r="AG30" s="83"/>
      <c r="AH30" s="83"/>
      <c r="AI30" s="83"/>
      <c r="AJ30" s="83"/>
      <c r="AK30" s="83"/>
      <c r="AL30" s="83"/>
      <c r="AO30" s="83"/>
      <c r="AP30" s="83"/>
    </row>
    <row r="31" spans="1:49" ht="22.25" customHeight="1" x14ac:dyDescent="0.2">
      <c r="A31" s="83"/>
      <c r="B31" s="103"/>
      <c r="C31" s="136"/>
      <c r="D31" s="273" t="s">
        <v>73</v>
      </c>
      <c r="E31" s="682">
        <v>22.46</v>
      </c>
      <c r="F31" s="97" t="s">
        <v>57</v>
      </c>
      <c r="G31" s="549"/>
      <c r="H31" s="424" t="s">
        <v>2</v>
      </c>
      <c r="I31" s="424" t="s">
        <v>74</v>
      </c>
      <c r="J31" s="403" t="s">
        <v>75</v>
      </c>
      <c r="K31" s="138"/>
      <c r="L31" s="104"/>
      <c r="M31" s="83"/>
      <c r="N31" s="105"/>
      <c r="O31" s="106"/>
      <c r="P31" s="106"/>
      <c r="Q31" s="106"/>
      <c r="R31" s="106"/>
      <c r="S31" s="106"/>
      <c r="T31" s="106"/>
      <c r="U31" s="106"/>
      <c r="V31" s="106"/>
      <c r="W31" s="106"/>
      <c r="X31" s="106"/>
      <c r="Y31" s="106"/>
      <c r="Z31" s="106"/>
      <c r="AA31" s="106"/>
      <c r="AB31" s="107"/>
      <c r="AC31" s="83"/>
      <c r="AD31" s="83"/>
      <c r="AE31" s="83"/>
      <c r="AF31" s="83"/>
      <c r="AG31" s="83"/>
      <c r="AH31" s="83"/>
      <c r="AI31" s="83"/>
      <c r="AJ31" s="83"/>
      <c r="AK31" s="83"/>
      <c r="AL31" s="83"/>
      <c r="AO31" s="83"/>
      <c r="AP31" s="83"/>
    </row>
    <row r="32" spans="1:49" ht="22.25" customHeight="1" x14ac:dyDescent="0.2">
      <c r="A32" s="83"/>
      <c r="B32" s="103"/>
      <c r="C32" s="136"/>
      <c r="D32" s="312" t="s">
        <v>76</v>
      </c>
      <c r="E32" s="793">
        <v>1.0940000000000001</v>
      </c>
      <c r="F32" s="654" t="s">
        <v>57</v>
      </c>
      <c r="G32" s="549"/>
      <c r="H32" s="86" t="s">
        <v>77</v>
      </c>
      <c r="I32" s="249">
        <f>34.7*(1-0.0968)</f>
        <v>31.341040000000003</v>
      </c>
      <c r="J32" s="86" t="s">
        <v>78</v>
      </c>
      <c r="K32" s="138"/>
      <c r="L32" s="104"/>
      <c r="M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O32" s="83"/>
      <c r="AP32" s="83"/>
    </row>
    <row r="33" spans="1:42" ht="22.25" customHeight="1" x14ac:dyDescent="0.2">
      <c r="A33" s="83"/>
      <c r="B33" s="103"/>
      <c r="C33" s="137"/>
      <c r="D33" s="316" t="s">
        <v>79</v>
      </c>
      <c r="E33" s="748">
        <f>+E31+E32-E28+E30</f>
        <v>-72.193200000000019</v>
      </c>
      <c r="F33" s="324" t="s">
        <v>57</v>
      </c>
      <c r="G33" s="139"/>
      <c r="H33" s="139"/>
      <c r="I33" s="139"/>
      <c r="J33" s="139"/>
      <c r="K33" s="140"/>
      <c r="L33" s="104"/>
      <c r="M33" s="83"/>
      <c r="N33" s="100"/>
      <c r="O33" s="101"/>
      <c r="P33" s="101"/>
      <c r="Q33" s="101"/>
      <c r="R33" s="101"/>
      <c r="S33" s="101"/>
      <c r="T33" s="101"/>
      <c r="U33" s="101"/>
      <c r="V33" s="101"/>
      <c r="W33" s="101"/>
      <c r="X33" s="101"/>
      <c r="Y33" s="101"/>
      <c r="Z33" s="101"/>
      <c r="AA33" s="101"/>
      <c r="AB33" s="102"/>
      <c r="AC33" s="83"/>
      <c r="AD33" s="83"/>
      <c r="AE33" s="83"/>
      <c r="AF33" s="83"/>
      <c r="AG33" s="83"/>
      <c r="AH33" s="83"/>
      <c r="AI33" s="83"/>
      <c r="AJ33" s="83"/>
      <c r="AK33" s="83"/>
      <c r="AL33" s="83"/>
      <c r="AO33" s="83"/>
      <c r="AP33" s="83"/>
    </row>
    <row r="34" spans="1:42" ht="22.25" customHeight="1" x14ac:dyDescent="0.2">
      <c r="A34" s="83"/>
      <c r="B34" s="103"/>
      <c r="C34" s="914" t="str">
        <f>+E6&amp;": Environmental Performance"</f>
        <v>GSR-LT: Environmental Performance</v>
      </c>
      <c r="D34" s="915"/>
      <c r="E34" s="915"/>
      <c r="F34" s="915"/>
      <c r="G34" s="915"/>
      <c r="H34" s="915"/>
      <c r="I34" s="915"/>
      <c r="J34" s="915"/>
      <c r="K34" s="916"/>
      <c r="L34" s="104"/>
      <c r="M34" s="83"/>
      <c r="N34" s="112"/>
      <c r="O34" s="914" t="str">
        <f>+E6</f>
        <v>GSR-LT</v>
      </c>
      <c r="P34" s="915"/>
      <c r="Q34" s="915"/>
      <c r="R34" s="915"/>
      <c r="S34" s="915"/>
      <c r="T34" s="916"/>
      <c r="V34" s="914" t="s">
        <v>80</v>
      </c>
      <c r="W34" s="915"/>
      <c r="X34" s="915"/>
      <c r="Y34" s="915"/>
      <c r="Z34" s="915"/>
      <c r="AA34" s="916"/>
      <c r="AB34" s="104"/>
      <c r="AC34" s="83"/>
      <c r="AE34" s="83"/>
      <c r="AF34" s="83"/>
      <c r="AG34" s="83"/>
      <c r="AH34" s="83"/>
      <c r="AI34" s="83"/>
      <c r="AJ34" s="83"/>
      <c r="AK34" s="83"/>
      <c r="AL34" s="83"/>
      <c r="AO34" s="83"/>
      <c r="AP34" s="83"/>
    </row>
    <row r="35" spans="1:42" ht="22.25" customHeight="1" x14ac:dyDescent="0.2">
      <c r="A35" s="83"/>
      <c r="B35" s="103"/>
      <c r="C35" s="143"/>
      <c r="D35" s="144"/>
      <c r="E35" s="144"/>
      <c r="F35" s="144"/>
      <c r="G35" s="144"/>
      <c r="H35" s="144"/>
      <c r="I35" s="144"/>
      <c r="J35" s="144"/>
      <c r="K35" s="315"/>
      <c r="L35" s="104"/>
      <c r="M35" s="83"/>
      <c r="N35" s="103"/>
      <c r="O35" s="83"/>
      <c r="P35" s="83"/>
      <c r="Q35" s="83"/>
      <c r="R35" s="83"/>
      <c r="T35" s="83"/>
      <c r="U35" s="83"/>
      <c r="V35" s="83"/>
      <c r="W35" s="83"/>
      <c r="X35" s="83"/>
      <c r="Y35" s="83"/>
      <c r="Z35" s="83"/>
      <c r="AA35" s="83"/>
      <c r="AB35" s="104"/>
      <c r="AC35" s="83"/>
      <c r="AE35" s="83"/>
      <c r="AF35" s="83"/>
      <c r="AG35" s="83"/>
      <c r="AH35" s="83"/>
      <c r="AI35" s="83"/>
      <c r="AJ35" s="83"/>
      <c r="AK35" s="83"/>
      <c r="AL35" s="83"/>
      <c r="AO35" s="83"/>
      <c r="AP35" s="83"/>
    </row>
    <row r="36" spans="1:42" ht="22.25" customHeight="1" x14ac:dyDescent="0.2">
      <c r="A36" s="83"/>
      <c r="B36" s="103"/>
      <c r="C36" s="112"/>
      <c r="D36" s="877" t="s">
        <v>81</v>
      </c>
      <c r="E36" s="878"/>
      <c r="F36" s="879"/>
      <c r="G36" s="83"/>
      <c r="H36" s="387"/>
      <c r="I36" s="387"/>
      <c r="J36" s="387"/>
      <c r="K36" s="138"/>
      <c r="L36" s="104"/>
      <c r="M36" s="83"/>
      <c r="N36" s="103"/>
      <c r="O36" s="833" t="s">
        <v>82</v>
      </c>
      <c r="P36" s="834"/>
      <c r="Q36" s="834"/>
      <c r="R36" s="834"/>
      <c r="S36" s="834"/>
      <c r="T36" s="835"/>
      <c r="V36" s="456" t="s">
        <v>2</v>
      </c>
      <c r="W36" s="495" t="s">
        <v>83</v>
      </c>
      <c r="X36" s="890" t="s">
        <v>82</v>
      </c>
      <c r="Y36" s="890"/>
      <c r="Z36" s="890"/>
      <c r="AA36" s="891"/>
      <c r="AB36" s="104"/>
      <c r="AC36" s="83"/>
      <c r="AE36" s="83"/>
      <c r="AF36" s="83"/>
      <c r="AG36" s="83"/>
      <c r="AH36" s="83"/>
      <c r="AI36" s="83"/>
      <c r="AJ36" s="83"/>
      <c r="AK36" s="83"/>
      <c r="AL36" s="83"/>
      <c r="AO36" s="83"/>
      <c r="AP36" s="83"/>
    </row>
    <row r="37" spans="1:42" ht="22.25" customHeight="1" x14ac:dyDescent="0.2">
      <c r="A37" s="83"/>
      <c r="B37" s="103"/>
      <c r="C37" s="112"/>
      <c r="D37" s="182" t="s">
        <v>84</v>
      </c>
      <c r="E37" s="697">
        <v>42.595999999999997</v>
      </c>
      <c r="F37" s="151" t="s">
        <v>78</v>
      </c>
      <c r="G37" s="83"/>
      <c r="H37" s="134"/>
      <c r="I37" s="118"/>
      <c r="J37" s="134"/>
      <c r="K37" s="138"/>
      <c r="L37" s="104"/>
      <c r="M37" s="83"/>
      <c r="N37" s="103"/>
      <c r="O37" s="836" t="s">
        <v>85</v>
      </c>
      <c r="P37" s="882"/>
      <c r="Q37" s="882"/>
      <c r="R37" s="882"/>
      <c r="S37" s="882"/>
      <c r="T37" s="883"/>
      <c r="U37" s="83"/>
      <c r="V37" s="309" t="s">
        <v>86</v>
      </c>
      <c r="W37" s="86" t="s">
        <v>87</v>
      </c>
      <c r="X37" s="899" t="s">
        <v>88</v>
      </c>
      <c r="Y37" s="899"/>
      <c r="Z37" s="899"/>
      <c r="AA37" s="900"/>
      <c r="AB37" s="104"/>
      <c r="AC37" s="83"/>
      <c r="AF37" s="83"/>
      <c r="AG37" s="83"/>
      <c r="AH37" s="83"/>
      <c r="AI37" s="83"/>
      <c r="AJ37" s="83"/>
      <c r="AK37" s="83"/>
      <c r="AL37" s="83"/>
      <c r="AO37" s="83"/>
      <c r="AP37" s="83"/>
    </row>
    <row r="38" spans="1:42" ht="22.25" customHeight="1" x14ac:dyDescent="0.2">
      <c r="A38" s="83"/>
      <c r="B38" s="103"/>
      <c r="C38" s="112"/>
      <c r="D38" s="99" t="s">
        <v>89</v>
      </c>
      <c r="E38" s="175">
        <f>0.30798-0.03322</f>
        <v>0.27476</v>
      </c>
      <c r="F38" s="97" t="str">
        <f>+F37</f>
        <v>kg/s</v>
      </c>
      <c r="G38" s="83"/>
      <c r="H38" s="118"/>
      <c r="I38" s="178"/>
      <c r="J38" s="118"/>
      <c r="K38" s="138"/>
      <c r="L38" s="104"/>
      <c r="M38" s="83"/>
      <c r="N38" s="103"/>
      <c r="O38" s="884"/>
      <c r="P38" s="885"/>
      <c r="Q38" s="885"/>
      <c r="R38" s="885"/>
      <c r="S38" s="885"/>
      <c r="T38" s="886"/>
      <c r="U38" s="83"/>
      <c r="V38" s="86" t="s">
        <v>90</v>
      </c>
      <c r="W38" s="86" t="s">
        <v>91</v>
      </c>
      <c r="X38" s="895" t="s">
        <v>92</v>
      </c>
      <c r="Y38" s="895"/>
      <c r="Z38" s="895"/>
      <c r="AA38" s="895"/>
      <c r="AB38" s="104"/>
      <c r="AC38" s="83"/>
      <c r="AG38" s="83"/>
      <c r="AH38" s="83"/>
      <c r="AI38" s="83"/>
      <c r="AJ38" s="83"/>
      <c r="AK38" s="83"/>
      <c r="AL38" s="83"/>
      <c r="AO38" s="83"/>
      <c r="AP38" s="83"/>
    </row>
    <row r="39" spans="1:42" ht="22.25" customHeight="1" x14ac:dyDescent="0.2">
      <c r="A39" s="83"/>
      <c r="B39" s="103"/>
      <c r="C39" s="112"/>
      <c r="D39" s="99" t="s">
        <v>93</v>
      </c>
      <c r="E39" s="175">
        <f>0.6145+0.47528</f>
        <v>1.08978</v>
      </c>
      <c r="F39" s="97" t="str">
        <f>+F38</f>
        <v>kg/s</v>
      </c>
      <c r="G39" s="83"/>
      <c r="H39" s="134"/>
      <c r="I39" s="134"/>
      <c r="J39" s="134"/>
      <c r="K39" s="138"/>
      <c r="L39" s="104"/>
      <c r="M39" s="83"/>
      <c r="N39" s="103"/>
      <c r="O39" s="884"/>
      <c r="P39" s="885"/>
      <c r="Q39" s="885"/>
      <c r="R39" s="885"/>
      <c r="S39" s="885"/>
      <c r="T39" s="886"/>
      <c r="U39" s="83"/>
      <c r="V39" s="86" t="s">
        <v>94</v>
      </c>
      <c r="W39" s="86" t="s">
        <v>95</v>
      </c>
      <c r="X39" s="896" t="s">
        <v>96</v>
      </c>
      <c r="Y39" s="897"/>
      <c r="Z39" s="897"/>
      <c r="AA39" s="898"/>
      <c r="AB39" s="104"/>
      <c r="AC39" s="83"/>
      <c r="AG39" s="83"/>
      <c r="AH39" s="83"/>
      <c r="AI39" s="83"/>
      <c r="AJ39" s="83"/>
      <c r="AK39" s="83"/>
      <c r="AL39" s="83"/>
      <c r="AO39" s="83"/>
      <c r="AP39" s="83"/>
    </row>
    <row r="40" spans="1:42" ht="22.25" customHeight="1" x14ac:dyDescent="0.2">
      <c r="A40" s="83"/>
      <c r="B40" s="103"/>
      <c r="C40" s="112"/>
      <c r="D40" s="99" t="s">
        <v>97</v>
      </c>
      <c r="E40" s="99">
        <v>1.1516999999999999</v>
      </c>
      <c r="F40" s="97" t="str">
        <f>+F39</f>
        <v>kg/s</v>
      </c>
      <c r="G40" s="83"/>
      <c r="H40" s="134"/>
      <c r="I40" s="134"/>
      <c r="J40" s="134"/>
      <c r="K40" s="138"/>
      <c r="L40" s="104"/>
      <c r="M40" s="83"/>
      <c r="N40" s="103"/>
      <c r="O40" s="884"/>
      <c r="P40" s="885"/>
      <c r="Q40" s="885"/>
      <c r="R40" s="885"/>
      <c r="S40" s="885"/>
      <c r="T40" s="886"/>
      <c r="U40" s="83"/>
      <c r="V40" s="86" t="s">
        <v>98</v>
      </c>
      <c r="W40" s="86" t="s">
        <v>99</v>
      </c>
      <c r="X40" s="896" t="s">
        <v>100</v>
      </c>
      <c r="Y40" s="897"/>
      <c r="Z40" s="897"/>
      <c r="AA40" s="898"/>
      <c r="AB40" s="104"/>
      <c r="AC40" s="83"/>
      <c r="AG40" s="83"/>
      <c r="AH40" s="83"/>
      <c r="AI40" s="83"/>
      <c r="AJ40" s="83"/>
      <c r="AK40" s="83"/>
      <c r="AL40" s="83"/>
      <c r="AO40" s="83"/>
      <c r="AP40" s="83"/>
    </row>
    <row r="41" spans="1:42" ht="22.25" customHeight="1" x14ac:dyDescent="0.2">
      <c r="A41" s="83"/>
      <c r="B41" s="103"/>
      <c r="C41" s="112"/>
      <c r="D41" s="99" t="s">
        <v>101</v>
      </c>
      <c r="E41" s="175">
        <f>+E37+E38+E392+E39+E40</f>
        <v>45.112239999999993</v>
      </c>
      <c r="F41" s="97" t="str">
        <f>+F39</f>
        <v>kg/s</v>
      </c>
      <c r="G41" s="83"/>
      <c r="H41" s="134"/>
      <c r="I41" s="134"/>
      <c r="J41" s="134"/>
      <c r="K41" s="138"/>
      <c r="L41" s="104"/>
      <c r="M41" s="83"/>
      <c r="N41" s="103"/>
      <c r="O41" s="884"/>
      <c r="P41" s="885"/>
      <c r="Q41" s="885"/>
      <c r="R41" s="885"/>
      <c r="S41" s="885"/>
      <c r="T41" s="886"/>
      <c r="U41" s="83"/>
      <c r="V41" s="469" t="s">
        <v>102</v>
      </c>
      <c r="W41" s="86" t="s">
        <v>103</v>
      </c>
      <c r="X41" s="896" t="s">
        <v>104</v>
      </c>
      <c r="Y41" s="897"/>
      <c r="Z41" s="897"/>
      <c r="AA41" s="898"/>
      <c r="AB41" s="548"/>
      <c r="AC41" s="83"/>
      <c r="AG41" s="83"/>
      <c r="AH41" s="83"/>
      <c r="AI41" s="83"/>
      <c r="AK41" s="83"/>
      <c r="AL41" s="83"/>
      <c r="AO41" s="83"/>
      <c r="AP41" s="83"/>
    </row>
    <row r="42" spans="1:42" ht="22.25" customHeight="1" x14ac:dyDescent="0.2">
      <c r="A42" s="83"/>
      <c r="B42" s="103"/>
      <c r="C42" s="136"/>
      <c r="D42" s="99" t="s">
        <v>105</v>
      </c>
      <c r="E42" s="799">
        <f>+E37/E41</f>
        <v>0.94422267659508818</v>
      </c>
      <c r="F42" s="97" t="s">
        <v>106</v>
      </c>
      <c r="G42" s="83"/>
      <c r="H42" s="134"/>
      <c r="I42" s="134"/>
      <c r="J42" s="134"/>
      <c r="K42" s="138"/>
      <c r="L42" s="104"/>
      <c r="M42" s="83"/>
      <c r="N42" s="103"/>
      <c r="O42" s="884"/>
      <c r="P42" s="885"/>
      <c r="Q42" s="885"/>
      <c r="R42" s="885"/>
      <c r="S42" s="885"/>
      <c r="T42" s="886"/>
      <c r="U42" s="83"/>
      <c r="V42" s="86" t="s">
        <v>107</v>
      </c>
      <c r="W42" s="86" t="s">
        <v>108</v>
      </c>
      <c r="X42" s="895" t="s">
        <v>109</v>
      </c>
      <c r="Y42" s="895"/>
      <c r="Z42" s="895"/>
      <c r="AA42" s="895"/>
      <c r="AB42" s="104"/>
      <c r="AC42" s="83"/>
      <c r="AG42" s="83"/>
      <c r="AH42" s="83"/>
      <c r="AI42" s="83"/>
      <c r="AK42" s="83"/>
      <c r="AL42" s="83"/>
      <c r="AM42" s="83"/>
      <c r="AO42" s="83"/>
      <c r="AP42" s="83"/>
    </row>
    <row r="43" spans="1:42" ht="22.25" customHeight="1" x14ac:dyDescent="0.2">
      <c r="A43" s="83"/>
      <c r="B43" s="103"/>
      <c r="C43" s="136"/>
      <c r="D43" s="173" t="s">
        <v>110</v>
      </c>
      <c r="E43" s="592">
        <v>7.3469999999999994E-2</v>
      </c>
      <c r="F43" s="98" t="s">
        <v>111</v>
      </c>
      <c r="G43" s="549"/>
      <c r="H43" s="549"/>
      <c r="I43" s="549"/>
      <c r="J43" s="549"/>
      <c r="K43" s="138"/>
      <c r="L43" s="104"/>
      <c r="M43" s="83"/>
      <c r="N43" s="103"/>
      <c r="O43" s="884"/>
      <c r="P43" s="885"/>
      <c r="Q43" s="885"/>
      <c r="R43" s="885"/>
      <c r="S43" s="885"/>
      <c r="T43" s="886"/>
      <c r="U43" s="83"/>
      <c r="V43" s="498" t="s">
        <v>112</v>
      </c>
      <c r="W43" s="86" t="s">
        <v>113</v>
      </c>
      <c r="X43" s="896" t="s">
        <v>114</v>
      </c>
      <c r="Y43" s="897"/>
      <c r="Z43" s="897"/>
      <c r="AA43" s="898"/>
      <c r="AB43" s="104"/>
      <c r="AC43" s="83"/>
      <c r="AG43" s="83"/>
      <c r="AH43" s="83"/>
      <c r="AI43" s="83"/>
      <c r="AK43" s="83"/>
      <c r="AL43" s="83"/>
      <c r="AM43" s="83"/>
      <c r="AN43" s="83"/>
      <c r="AO43" s="83"/>
      <c r="AP43" s="83"/>
    </row>
    <row r="44" spans="1:42" ht="22.25" customHeight="1" x14ac:dyDescent="0.2">
      <c r="A44" s="83"/>
      <c r="B44" s="103"/>
      <c r="C44" s="136"/>
      <c r="D44" s="318" t="s">
        <v>115</v>
      </c>
      <c r="E44" s="648">
        <v>43.63</v>
      </c>
      <c r="F44" s="316" t="str">
        <f>+F37</f>
        <v>kg/s</v>
      </c>
      <c r="G44" s="549"/>
      <c r="H44" s="549"/>
      <c r="I44" s="549"/>
      <c r="J44" s="549"/>
      <c r="K44" s="138"/>
      <c r="L44" s="104"/>
      <c r="M44" s="83"/>
      <c r="N44" s="103"/>
      <c r="O44" s="884"/>
      <c r="P44" s="885"/>
      <c r="Q44" s="885"/>
      <c r="R44" s="885"/>
      <c r="S44" s="885"/>
      <c r="T44" s="886"/>
      <c r="U44" s="83"/>
      <c r="V44" s="469" t="s">
        <v>116</v>
      </c>
      <c r="W44" s="86" t="s">
        <v>117</v>
      </c>
      <c r="X44" s="895" t="s">
        <v>118</v>
      </c>
      <c r="Y44" s="895"/>
      <c r="Z44" s="895"/>
      <c r="AA44" s="895"/>
      <c r="AB44" s="104"/>
      <c r="AC44" s="83"/>
      <c r="AG44" s="83"/>
      <c r="AI44" s="83"/>
      <c r="AK44" s="83"/>
      <c r="AM44" s="83"/>
      <c r="AN44" s="83"/>
      <c r="AO44" s="83"/>
      <c r="AP44" s="83"/>
    </row>
    <row r="45" spans="1:42" ht="22.25" customHeight="1" x14ac:dyDescent="0.2">
      <c r="A45" s="83"/>
      <c r="B45" s="103"/>
      <c r="C45" s="136"/>
      <c r="D45" s="185"/>
      <c r="E45" s="185"/>
      <c r="F45" s="185"/>
      <c r="G45" s="549"/>
      <c r="H45" s="549"/>
      <c r="I45" s="549"/>
      <c r="J45" s="549"/>
      <c r="K45" s="138"/>
      <c r="L45" s="104"/>
      <c r="M45" s="83"/>
      <c r="N45" s="103"/>
      <c r="O45" s="884"/>
      <c r="P45" s="885"/>
      <c r="Q45" s="885"/>
      <c r="R45" s="885"/>
      <c r="S45" s="885"/>
      <c r="T45" s="886"/>
      <c r="U45" s="83"/>
      <c r="V45" s="182"/>
      <c r="W45" s="96"/>
      <c r="X45" s="923"/>
      <c r="Y45" s="837"/>
      <c r="Z45" s="837"/>
      <c r="AA45" s="838"/>
      <c r="AB45" s="104"/>
      <c r="AC45" s="83"/>
      <c r="AG45" s="83"/>
      <c r="AM45" s="83"/>
      <c r="AN45" s="83"/>
      <c r="AO45" s="83"/>
      <c r="AP45" s="83"/>
    </row>
    <row r="46" spans="1:42" ht="22.25" customHeight="1" x14ac:dyDescent="0.2">
      <c r="A46" s="83"/>
      <c r="B46" s="103"/>
      <c r="C46" s="136"/>
      <c r="D46" s="118"/>
      <c r="E46" s="177"/>
      <c r="F46" s="118"/>
      <c r="G46" s="549"/>
      <c r="H46" s="549"/>
      <c r="I46" s="549"/>
      <c r="J46" s="549"/>
      <c r="K46" s="138"/>
      <c r="L46" s="104"/>
      <c r="M46" s="83"/>
      <c r="N46" s="103"/>
      <c r="O46" s="884"/>
      <c r="P46" s="885"/>
      <c r="Q46" s="885"/>
      <c r="R46" s="885"/>
      <c r="S46" s="885"/>
      <c r="T46" s="886"/>
      <c r="U46" s="83"/>
      <c r="V46" s="150"/>
      <c r="W46" s="96"/>
      <c r="X46" s="892"/>
      <c r="Y46" s="893"/>
      <c r="Z46" s="893"/>
      <c r="AA46" s="894"/>
      <c r="AB46" s="104"/>
      <c r="AC46" s="83"/>
      <c r="AG46" s="83"/>
      <c r="AM46" s="83"/>
      <c r="AN46" s="83"/>
      <c r="AO46" s="83"/>
      <c r="AP46" s="83"/>
    </row>
    <row r="47" spans="1:42" ht="22.25" customHeight="1" x14ac:dyDescent="0.2">
      <c r="A47" s="83"/>
      <c r="B47" s="103"/>
      <c r="C47" s="136"/>
      <c r="D47" s="118"/>
      <c r="E47" s="177"/>
      <c r="F47" s="118"/>
      <c r="G47" s="549"/>
      <c r="K47" s="138"/>
      <c r="L47" s="104"/>
      <c r="M47" s="83"/>
      <c r="N47" s="103"/>
      <c r="O47" s="884"/>
      <c r="P47" s="885"/>
      <c r="Q47" s="885"/>
      <c r="R47" s="885"/>
      <c r="S47" s="885"/>
      <c r="T47" s="886"/>
      <c r="U47" s="83"/>
      <c r="V47" s="150"/>
      <c r="W47" s="96"/>
      <c r="X47" s="311"/>
      <c r="Y47" s="395"/>
      <c r="Z47" s="395"/>
      <c r="AA47" s="104"/>
      <c r="AB47" s="104"/>
      <c r="AC47" s="83"/>
      <c r="AG47" s="83"/>
      <c r="AM47" s="83"/>
      <c r="AN47" s="83"/>
      <c r="AO47" s="83"/>
      <c r="AP47" s="83"/>
    </row>
    <row r="48" spans="1:42" ht="22.25" customHeight="1" x14ac:dyDescent="0.2">
      <c r="A48" s="83"/>
      <c r="B48" s="103"/>
      <c r="C48" s="136"/>
      <c r="D48" s="118"/>
      <c r="E48" s="159"/>
      <c r="F48" s="118"/>
      <c r="G48" s="549"/>
      <c r="K48" s="138"/>
      <c r="L48" s="104"/>
      <c r="M48" s="83"/>
      <c r="N48" s="103"/>
      <c r="O48" s="884"/>
      <c r="P48" s="885"/>
      <c r="Q48" s="885"/>
      <c r="R48" s="885"/>
      <c r="S48" s="885"/>
      <c r="T48" s="886"/>
      <c r="U48" s="83"/>
      <c r="V48" s="150"/>
      <c r="W48" s="96"/>
      <c r="X48" s="892"/>
      <c r="Y48" s="893"/>
      <c r="Z48" s="893"/>
      <c r="AA48" s="894"/>
      <c r="AB48" s="104"/>
      <c r="AC48" s="83"/>
      <c r="AG48" s="83"/>
      <c r="AM48" s="83"/>
      <c r="AN48" s="83"/>
      <c r="AO48" s="83"/>
      <c r="AP48" s="83"/>
    </row>
    <row r="49" spans="1:42" ht="22.25" customHeight="1" x14ac:dyDescent="0.2">
      <c r="A49" s="83"/>
      <c r="B49" s="103"/>
      <c r="C49" s="136"/>
      <c r="D49" s="118"/>
      <c r="E49" s="159"/>
      <c r="F49" s="118"/>
      <c r="G49" s="549"/>
      <c r="K49" s="138"/>
      <c r="L49" s="104"/>
      <c r="M49" s="83"/>
      <c r="N49" s="103"/>
      <c r="O49" s="884"/>
      <c r="P49" s="885"/>
      <c r="Q49" s="885"/>
      <c r="R49" s="885"/>
      <c r="S49" s="885"/>
      <c r="T49" s="886"/>
      <c r="U49" s="83"/>
      <c r="V49" s="150"/>
      <c r="W49" s="96"/>
      <c r="X49" s="311"/>
      <c r="Y49" s="395"/>
      <c r="Z49" s="395"/>
      <c r="AA49" s="104"/>
      <c r="AB49" s="104"/>
      <c r="AC49" s="83"/>
      <c r="AG49" s="83"/>
      <c r="AM49" s="83"/>
      <c r="AN49" s="83"/>
      <c r="AO49" s="83"/>
      <c r="AP49" s="83"/>
    </row>
    <row r="50" spans="1:42" ht="22.25" customHeight="1" x14ac:dyDescent="0.2">
      <c r="A50" s="83"/>
      <c r="B50" s="103"/>
      <c r="C50" s="136"/>
      <c r="D50" s="549"/>
      <c r="E50" s="549"/>
      <c r="F50" s="549"/>
      <c r="G50" s="549"/>
      <c r="K50" s="138"/>
      <c r="L50" s="104"/>
      <c r="M50" s="83"/>
      <c r="N50" s="103"/>
      <c r="O50" s="884"/>
      <c r="P50" s="885"/>
      <c r="Q50" s="885"/>
      <c r="R50" s="885"/>
      <c r="S50" s="885"/>
      <c r="T50" s="886"/>
      <c r="U50" s="83"/>
      <c r="V50" s="150"/>
      <c r="W50" s="96"/>
      <c r="X50" s="311"/>
      <c r="Y50" s="395"/>
      <c r="Z50" s="395"/>
      <c r="AA50" s="104"/>
      <c r="AB50" s="104"/>
      <c r="AC50" s="83"/>
      <c r="AG50" s="83"/>
      <c r="AM50" s="83"/>
      <c r="AN50" s="83"/>
      <c r="AO50" s="83"/>
      <c r="AP50" s="83"/>
    </row>
    <row r="51" spans="1:42" ht="22.25" customHeight="1" x14ac:dyDescent="0.2">
      <c r="A51" s="83"/>
      <c r="B51" s="103"/>
      <c r="C51" s="136"/>
      <c r="D51" s="549"/>
      <c r="E51" s="549"/>
      <c r="F51" s="549"/>
      <c r="G51" s="549"/>
      <c r="H51" s="424" t="s">
        <v>2</v>
      </c>
      <c r="I51" s="424" t="s">
        <v>74</v>
      </c>
      <c r="J51" s="403" t="s">
        <v>75</v>
      </c>
      <c r="K51" s="138"/>
      <c r="L51" s="104"/>
      <c r="M51" s="83"/>
      <c r="N51" s="103"/>
      <c r="O51" s="884"/>
      <c r="P51" s="885"/>
      <c r="Q51" s="885"/>
      <c r="R51" s="885"/>
      <c r="S51" s="885"/>
      <c r="T51" s="886"/>
      <c r="U51" s="83"/>
      <c r="V51" s="150"/>
      <c r="W51" s="96"/>
      <c r="X51" s="311"/>
      <c r="Y51" s="395"/>
      <c r="Z51" s="395"/>
      <c r="AA51" s="104"/>
      <c r="AB51" s="104"/>
      <c r="AC51" s="83"/>
      <c r="AG51" s="83"/>
      <c r="AM51" s="83"/>
      <c r="AN51" s="83"/>
      <c r="AO51" s="83"/>
      <c r="AP51" s="83"/>
    </row>
    <row r="52" spans="1:42" ht="22.25" customHeight="1" x14ac:dyDescent="0.2">
      <c r="A52" s="83"/>
      <c r="B52" s="103"/>
      <c r="C52" s="136"/>
      <c r="D52" s="549"/>
      <c r="E52" s="549"/>
      <c r="F52" s="549"/>
      <c r="G52" s="549"/>
      <c r="H52" s="86" t="s">
        <v>119</v>
      </c>
      <c r="I52" s="249">
        <f>+E40+E39+E38</f>
        <v>2.5162400000000003</v>
      </c>
      <c r="J52" s="86" t="s">
        <v>78</v>
      </c>
      <c r="K52" s="138"/>
      <c r="L52" s="104"/>
      <c r="M52" s="83"/>
      <c r="N52" s="103"/>
      <c r="O52" s="884"/>
      <c r="P52" s="885"/>
      <c r="Q52" s="885"/>
      <c r="R52" s="885"/>
      <c r="S52" s="885"/>
      <c r="T52" s="886"/>
      <c r="U52" s="83"/>
      <c r="V52" s="150"/>
      <c r="W52" s="96"/>
      <c r="X52" s="311"/>
      <c r="Y52" s="395"/>
      <c r="Z52" s="395"/>
      <c r="AA52" s="104"/>
      <c r="AB52" s="104"/>
      <c r="AC52" s="83"/>
      <c r="AG52" s="83"/>
      <c r="AM52" s="83"/>
      <c r="AN52" s="83"/>
      <c r="AO52" s="83"/>
      <c r="AP52" s="83"/>
    </row>
    <row r="53" spans="1:42" ht="22.25" customHeight="1" x14ac:dyDescent="0.2">
      <c r="A53" s="83"/>
      <c r="B53" s="103"/>
      <c r="C53" s="137"/>
      <c r="D53" s="139"/>
      <c r="E53" s="139"/>
      <c r="F53" s="139"/>
      <c r="G53" s="139"/>
      <c r="H53" s="139"/>
      <c r="I53" s="139"/>
      <c r="J53" s="139"/>
      <c r="K53" s="140"/>
      <c r="L53" s="104"/>
      <c r="M53" s="83"/>
      <c r="N53" s="103"/>
      <c r="O53" s="887"/>
      <c r="P53" s="888"/>
      <c r="Q53" s="888"/>
      <c r="R53" s="888"/>
      <c r="S53" s="888"/>
      <c r="T53" s="889"/>
      <c r="U53" s="83"/>
      <c r="V53" s="176"/>
      <c r="W53" s="106"/>
      <c r="X53" s="105"/>
      <c r="Y53" s="106"/>
      <c r="Z53" s="106"/>
      <c r="AA53" s="107"/>
      <c r="AB53" s="104"/>
      <c r="AC53" s="83"/>
      <c r="AG53" s="83"/>
      <c r="AM53" s="83"/>
      <c r="AN53" s="83"/>
      <c r="AO53" s="83"/>
      <c r="AP53" s="83"/>
    </row>
    <row r="54" spans="1:42" ht="22.25" customHeight="1" x14ac:dyDescent="0.2">
      <c r="A54" s="83"/>
      <c r="B54" s="103"/>
      <c r="C54" s="914" t="str">
        <f>+E6&amp;" Fuel / Raw Materials"</f>
        <v>GSR-LT Fuel / Raw Materials</v>
      </c>
      <c r="D54" s="915"/>
      <c r="E54" s="915"/>
      <c r="F54" s="915"/>
      <c r="G54" s="915"/>
      <c r="H54" s="915"/>
      <c r="I54" s="915"/>
      <c r="J54" s="915"/>
      <c r="K54" s="916"/>
      <c r="L54" s="104"/>
      <c r="M54" s="83"/>
      <c r="N54" s="103"/>
      <c r="O54" s="83"/>
      <c r="P54" s="83"/>
      <c r="Q54" s="83"/>
      <c r="R54" s="83"/>
      <c r="S54" s="83"/>
      <c r="T54" s="83"/>
      <c r="U54" s="83"/>
      <c r="V54" s="83"/>
      <c r="W54" s="83"/>
      <c r="X54" s="83"/>
      <c r="Y54" s="83"/>
      <c r="Z54" s="83"/>
      <c r="AA54" s="83"/>
      <c r="AB54" s="104"/>
      <c r="AC54" s="83"/>
      <c r="AE54" s="83"/>
      <c r="AG54" s="83"/>
      <c r="AM54" s="83"/>
      <c r="AN54" s="83"/>
      <c r="AO54" s="83"/>
      <c r="AP54" s="83"/>
    </row>
    <row r="55" spans="1:42" ht="22.25" customHeight="1" x14ac:dyDescent="0.2">
      <c r="A55" s="83"/>
      <c r="B55" s="103"/>
      <c r="C55" s="143"/>
      <c r="D55" s="144"/>
      <c r="E55" s="144"/>
      <c r="F55" s="144"/>
      <c r="G55" s="144"/>
      <c r="H55" s="144"/>
      <c r="I55" s="144"/>
      <c r="J55" s="144"/>
      <c r="K55" s="315"/>
      <c r="L55" s="104"/>
      <c r="M55" s="83"/>
      <c r="N55" s="103"/>
      <c r="O55" s="914" t="s">
        <v>120</v>
      </c>
      <c r="P55" s="915"/>
      <c r="Q55" s="915"/>
      <c r="R55" s="915"/>
      <c r="S55" s="915"/>
      <c r="T55" s="916"/>
      <c r="U55" s="83"/>
      <c r="V55" s="917" t="s">
        <v>121</v>
      </c>
      <c r="W55" s="918"/>
      <c r="X55" s="918"/>
      <c r="Y55" s="918"/>
      <c r="Z55" s="918"/>
      <c r="AA55" s="919"/>
      <c r="AB55" s="104"/>
      <c r="AC55" s="83"/>
      <c r="AD55" s="83"/>
      <c r="AE55" s="83"/>
      <c r="AF55" s="83"/>
      <c r="AG55" s="83"/>
      <c r="AM55" s="83"/>
      <c r="AN55" s="83"/>
      <c r="AO55" s="83"/>
      <c r="AP55" s="83"/>
    </row>
    <row r="56" spans="1:42" ht="22.25" customHeight="1" x14ac:dyDescent="0.2">
      <c r="A56" s="83"/>
      <c r="B56" s="91"/>
      <c r="C56" s="112"/>
      <c r="E56" s="87" t="s">
        <v>122</v>
      </c>
      <c r="F56" s="694" t="s">
        <v>123</v>
      </c>
      <c r="G56" s="83"/>
      <c r="H56" s="387"/>
      <c r="I56" s="387"/>
      <c r="J56" s="387"/>
      <c r="K56" s="138"/>
      <c r="L56" s="104"/>
      <c r="M56" s="83"/>
      <c r="N56" s="91"/>
      <c r="O56" s="332"/>
      <c r="P56" s="333"/>
      <c r="Q56" s="333"/>
      <c r="R56" s="333"/>
      <c r="S56" s="333"/>
      <c r="T56" s="334"/>
      <c r="U56" s="83"/>
      <c r="V56" s="103"/>
      <c r="W56" s="83"/>
      <c r="X56" s="83"/>
      <c r="Y56" s="83"/>
      <c r="Z56" s="83"/>
      <c r="AA56" s="104"/>
      <c r="AB56" s="104"/>
      <c r="AC56" s="83"/>
      <c r="AD56" s="83"/>
      <c r="AE56" s="83"/>
      <c r="AF56" s="83"/>
      <c r="AG56" s="83"/>
      <c r="AM56" s="83"/>
      <c r="AN56" s="83"/>
      <c r="AO56" s="83"/>
      <c r="AP56" s="83"/>
    </row>
    <row r="57" spans="1:42" ht="22.25" customHeight="1" x14ac:dyDescent="0.2">
      <c r="A57" s="83"/>
      <c r="B57" s="91"/>
      <c r="C57" s="112"/>
      <c r="D57" s="182" t="s">
        <v>124</v>
      </c>
      <c r="E57" s="243">
        <v>46497.542972528303</v>
      </c>
      <c r="F57" s="179">
        <f>+I71*E57/1000</f>
        <v>791.38818139243176</v>
      </c>
      <c r="G57" s="83"/>
      <c r="H57" s="134"/>
      <c r="I57" s="118"/>
      <c r="J57" s="134"/>
      <c r="K57" s="138"/>
      <c r="L57" s="104"/>
      <c r="M57" s="83"/>
      <c r="N57" s="103"/>
      <c r="O57" s="91"/>
      <c r="T57" s="84"/>
      <c r="U57" s="83"/>
      <c r="V57" s="103"/>
      <c r="W57" s="906" t="s">
        <v>125</v>
      </c>
      <c r="X57" s="906"/>
      <c r="Y57" s="906"/>
      <c r="Z57" s="426" t="s">
        <v>126</v>
      </c>
      <c r="AA57" s="104"/>
      <c r="AB57" s="104"/>
      <c r="AC57" s="83"/>
      <c r="AD57" s="83"/>
      <c r="AE57" s="83"/>
      <c r="AF57" s="83"/>
      <c r="AG57" s="83"/>
      <c r="AM57" s="83"/>
      <c r="AN57" s="83"/>
      <c r="AO57" s="83"/>
      <c r="AP57" s="83"/>
    </row>
    <row r="58" spans="1:42" ht="22.25" customHeight="1" x14ac:dyDescent="0.2">
      <c r="A58" s="83"/>
      <c r="B58" s="91"/>
      <c r="C58" s="112"/>
      <c r="D58" s="99" t="s">
        <v>127</v>
      </c>
      <c r="E58" s="233">
        <v>120010.910768182</v>
      </c>
      <c r="F58" s="99"/>
      <c r="G58" s="83"/>
      <c r="H58" s="118"/>
      <c r="I58" s="178"/>
      <c r="J58" s="118"/>
      <c r="K58" s="138"/>
      <c r="L58" s="104"/>
      <c r="M58" s="83"/>
      <c r="N58" s="103"/>
      <c r="O58" s="91"/>
      <c r="P58" s="924" t="s">
        <v>128</v>
      </c>
      <c r="Q58" s="925"/>
      <c r="R58" s="926"/>
      <c r="S58" s="930"/>
      <c r="T58" s="84"/>
      <c r="U58" s="83"/>
      <c r="V58" s="103"/>
      <c r="W58" s="907" t="s">
        <v>129</v>
      </c>
      <c r="X58" s="557"/>
      <c r="Y58" s="909" t="s">
        <v>130</v>
      </c>
      <c r="Z58" s="911">
        <v>1</v>
      </c>
      <c r="AA58" s="104"/>
      <c r="AB58" s="104"/>
      <c r="AC58" s="83"/>
      <c r="AD58" s="83"/>
      <c r="AE58" s="83"/>
      <c r="AF58" s="83"/>
      <c r="AG58" s="83"/>
      <c r="AM58" s="83"/>
      <c r="AN58" s="83"/>
      <c r="AO58" s="83"/>
      <c r="AP58" s="83"/>
    </row>
    <row r="59" spans="1:42" ht="22.25" customHeight="1" x14ac:dyDescent="0.2">
      <c r="A59" s="83"/>
      <c r="B59" s="91"/>
      <c r="C59" s="112"/>
      <c r="D59" s="173" t="s">
        <v>131</v>
      </c>
      <c r="E59" s="321">
        <v>18604.227083117501</v>
      </c>
      <c r="F59" s="723">
        <f>+I32*E59/1000</f>
        <v>583.07582518106892</v>
      </c>
      <c r="G59" s="83"/>
      <c r="H59" s="134"/>
      <c r="I59" s="134"/>
      <c r="J59" s="134"/>
      <c r="K59" s="138"/>
      <c r="L59" s="104"/>
      <c r="M59" s="83"/>
      <c r="N59" s="103"/>
      <c r="O59" s="91"/>
      <c r="P59" s="927"/>
      <c r="Q59" s="928"/>
      <c r="R59" s="929"/>
      <c r="S59" s="931"/>
      <c r="T59" s="84"/>
      <c r="U59" s="83"/>
      <c r="V59" s="103"/>
      <c r="W59" s="908"/>
      <c r="X59" s="558"/>
      <c r="Y59" s="910"/>
      <c r="Z59" s="912"/>
      <c r="AA59" s="104"/>
      <c r="AB59" s="104"/>
      <c r="AC59" s="83"/>
      <c r="AD59" s="83"/>
      <c r="AE59" s="83"/>
      <c r="AF59" s="83"/>
      <c r="AG59" s="83"/>
      <c r="AM59" s="83"/>
      <c r="AN59" s="83"/>
      <c r="AO59" s="83"/>
      <c r="AP59" s="83"/>
    </row>
    <row r="60" spans="1:42" ht="22.25" customHeight="1" x14ac:dyDescent="0.25">
      <c r="A60" s="83"/>
      <c r="B60" s="91"/>
      <c r="C60" s="112"/>
      <c r="D60" s="118"/>
      <c r="E60" s="159"/>
      <c r="F60" s="118"/>
      <c r="G60" s="83"/>
      <c r="H60" s="134"/>
      <c r="I60" s="134"/>
      <c r="J60" s="134"/>
      <c r="K60" s="138"/>
      <c r="L60" s="104"/>
      <c r="M60" s="83"/>
      <c r="N60" s="103"/>
      <c r="O60" s="91"/>
      <c r="P60" s="599"/>
      <c r="Q60" s="599"/>
      <c r="R60" s="515"/>
      <c r="T60" s="84"/>
      <c r="U60" s="83"/>
      <c r="V60" s="103"/>
      <c r="AA60" s="104"/>
      <c r="AB60" s="104"/>
      <c r="AC60" s="83"/>
      <c r="AD60" s="83"/>
      <c r="AE60" s="83"/>
      <c r="AF60" s="83"/>
      <c r="AM60" s="83"/>
      <c r="AN60" s="83"/>
      <c r="AO60" s="83"/>
      <c r="AP60" s="83"/>
    </row>
    <row r="61" spans="1:42" ht="22.25" customHeight="1" x14ac:dyDescent="0.2">
      <c r="A61" s="83"/>
      <c r="B61" s="91"/>
      <c r="C61" s="112"/>
      <c r="D61" s="118"/>
      <c r="E61" s="159"/>
      <c r="F61" s="118"/>
      <c r="G61" s="83"/>
      <c r="H61" s="134"/>
      <c r="I61" s="134"/>
      <c r="J61" s="134"/>
      <c r="K61" s="138"/>
      <c r="L61" s="104"/>
      <c r="M61" s="83"/>
      <c r="N61" s="103"/>
      <c r="O61" s="91"/>
      <c r="P61" s="924" t="s">
        <v>132</v>
      </c>
      <c r="Q61" s="925"/>
      <c r="R61" s="926"/>
      <c r="S61" s="930"/>
      <c r="T61" s="84"/>
      <c r="U61" s="83"/>
      <c r="V61" s="103"/>
      <c r="W61" s="903" t="s">
        <v>133</v>
      </c>
      <c r="X61" s="904"/>
      <c r="Y61" s="905"/>
      <c r="Z61" s="420" t="s">
        <v>126</v>
      </c>
      <c r="AA61" s="104"/>
      <c r="AB61" s="104"/>
      <c r="AC61" s="83"/>
      <c r="AD61" s="83"/>
      <c r="AF61" s="83"/>
      <c r="AM61" s="83"/>
      <c r="AN61" s="83"/>
      <c r="AO61" s="83"/>
      <c r="AP61" s="83"/>
    </row>
    <row r="62" spans="1:42" ht="22.25" customHeight="1" x14ac:dyDescent="0.2">
      <c r="A62" s="83"/>
      <c r="B62" s="91"/>
      <c r="C62" s="136"/>
      <c r="D62" s="118"/>
      <c r="E62" s="159"/>
      <c r="F62" s="118"/>
      <c r="G62" s="83"/>
      <c r="H62" s="134"/>
      <c r="I62" s="134"/>
      <c r="J62" s="134"/>
      <c r="K62" s="138"/>
      <c r="L62" s="104"/>
      <c r="M62" s="83"/>
      <c r="N62" s="103"/>
      <c r="O62" s="91"/>
      <c r="P62" s="927"/>
      <c r="Q62" s="928"/>
      <c r="R62" s="929"/>
      <c r="S62" s="931"/>
      <c r="T62" s="84"/>
      <c r="U62" s="83"/>
      <c r="V62" s="103"/>
      <c r="W62" s="907" t="str">
        <f>+W58</f>
        <v>ADD</v>
      </c>
      <c r="X62" s="880"/>
      <c r="Y62" s="909" t="str">
        <f>+Y58</f>
        <v>REMOVE</v>
      </c>
      <c r="Z62" s="911">
        <v>1</v>
      </c>
      <c r="AA62" s="104"/>
      <c r="AB62" s="104"/>
      <c r="AC62" s="83"/>
      <c r="AD62" s="83"/>
      <c r="AM62" s="83"/>
      <c r="AN62" s="83"/>
      <c r="AO62" s="83"/>
      <c r="AP62" s="83"/>
    </row>
    <row r="63" spans="1:42" ht="22.25" customHeight="1" x14ac:dyDescent="0.25">
      <c r="A63" s="83"/>
      <c r="B63" s="91"/>
      <c r="C63" s="136"/>
      <c r="D63" s="118"/>
      <c r="E63" s="159"/>
      <c r="F63" s="118"/>
      <c r="G63" s="549"/>
      <c r="H63" s="549"/>
      <c r="I63" s="549"/>
      <c r="J63" s="549"/>
      <c r="K63" s="138"/>
      <c r="L63" s="104"/>
      <c r="M63" s="83"/>
      <c r="N63" s="103"/>
      <c r="O63" s="91"/>
      <c r="P63" s="515"/>
      <c r="Q63" s="515"/>
      <c r="R63" s="515"/>
      <c r="T63" s="84"/>
      <c r="U63" s="83"/>
      <c r="V63" s="103"/>
      <c r="W63" s="908"/>
      <c r="X63" s="881"/>
      <c r="Y63" s="910"/>
      <c r="Z63" s="912"/>
      <c r="AA63" s="104"/>
      <c r="AB63" s="104"/>
      <c r="AC63" s="83"/>
      <c r="AD63" s="83"/>
      <c r="AM63" s="83"/>
      <c r="AN63" s="83"/>
      <c r="AO63" s="83"/>
      <c r="AP63" s="83"/>
    </row>
    <row r="64" spans="1:42" ht="22.25" customHeight="1" x14ac:dyDescent="0.2">
      <c r="A64" s="83"/>
      <c r="B64" s="91"/>
      <c r="C64" s="136"/>
      <c r="D64" s="549"/>
      <c r="E64" s="549"/>
      <c r="F64" s="388"/>
      <c r="G64" s="549"/>
      <c r="H64" s="549"/>
      <c r="I64" s="549"/>
      <c r="J64" s="549"/>
      <c r="K64" s="138"/>
      <c r="L64" s="104"/>
      <c r="M64" s="83"/>
      <c r="N64" s="103"/>
      <c r="O64" s="91"/>
      <c r="P64" s="932" t="s">
        <v>134</v>
      </c>
      <c r="Q64" s="932"/>
      <c r="R64" s="932"/>
      <c r="S64" s="930"/>
      <c r="T64" s="84"/>
      <c r="U64" s="83"/>
      <c r="V64" s="103"/>
      <c r="W64" s="83"/>
      <c r="X64" s="83"/>
      <c r="Y64" s="83"/>
      <c r="Z64" s="83"/>
      <c r="AA64" s="104"/>
      <c r="AB64" s="104"/>
      <c r="AC64" s="83"/>
      <c r="AD64" s="83"/>
      <c r="AM64" s="83"/>
      <c r="AN64" s="83"/>
      <c r="AO64" s="83"/>
      <c r="AP64" s="83"/>
    </row>
    <row r="65" spans="1:42" ht="22.25" customHeight="1" x14ac:dyDescent="0.2">
      <c r="A65" s="83"/>
      <c r="B65" s="91"/>
      <c r="C65" s="136"/>
      <c r="D65" s="185"/>
      <c r="E65" s="185"/>
      <c r="F65" s="185"/>
      <c r="G65" s="549"/>
      <c r="H65" s="549"/>
      <c r="I65" s="549"/>
      <c r="J65" s="549"/>
      <c r="K65" s="138"/>
      <c r="L65" s="104"/>
      <c r="M65" s="83"/>
      <c r="N65" s="103"/>
      <c r="O65" s="91"/>
      <c r="P65" s="932"/>
      <c r="Q65" s="932"/>
      <c r="R65" s="932"/>
      <c r="S65" s="931"/>
      <c r="T65" s="84"/>
      <c r="U65" s="83"/>
      <c r="V65" s="103"/>
      <c r="W65" s="903" t="s">
        <v>135</v>
      </c>
      <c r="X65" s="904"/>
      <c r="Y65" s="905"/>
      <c r="Z65" s="420" t="s">
        <v>126</v>
      </c>
      <c r="AA65" s="104"/>
      <c r="AB65" s="104"/>
      <c r="AC65" s="83"/>
      <c r="AD65" s="83"/>
      <c r="AM65" s="83"/>
      <c r="AN65" s="83"/>
      <c r="AO65" s="83"/>
      <c r="AP65" s="83"/>
    </row>
    <row r="66" spans="1:42" ht="22.25" customHeight="1" x14ac:dyDescent="0.25">
      <c r="A66" s="83"/>
      <c r="B66" s="91"/>
      <c r="C66" s="136"/>
      <c r="D66" s="118"/>
      <c r="E66" s="177"/>
      <c r="F66" s="118"/>
      <c r="G66" s="549"/>
      <c r="H66" s="549"/>
      <c r="I66" s="549"/>
      <c r="J66" s="549"/>
      <c r="K66" s="138"/>
      <c r="L66" s="104"/>
      <c r="M66" s="83"/>
      <c r="N66" s="103"/>
      <c r="O66" s="91"/>
      <c r="P66" s="600"/>
      <c r="Q66" s="600"/>
      <c r="R66" s="515"/>
      <c r="T66" s="84"/>
      <c r="U66" s="83"/>
      <c r="V66" s="103"/>
      <c r="W66" s="907" t="str">
        <f>+W62</f>
        <v>ADD</v>
      </c>
      <c r="X66" s="880"/>
      <c r="Y66" s="909" t="str">
        <f>+Y62</f>
        <v>REMOVE</v>
      </c>
      <c r="Z66" s="911">
        <v>1</v>
      </c>
      <c r="AA66" s="104"/>
      <c r="AB66" s="104"/>
      <c r="AC66" s="83"/>
      <c r="AD66" s="83"/>
      <c r="AM66" s="83"/>
      <c r="AN66" s="83"/>
      <c r="AO66" s="83"/>
      <c r="AP66" s="83"/>
    </row>
    <row r="67" spans="1:42" ht="22.25" customHeight="1" x14ac:dyDescent="0.2">
      <c r="A67" s="83"/>
      <c r="B67" s="91"/>
      <c r="C67" s="136"/>
      <c r="D67" s="118"/>
      <c r="E67" s="177"/>
      <c r="F67" s="118"/>
      <c r="G67" s="549"/>
      <c r="K67" s="138"/>
      <c r="L67" s="104"/>
      <c r="M67" s="83"/>
      <c r="N67" s="103"/>
      <c r="O67" s="601"/>
      <c r="P67" s="924" t="s">
        <v>136</v>
      </c>
      <c r="Q67" s="925"/>
      <c r="R67" s="926"/>
      <c r="S67" s="930"/>
      <c r="T67" s="84"/>
      <c r="U67" s="83"/>
      <c r="V67" s="103"/>
      <c r="W67" s="908"/>
      <c r="X67" s="881"/>
      <c r="Y67" s="910"/>
      <c r="Z67" s="912"/>
      <c r="AA67" s="104"/>
      <c r="AB67" s="104"/>
      <c r="AC67" s="83"/>
      <c r="AD67" s="83"/>
      <c r="AM67" s="83"/>
      <c r="AN67" s="83"/>
      <c r="AO67" s="83"/>
      <c r="AP67" s="83"/>
    </row>
    <row r="68" spans="1:42" ht="22.25" customHeight="1" x14ac:dyDescent="0.2">
      <c r="A68" s="83"/>
      <c r="B68" s="91"/>
      <c r="C68" s="136"/>
      <c r="D68" s="118"/>
      <c r="E68" s="159"/>
      <c r="F68" s="118"/>
      <c r="G68" s="549"/>
      <c r="K68" s="138"/>
      <c r="L68" s="104"/>
      <c r="M68" s="83"/>
      <c r="N68" s="103"/>
      <c r="O68" s="601"/>
      <c r="P68" s="927"/>
      <c r="Q68" s="928"/>
      <c r="R68" s="929"/>
      <c r="S68" s="931"/>
      <c r="T68" s="84"/>
      <c r="U68" s="83"/>
      <c r="V68" s="103"/>
      <c r="AA68" s="104"/>
      <c r="AB68" s="104"/>
      <c r="AC68" s="83"/>
      <c r="AD68" s="83"/>
      <c r="AM68" s="83"/>
      <c r="AN68" s="83"/>
      <c r="AO68" s="83"/>
      <c r="AP68" s="83"/>
    </row>
    <row r="69" spans="1:42" ht="22.25" customHeight="1" x14ac:dyDescent="0.25">
      <c r="A69" s="83"/>
      <c r="B69" s="91"/>
      <c r="C69" s="136"/>
      <c r="D69" s="118"/>
      <c r="E69" s="159"/>
      <c r="F69" s="118"/>
      <c r="G69" s="549"/>
      <c r="K69" s="138"/>
      <c r="L69" s="104"/>
      <c r="M69" s="83"/>
      <c r="N69" s="103"/>
      <c r="O69" s="601"/>
      <c r="P69" s="515"/>
      <c r="Q69" s="515"/>
      <c r="R69" s="515"/>
      <c r="T69" s="84"/>
      <c r="U69" s="83"/>
      <c r="V69" s="103"/>
      <c r="W69" s="902" t="s">
        <v>54</v>
      </c>
      <c r="X69" s="902"/>
      <c r="Y69" s="902"/>
      <c r="Z69" s="902"/>
      <c r="AA69" s="104"/>
      <c r="AB69" s="104"/>
      <c r="AC69" s="83"/>
      <c r="AD69" s="83"/>
      <c r="AM69" s="83"/>
      <c r="AN69" s="83"/>
      <c r="AO69" s="83"/>
      <c r="AP69" s="83"/>
    </row>
    <row r="70" spans="1:42" ht="22.25" customHeight="1" x14ac:dyDescent="0.2">
      <c r="A70" s="83"/>
      <c r="B70" s="91"/>
      <c r="C70" s="136"/>
      <c r="D70" s="549"/>
      <c r="E70" s="549"/>
      <c r="F70" s="549"/>
      <c r="G70" s="549"/>
      <c r="H70" s="424" t="s">
        <v>2</v>
      </c>
      <c r="I70" s="424" t="s">
        <v>74</v>
      </c>
      <c r="J70" s="403" t="s">
        <v>75</v>
      </c>
      <c r="K70" s="138"/>
      <c r="L70" s="104"/>
      <c r="M70" s="83"/>
      <c r="N70" s="103"/>
      <c r="O70" s="91"/>
      <c r="P70" s="924" t="s">
        <v>137</v>
      </c>
      <c r="Q70" s="925"/>
      <c r="R70" s="926"/>
      <c r="S70" s="895"/>
      <c r="T70" s="84"/>
      <c r="U70" s="83"/>
      <c r="V70" s="103"/>
      <c r="W70" s="901" t="s">
        <v>138</v>
      </c>
      <c r="X70" s="901"/>
      <c r="Y70" s="901"/>
      <c r="Z70" s="901"/>
      <c r="AA70" s="104"/>
      <c r="AB70" s="104"/>
      <c r="AC70" s="83"/>
      <c r="AD70" s="83"/>
      <c r="AM70" s="83"/>
      <c r="AN70" s="83"/>
      <c r="AO70" s="83"/>
      <c r="AP70" s="83"/>
    </row>
    <row r="71" spans="1:42" ht="22.25" customHeight="1" x14ac:dyDescent="0.2">
      <c r="A71" s="83"/>
      <c r="B71" s="91"/>
      <c r="C71" s="136"/>
      <c r="D71" s="549"/>
      <c r="E71" s="549"/>
      <c r="F71" s="549"/>
      <c r="G71" s="549"/>
      <c r="H71" s="86" t="s">
        <v>124</v>
      </c>
      <c r="I71" s="86">
        <v>17.02</v>
      </c>
      <c r="J71" s="86" t="s">
        <v>78</v>
      </c>
      <c r="K71" s="138"/>
      <c r="L71" s="104"/>
      <c r="M71" s="83"/>
      <c r="N71" s="103"/>
      <c r="O71" s="91"/>
      <c r="P71" s="927"/>
      <c r="Q71" s="928"/>
      <c r="R71" s="929"/>
      <c r="S71" s="895"/>
      <c r="T71" s="84"/>
      <c r="U71" s="83"/>
      <c r="V71" s="103"/>
      <c r="W71" s="901"/>
      <c r="X71" s="901"/>
      <c r="Y71" s="901"/>
      <c r="Z71" s="901"/>
      <c r="AA71" s="104"/>
      <c r="AB71" s="104"/>
      <c r="AC71" s="83"/>
      <c r="AD71" s="83"/>
      <c r="AN71" s="83"/>
      <c r="AO71" s="83"/>
      <c r="AP71" s="83"/>
    </row>
    <row r="72" spans="1:42" ht="22.25" customHeight="1" x14ac:dyDescent="0.2">
      <c r="A72" s="83"/>
      <c r="B72" s="91"/>
      <c r="C72" s="136"/>
      <c r="D72" s="549"/>
      <c r="E72" s="549"/>
      <c r="F72" s="549"/>
      <c r="G72" s="549"/>
      <c r="H72" s="86" t="s">
        <v>139</v>
      </c>
      <c r="I72" s="86"/>
      <c r="J72" s="86"/>
      <c r="K72" s="138"/>
      <c r="L72" s="104"/>
      <c r="M72" s="83"/>
      <c r="N72" s="103"/>
      <c r="O72" s="91"/>
      <c r="P72" s="602"/>
      <c r="Q72" s="602"/>
      <c r="T72" s="84"/>
      <c r="U72" s="83"/>
      <c r="V72" s="103"/>
      <c r="W72" s="901"/>
      <c r="X72" s="901"/>
      <c r="Y72" s="901"/>
      <c r="Z72" s="901"/>
      <c r="AA72" s="104"/>
      <c r="AB72" s="104"/>
      <c r="AC72" s="83"/>
      <c r="AD72" s="83"/>
      <c r="AO72" s="83"/>
      <c r="AP72" s="83"/>
    </row>
    <row r="73" spans="1:42" ht="22.25" customHeight="1" x14ac:dyDescent="0.2">
      <c r="A73" s="83"/>
      <c r="B73" s="91"/>
      <c r="C73" s="137"/>
      <c r="D73" s="139"/>
      <c r="E73" s="139"/>
      <c r="F73" s="139"/>
      <c r="G73" s="139"/>
      <c r="H73" s="139"/>
      <c r="I73" s="139"/>
      <c r="J73" s="139"/>
      <c r="K73" s="140"/>
      <c r="L73" s="104"/>
      <c r="M73" s="83"/>
      <c r="N73" s="103"/>
      <c r="O73" s="325"/>
      <c r="P73" s="603"/>
      <c r="Q73" s="603"/>
      <c r="R73" s="326"/>
      <c r="S73" s="326"/>
      <c r="T73" s="328"/>
      <c r="U73" s="83"/>
      <c r="V73" s="105"/>
      <c r="W73" s="106"/>
      <c r="X73" s="106"/>
      <c r="Y73" s="106"/>
      <c r="Z73" s="106"/>
      <c r="AA73" s="107"/>
      <c r="AB73" s="104"/>
      <c r="AC73" s="83"/>
      <c r="AD73" s="83"/>
      <c r="AO73" s="83"/>
      <c r="AP73" s="83"/>
    </row>
    <row r="74" spans="1:42" ht="18" customHeight="1" x14ac:dyDescent="0.2">
      <c r="A74" s="83"/>
      <c r="B74" s="325"/>
      <c r="C74" s="326"/>
      <c r="D74" s="326"/>
      <c r="E74" s="326"/>
      <c r="F74" s="326"/>
      <c r="G74" s="326"/>
      <c r="H74" s="326"/>
      <c r="I74" s="106"/>
      <c r="J74" s="106"/>
      <c r="K74" s="106"/>
      <c r="L74" s="107"/>
      <c r="M74" s="83"/>
      <c r="N74" s="105"/>
      <c r="O74" s="552"/>
      <c r="P74" s="552"/>
      <c r="Q74" s="552"/>
      <c r="R74" s="106"/>
      <c r="S74" s="106"/>
      <c r="T74" s="106"/>
      <c r="U74" s="106"/>
      <c r="V74" s="106"/>
      <c r="W74" s="106"/>
      <c r="X74" s="106"/>
      <c r="Y74" s="106"/>
      <c r="Z74" s="106"/>
      <c r="AA74" s="106"/>
      <c r="AB74" s="107"/>
      <c r="AC74" s="83"/>
      <c r="AD74" s="83"/>
      <c r="AO74" s="83"/>
      <c r="AP74" s="83"/>
    </row>
    <row r="75" spans="1:42" ht="18" customHeight="1" x14ac:dyDescent="0.2">
      <c r="A75" s="83"/>
      <c r="I75" s="83"/>
      <c r="J75" s="83"/>
      <c r="K75" s="83"/>
      <c r="L75" s="83"/>
      <c r="M75" s="83"/>
      <c r="N75" s="83"/>
      <c r="O75" s="366"/>
      <c r="P75" s="366"/>
      <c r="Q75" s="366"/>
      <c r="R75" s="83"/>
      <c r="S75" s="83"/>
      <c r="T75" s="83"/>
      <c r="U75" s="83"/>
      <c r="V75" s="83"/>
      <c r="W75" s="83"/>
      <c r="X75" s="83"/>
      <c r="Y75" s="83"/>
      <c r="Z75" s="83"/>
      <c r="AA75" s="83"/>
      <c r="AB75" s="83"/>
      <c r="AC75" s="83"/>
      <c r="AD75" s="83"/>
      <c r="AO75" s="83"/>
      <c r="AP75" s="83"/>
    </row>
    <row r="76" spans="1:42" ht="18" customHeight="1" x14ac:dyDescent="0.2">
      <c r="A76" s="83"/>
      <c r="I76" s="83"/>
      <c r="J76" s="83"/>
      <c r="K76" s="83"/>
      <c r="L76" s="83"/>
      <c r="M76" s="83"/>
      <c r="N76" s="83"/>
      <c r="P76" s="366"/>
      <c r="Q76" s="366"/>
      <c r="R76" s="83"/>
      <c r="S76" s="83"/>
      <c r="T76" s="83"/>
      <c r="U76" s="83"/>
      <c r="V76" s="83"/>
      <c r="W76" s="83"/>
      <c r="X76" s="83"/>
      <c r="Y76" s="83"/>
      <c r="Z76" s="83"/>
      <c r="AA76" s="83"/>
      <c r="AB76" s="83"/>
      <c r="AC76" s="83"/>
      <c r="AD76" s="83"/>
      <c r="AO76" s="83"/>
      <c r="AP76" s="83"/>
    </row>
    <row r="77" spans="1:42" ht="18" customHeight="1" x14ac:dyDescent="0.2">
      <c r="A77" s="83"/>
      <c r="I77" s="83"/>
      <c r="J77" s="83"/>
      <c r="K77" s="83"/>
      <c r="L77" s="83"/>
      <c r="M77" s="83"/>
      <c r="N77" s="83"/>
      <c r="P77" s="83"/>
      <c r="Q77" s="83"/>
      <c r="R77" s="83"/>
      <c r="S77" s="83"/>
      <c r="T77" s="83"/>
      <c r="U77" s="83"/>
      <c r="V77" s="83"/>
      <c r="W77" s="83"/>
      <c r="X77" s="83"/>
      <c r="Y77" s="83"/>
      <c r="Z77" s="83"/>
      <c r="AA77" s="83"/>
      <c r="AB77" s="83"/>
      <c r="AC77" s="83"/>
      <c r="AD77" s="83"/>
      <c r="AO77" s="83"/>
      <c r="AP77" s="83"/>
    </row>
    <row r="78" spans="1:42" ht="18" customHeight="1" x14ac:dyDescent="0.2">
      <c r="A78" s="83"/>
      <c r="I78" s="83"/>
      <c r="J78" s="83"/>
      <c r="K78" s="83"/>
      <c r="L78" s="83"/>
      <c r="M78" s="83"/>
      <c r="N78" s="83"/>
      <c r="O78" s="83"/>
      <c r="P78" s="83"/>
      <c r="Q78" s="83"/>
      <c r="R78" s="83"/>
      <c r="S78" s="83"/>
      <c r="T78" s="83"/>
      <c r="U78" s="83"/>
      <c r="V78" s="83"/>
      <c r="W78" s="83"/>
      <c r="X78" s="83"/>
      <c r="Y78" s="83"/>
      <c r="Z78" s="83"/>
      <c r="AA78" s="83"/>
      <c r="AB78" s="83"/>
      <c r="AC78" s="83"/>
      <c r="AD78" s="83"/>
      <c r="AO78" s="83"/>
      <c r="AP78" s="83"/>
    </row>
    <row r="79" spans="1:42" ht="18" customHeight="1" x14ac:dyDescent="0.2">
      <c r="A79" s="83"/>
      <c r="I79" s="83"/>
      <c r="J79" s="83"/>
      <c r="K79" s="83"/>
      <c r="L79" s="83"/>
      <c r="M79" s="83"/>
      <c r="N79" s="83"/>
      <c r="O79" s="83"/>
      <c r="P79" s="83"/>
      <c r="Q79" s="83"/>
      <c r="R79" s="83"/>
      <c r="S79" s="83"/>
      <c r="T79" s="83"/>
      <c r="U79" s="83"/>
      <c r="V79" s="83"/>
      <c r="W79" s="83"/>
      <c r="X79" s="83"/>
      <c r="Y79" s="83"/>
      <c r="Z79" s="83"/>
      <c r="AA79" s="83"/>
      <c r="AB79" s="83"/>
      <c r="AC79" s="83"/>
      <c r="AD79" s="83"/>
      <c r="AO79" s="83"/>
      <c r="AP79" s="83"/>
    </row>
    <row r="80" spans="1:42" ht="18" customHeight="1" x14ac:dyDescent="0.2">
      <c r="A80" s="83"/>
      <c r="I80" s="83"/>
      <c r="J80" s="83"/>
      <c r="K80" s="83"/>
      <c r="L80" s="83"/>
      <c r="M80" s="83"/>
      <c r="N80" s="83"/>
      <c r="O80" s="83"/>
      <c r="P80" s="83"/>
      <c r="Q80" s="83"/>
      <c r="R80" s="83"/>
      <c r="S80" s="83"/>
      <c r="T80" s="83"/>
      <c r="U80" s="83"/>
      <c r="V80" s="83"/>
      <c r="W80" s="83"/>
      <c r="X80" s="83"/>
      <c r="Y80" s="83"/>
      <c r="Z80" s="83"/>
      <c r="AA80" s="83"/>
      <c r="AB80" s="83"/>
      <c r="AC80" s="83"/>
      <c r="AD80" s="83"/>
      <c r="AO80" s="83"/>
      <c r="AP80" s="83"/>
    </row>
    <row r="81" spans="1:42" ht="15" customHeight="1" x14ac:dyDescent="0.2">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2">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2">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2">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2">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2">
      <c r="AO86" s="83"/>
    </row>
    <row r="87" spans="1:42" x14ac:dyDescent="0.2">
      <c r="AO87" s="83"/>
    </row>
    <row r="88" spans="1:42" x14ac:dyDescent="0.2">
      <c r="AO88" s="83"/>
    </row>
    <row r="89" spans="1:42" x14ac:dyDescent="0.2">
      <c r="AO89" s="83"/>
    </row>
    <row r="90" spans="1:42" x14ac:dyDescent="0.2">
      <c r="AO90" s="83"/>
    </row>
    <row r="91" spans="1:42" x14ac:dyDescent="0.2">
      <c r="AO91" s="83"/>
    </row>
  </sheetData>
  <mergeCells count="56">
    <mergeCell ref="P67:R68"/>
    <mergeCell ref="S67:S68"/>
    <mergeCell ref="P70:R71"/>
    <mergeCell ref="S70:S71"/>
    <mergeCell ref="P58:R59"/>
    <mergeCell ref="S58:S59"/>
    <mergeCell ref="P61:R62"/>
    <mergeCell ref="S61:S62"/>
    <mergeCell ref="P64:R65"/>
    <mergeCell ref="S64:S65"/>
    <mergeCell ref="AE3:AG3"/>
    <mergeCell ref="C54:K54"/>
    <mergeCell ref="O55:T55"/>
    <mergeCell ref="V55:AA55"/>
    <mergeCell ref="O36:T36"/>
    <mergeCell ref="C3:K3"/>
    <mergeCell ref="O3:AA3"/>
    <mergeCell ref="I5:J5"/>
    <mergeCell ref="D5:E5"/>
    <mergeCell ref="C12:K12"/>
    <mergeCell ref="C34:K34"/>
    <mergeCell ref="O34:T34"/>
    <mergeCell ref="V34:AA34"/>
    <mergeCell ref="X42:AA42"/>
    <mergeCell ref="X43:AA43"/>
    <mergeCell ref="X45:AA45"/>
    <mergeCell ref="W70:Z72"/>
    <mergeCell ref="W69:Z69"/>
    <mergeCell ref="W61:Y61"/>
    <mergeCell ref="W57:Y57"/>
    <mergeCell ref="W65:Y65"/>
    <mergeCell ref="W58:W59"/>
    <mergeCell ref="Y58:Y59"/>
    <mergeCell ref="Z58:Z59"/>
    <mergeCell ref="Z62:Z63"/>
    <mergeCell ref="Z66:Z67"/>
    <mergeCell ref="Y66:Y67"/>
    <mergeCell ref="W66:W67"/>
    <mergeCell ref="W62:W63"/>
    <mergeCell ref="Y62:Y63"/>
    <mergeCell ref="X66:X67"/>
    <mergeCell ref="D18:F18"/>
    <mergeCell ref="D29:F29"/>
    <mergeCell ref="D14:F14"/>
    <mergeCell ref="D36:F36"/>
    <mergeCell ref="X62:X63"/>
    <mergeCell ref="O37:T53"/>
    <mergeCell ref="X36:AA36"/>
    <mergeCell ref="X48:AA48"/>
    <mergeCell ref="X38:AA38"/>
    <mergeCell ref="X40:AA40"/>
    <mergeCell ref="X39:AA39"/>
    <mergeCell ref="X44:AA44"/>
    <mergeCell ref="X46:AA46"/>
    <mergeCell ref="X37:AA37"/>
    <mergeCell ref="X41:AA41"/>
  </mergeCells>
  <phoneticPr fontId="15"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25400</xdr:rowOff>
                  </from>
                  <to>
                    <xdr:col>23</xdr:col>
                    <xdr:colOff>609600</xdr:colOff>
                    <xdr:row>58</xdr:row>
                    <xdr:rowOff>254000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673100</xdr:colOff>
                    <xdr:row>57</xdr:row>
                    <xdr:rowOff>25400</xdr:rowOff>
                  </from>
                  <to>
                    <xdr:col>23</xdr:col>
                    <xdr:colOff>1231900</xdr:colOff>
                    <xdr:row>58</xdr:row>
                    <xdr:rowOff>254000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25400</xdr:rowOff>
                  </from>
                  <to>
                    <xdr:col>23</xdr:col>
                    <xdr:colOff>609600</xdr:colOff>
                    <xdr:row>62</xdr:row>
                    <xdr:rowOff>254000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673100</xdr:colOff>
                    <xdr:row>61</xdr:row>
                    <xdr:rowOff>25400</xdr:rowOff>
                  </from>
                  <to>
                    <xdr:col>23</xdr:col>
                    <xdr:colOff>1231900</xdr:colOff>
                    <xdr:row>62</xdr:row>
                    <xdr:rowOff>254000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25400</xdr:rowOff>
                  </from>
                  <to>
                    <xdr:col>23</xdr:col>
                    <xdr:colOff>609600</xdr:colOff>
                    <xdr:row>66</xdr:row>
                    <xdr:rowOff>254000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673100</xdr:colOff>
                    <xdr:row>65</xdr:row>
                    <xdr:rowOff>25400</xdr:rowOff>
                  </from>
                  <to>
                    <xdr:col>23</xdr:col>
                    <xdr:colOff>1231900</xdr:colOff>
                    <xdr:row>66</xdr:row>
                    <xdr:rowOff>254000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25400</xdr:colOff>
                    <xdr:row>57</xdr:row>
                    <xdr:rowOff>12700</xdr:rowOff>
                  </from>
                  <to>
                    <xdr:col>18</xdr:col>
                    <xdr:colOff>1155700</xdr:colOff>
                    <xdr:row>59</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12700</xdr:colOff>
                    <xdr:row>60</xdr:row>
                    <xdr:rowOff>12700</xdr:rowOff>
                  </from>
                  <to>
                    <xdr:col>18</xdr:col>
                    <xdr:colOff>1155700</xdr:colOff>
                    <xdr:row>61</xdr:row>
                    <xdr:rowOff>292100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25400</xdr:colOff>
                    <xdr:row>63</xdr:row>
                    <xdr:rowOff>0</xdr:rowOff>
                  </from>
                  <to>
                    <xdr:col>18</xdr:col>
                    <xdr:colOff>1143000</xdr:colOff>
                    <xdr:row>64</xdr:row>
                    <xdr:rowOff>279400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25400</xdr:colOff>
                    <xdr:row>66</xdr:row>
                    <xdr:rowOff>12700</xdr:rowOff>
                  </from>
                  <to>
                    <xdr:col>18</xdr:col>
                    <xdr:colOff>1155700</xdr:colOff>
                    <xdr:row>67</xdr:row>
                    <xdr:rowOff>279400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25400</xdr:colOff>
                    <xdr:row>69</xdr:row>
                    <xdr:rowOff>12700</xdr:rowOff>
                  </from>
                  <to>
                    <xdr:col>18</xdr:col>
                    <xdr:colOff>1143000</xdr:colOff>
                    <xdr:row>70</xdr:row>
                    <xdr:rowOff>279400</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AA6212-EAB9-45D6-B08E-321D2D0B0630}">
  <sheetPr codeName="Hoja24"/>
  <dimension ref="A1:BE103"/>
  <sheetViews>
    <sheetView showGridLines="0" zoomScale="80" zoomScaleNormal="80" workbookViewId="0">
      <selection activeCell="Q49" sqref="Q49"/>
    </sheetView>
  </sheetViews>
  <sheetFormatPr baseColWidth="10" defaultColWidth="11.1640625" defaultRowHeight="15" x14ac:dyDescent="0.2"/>
  <cols>
    <col min="1" max="2" width="3.33203125" customWidth="1"/>
    <col min="3" max="19" width="19.6640625" customWidth="1"/>
    <col min="20" max="22" width="4" customWidth="1"/>
    <col min="23" max="25" width="23" customWidth="1"/>
    <col min="26" max="26" width="12.83203125" customWidth="1"/>
    <col min="27" max="27" width="18.1640625" bestFit="1" customWidth="1"/>
    <col min="28" max="40" width="12.83203125" customWidth="1"/>
    <col min="41" max="41" width="3.1640625" customWidth="1"/>
    <col min="43" max="43" width="11.1640625" style="372"/>
    <col min="44" max="44" width="11.1640625" style="372" customWidth="1"/>
  </cols>
  <sheetData>
    <row r="1" spans="1:44" ht="16.25" customHeight="1" x14ac:dyDescent="0.2">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15"/>
      <c r="AR1" s="371"/>
    </row>
    <row r="2" spans="1:44" ht="16.25" customHeight="1" x14ac:dyDescent="0.2">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15"/>
      <c r="AR2" s="371"/>
    </row>
    <row r="3" spans="1:44" ht="16.25" customHeight="1" x14ac:dyDescent="0.2">
      <c r="A3" s="83"/>
      <c r="B3" s="103"/>
      <c r="C3" s="917" t="s">
        <v>140</v>
      </c>
      <c r="D3" s="918"/>
      <c r="E3" s="918"/>
      <c r="F3" s="918"/>
      <c r="G3" s="917" t="s">
        <v>141</v>
      </c>
      <c r="H3" s="919"/>
      <c r="J3" s="917" t="s">
        <v>142</v>
      </c>
      <c r="K3" s="918"/>
      <c r="L3" s="918"/>
      <c r="M3" s="919"/>
      <c r="N3" s="186"/>
      <c r="O3" s="917" t="str">
        <f>+E6</f>
        <v>GSR Island</v>
      </c>
      <c r="P3" s="918"/>
      <c r="Q3" s="918"/>
      <c r="R3" s="918"/>
      <c r="S3" s="919"/>
      <c r="T3" s="104"/>
      <c r="U3" s="104"/>
      <c r="V3" s="83"/>
      <c r="W3" s="970" t="str">
        <f>+E6&amp;" Diagram"</f>
        <v>GSR Island Diagram</v>
      </c>
      <c r="X3" s="971"/>
      <c r="Y3" s="971"/>
      <c r="Z3" s="971"/>
      <c r="AA3" s="971"/>
      <c r="AB3" s="971"/>
      <c r="AC3" s="971"/>
      <c r="AD3" s="971"/>
      <c r="AE3" s="971"/>
      <c r="AF3" s="971"/>
      <c r="AG3" s="971"/>
      <c r="AH3" s="971"/>
      <c r="AI3" s="971"/>
      <c r="AJ3" s="971"/>
      <c r="AK3" s="971"/>
      <c r="AL3" s="971"/>
      <c r="AM3" s="971"/>
      <c r="AN3" s="972"/>
      <c r="AO3" s="104"/>
      <c r="AP3" s="83"/>
      <c r="AQ3" s="215"/>
      <c r="AR3" s="371"/>
    </row>
    <row r="4" spans="1:44" ht="16.25" customHeight="1" x14ac:dyDescent="0.2">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15"/>
      <c r="AR4" s="371"/>
    </row>
    <row r="5" spans="1:44" ht="16.25" customHeight="1" x14ac:dyDescent="0.2">
      <c r="A5" s="83"/>
      <c r="B5" s="103"/>
      <c r="C5" s="83"/>
      <c r="D5" s="920" t="s">
        <v>143</v>
      </c>
      <c r="E5" s="921"/>
      <c r="F5" s="83"/>
      <c r="G5" s="920" t="s">
        <v>40</v>
      </c>
      <c r="H5" s="921"/>
      <c r="J5" s="973"/>
      <c r="K5" s="974"/>
      <c r="L5" s="190" t="s">
        <v>144</v>
      </c>
      <c r="M5" s="191" t="s">
        <v>145</v>
      </c>
      <c r="N5" s="394"/>
      <c r="O5" s="833" t="s">
        <v>82</v>
      </c>
      <c r="P5" s="834"/>
      <c r="Q5" s="834"/>
      <c r="R5" s="834"/>
      <c r="S5" s="835"/>
      <c r="T5" s="104"/>
      <c r="U5" s="104"/>
      <c r="V5" s="83"/>
      <c r="W5" s="83"/>
      <c r="X5" s="83"/>
      <c r="Y5" s="83"/>
      <c r="Z5" s="83"/>
      <c r="AA5" s="83"/>
      <c r="AB5" s="83"/>
      <c r="AC5" s="83"/>
      <c r="AD5" s="83"/>
      <c r="AE5" s="83"/>
      <c r="AF5" s="83"/>
      <c r="AG5" s="83"/>
      <c r="AH5" s="83"/>
      <c r="AI5" s="83"/>
      <c r="AJ5" s="83"/>
      <c r="AK5" s="83"/>
      <c r="AL5" s="83"/>
      <c r="AM5" s="83"/>
      <c r="AN5" s="83"/>
      <c r="AO5" s="104"/>
      <c r="AP5" s="83"/>
      <c r="AQ5" s="215"/>
      <c r="AR5" s="371"/>
    </row>
    <row r="6" spans="1:44" ht="16.25" customHeight="1" x14ac:dyDescent="0.2">
      <c r="A6" s="83"/>
      <c r="B6" s="103"/>
      <c r="C6" s="979" t="s">
        <v>146</v>
      </c>
      <c r="D6" s="242" t="s">
        <v>147</v>
      </c>
      <c r="E6" s="409" t="str">
        <f>+'Plant Overview'!V37</f>
        <v>GSR Island</v>
      </c>
      <c r="F6" s="83"/>
      <c r="G6" s="85"/>
      <c r="H6" s="324" t="s">
        <v>43</v>
      </c>
      <c r="J6" s="975"/>
      <c r="K6" s="976"/>
      <c r="L6" s="169" t="s">
        <v>148</v>
      </c>
      <c r="M6" s="86" t="s">
        <v>149</v>
      </c>
      <c r="N6" s="394"/>
      <c r="O6" s="836" t="str">
        <f>+'Plant Overview'!X38</f>
        <v>Two stage shift &amp; heat recovery</v>
      </c>
      <c r="P6" s="882"/>
      <c r="Q6" s="882"/>
      <c r="R6" s="882"/>
      <c r="S6" s="883"/>
      <c r="T6" s="104"/>
      <c r="U6" s="104"/>
      <c r="V6" s="83"/>
      <c r="W6" s="83"/>
      <c r="X6" s="83"/>
      <c r="Y6" s="83"/>
      <c r="Z6" s="83"/>
      <c r="AA6" s="83"/>
      <c r="AB6" s="83"/>
      <c r="AC6" s="83"/>
      <c r="AD6" s="83"/>
      <c r="AE6" s="83"/>
      <c r="AF6" s="83"/>
      <c r="AG6" s="83"/>
      <c r="AH6" s="83"/>
      <c r="AI6" s="83"/>
      <c r="AJ6" s="83"/>
      <c r="AK6" s="83"/>
      <c r="AL6" s="83"/>
      <c r="AM6" s="83"/>
      <c r="AN6" s="83"/>
      <c r="AO6" s="104"/>
      <c r="AP6" s="83"/>
      <c r="AQ6" s="215"/>
      <c r="AR6" s="371"/>
    </row>
    <row r="7" spans="1:44" ht="16.25" customHeight="1" x14ac:dyDescent="0.2">
      <c r="A7" s="83"/>
      <c r="B7" s="103"/>
      <c r="C7" s="980"/>
      <c r="D7" s="242" t="s">
        <v>150</v>
      </c>
      <c r="E7" s="409" t="str">
        <f>+'Plant Overview'!W37</f>
        <v>U-100</v>
      </c>
      <c r="F7" s="83"/>
      <c r="G7" s="95"/>
      <c r="H7" s="324" t="s">
        <v>49</v>
      </c>
      <c r="J7" s="975"/>
      <c r="K7" s="976"/>
      <c r="L7" s="190" t="s">
        <v>151</v>
      </c>
      <c r="M7" s="191" t="s">
        <v>152</v>
      </c>
      <c r="N7" s="394"/>
      <c r="O7" s="884"/>
      <c r="P7" s="885"/>
      <c r="Q7" s="885"/>
      <c r="R7" s="885"/>
      <c r="S7" s="886"/>
      <c r="T7" s="104"/>
      <c r="U7" s="104"/>
      <c r="V7" s="83"/>
      <c r="W7" s="83"/>
      <c r="X7" s="83"/>
      <c r="Y7" s="83"/>
      <c r="Z7" s="83"/>
      <c r="AA7" s="83"/>
      <c r="AB7" s="83"/>
      <c r="AC7" s="83"/>
      <c r="AD7" s="83"/>
      <c r="AE7" s="83"/>
      <c r="AF7" s="83"/>
      <c r="AG7" s="83"/>
      <c r="AH7" s="83"/>
      <c r="AI7" s="83"/>
      <c r="AJ7" s="83"/>
      <c r="AK7" s="83"/>
      <c r="AL7" s="83"/>
      <c r="AM7" s="83"/>
      <c r="AN7" s="83"/>
      <c r="AO7" s="104"/>
      <c r="AP7" s="83"/>
      <c r="AQ7" s="215"/>
      <c r="AR7" s="371"/>
    </row>
    <row r="8" spans="1:44" ht="16.25" customHeight="1" x14ac:dyDescent="0.2">
      <c r="A8" s="83"/>
      <c r="B8" s="103"/>
      <c r="C8" s="880"/>
      <c r="D8" s="981" t="s">
        <v>153</v>
      </c>
      <c r="E8" s="983" t="s">
        <v>154</v>
      </c>
      <c r="F8" s="83"/>
      <c r="G8" s="94"/>
      <c r="H8" s="98" t="s">
        <v>51</v>
      </c>
      <c r="J8" s="975"/>
      <c r="K8" s="976"/>
      <c r="L8" s="190" t="s">
        <v>155</v>
      </c>
      <c r="M8" s="191" t="s">
        <v>156</v>
      </c>
      <c r="N8" s="394"/>
      <c r="O8" s="884"/>
      <c r="P8" s="885"/>
      <c r="Q8" s="885"/>
      <c r="R8" s="885"/>
      <c r="S8" s="886"/>
      <c r="T8" s="104"/>
      <c r="U8" s="104"/>
      <c r="V8" s="83"/>
      <c r="W8" s="83"/>
      <c r="X8" s="83"/>
      <c r="Y8" s="83"/>
      <c r="Z8" s="83"/>
      <c r="AA8" s="83"/>
      <c r="AB8" s="83"/>
      <c r="AC8" s="83"/>
      <c r="AD8" s="83"/>
      <c r="AE8" s="83"/>
      <c r="AF8" s="83"/>
      <c r="AG8" s="83"/>
      <c r="AH8" s="83"/>
      <c r="AI8" s="83"/>
      <c r="AJ8" s="83"/>
      <c r="AK8" s="83"/>
      <c r="AL8" s="83"/>
      <c r="AM8" s="83"/>
      <c r="AN8" s="83"/>
      <c r="AO8" s="104"/>
      <c r="AP8" s="83"/>
      <c r="AQ8" s="215"/>
      <c r="AR8" s="371"/>
    </row>
    <row r="9" spans="1:44" ht="16.25" customHeight="1" x14ac:dyDescent="0.2">
      <c r="A9" s="83"/>
      <c r="B9" s="103"/>
      <c r="C9" s="881"/>
      <c r="D9" s="982"/>
      <c r="E9" s="984"/>
      <c r="F9" s="83"/>
      <c r="G9" s="108"/>
      <c r="H9" s="310" t="s">
        <v>54</v>
      </c>
      <c r="J9" s="977"/>
      <c r="K9" s="978"/>
      <c r="L9" s="190" t="s">
        <v>157</v>
      </c>
      <c r="M9" s="191" t="s">
        <v>158</v>
      </c>
      <c r="N9" s="394"/>
      <c r="O9" s="887"/>
      <c r="P9" s="888"/>
      <c r="Q9" s="888"/>
      <c r="R9" s="888"/>
      <c r="S9" s="889"/>
      <c r="T9" s="104"/>
      <c r="U9" s="104"/>
      <c r="V9" s="83"/>
      <c r="W9" s="83"/>
      <c r="X9" s="83"/>
      <c r="Y9" s="83"/>
      <c r="Z9" s="83"/>
      <c r="AA9" s="83"/>
      <c r="AB9" s="83"/>
      <c r="AC9" s="83"/>
      <c r="AD9" s="83"/>
      <c r="AE9" s="83"/>
      <c r="AF9" s="83"/>
      <c r="AG9" s="83"/>
      <c r="AH9" s="83"/>
      <c r="AI9" s="83"/>
      <c r="AJ9" s="83"/>
      <c r="AK9" s="83"/>
      <c r="AL9" s="83"/>
      <c r="AM9" s="83"/>
      <c r="AN9" s="83"/>
      <c r="AO9" s="104"/>
      <c r="AP9" s="83"/>
      <c r="AQ9" s="215"/>
      <c r="AR9" s="371"/>
    </row>
    <row r="10" spans="1:44" ht="16.25" customHeight="1" x14ac:dyDescent="0.2">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15"/>
      <c r="AR10" s="371"/>
    </row>
    <row r="11" spans="1:44" ht="16.25" customHeight="1" x14ac:dyDescent="0.2">
      <c r="A11" s="83"/>
      <c r="B11" s="103"/>
      <c r="C11" s="83"/>
      <c r="D11" s="917" t="s">
        <v>159</v>
      </c>
      <c r="E11" s="918"/>
      <c r="F11" s="918"/>
      <c r="G11" s="918"/>
      <c r="H11" s="918"/>
      <c r="I11" s="918"/>
      <c r="J11" s="918"/>
      <c r="K11" s="918"/>
      <c r="L11" s="919"/>
      <c r="M11" s="917" t="s">
        <v>160</v>
      </c>
      <c r="N11" s="918"/>
      <c r="O11" s="918"/>
      <c r="P11" s="918"/>
      <c r="Q11" s="918"/>
      <c r="R11" s="919"/>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15"/>
      <c r="AR11" s="371"/>
    </row>
    <row r="12" spans="1:44" ht="16.25" customHeight="1" x14ac:dyDescent="0.2">
      <c r="A12" s="83"/>
      <c r="B12" s="103"/>
      <c r="C12" s="416" t="s">
        <v>161</v>
      </c>
      <c r="D12" s="572" t="s">
        <v>141</v>
      </c>
      <c r="E12" s="572" t="s">
        <v>162</v>
      </c>
      <c r="F12" s="417" t="s">
        <v>163</v>
      </c>
      <c r="G12" s="417" t="s">
        <v>164</v>
      </c>
      <c r="H12" s="418" t="s">
        <v>75</v>
      </c>
      <c r="I12" s="572" t="s">
        <v>165</v>
      </c>
      <c r="J12" s="569" t="s">
        <v>166</v>
      </c>
      <c r="K12" s="417" t="s">
        <v>167</v>
      </c>
      <c r="L12" s="417" t="s">
        <v>168</v>
      </c>
      <c r="M12" s="420" t="s">
        <v>169</v>
      </c>
      <c r="N12" s="420" t="s">
        <v>170</v>
      </c>
      <c r="O12" s="420" t="s">
        <v>171</v>
      </c>
      <c r="P12" s="420" t="s">
        <v>172</v>
      </c>
      <c r="Q12" s="420" t="s">
        <v>173</v>
      </c>
      <c r="R12" s="419" t="s">
        <v>174</v>
      </c>
      <c r="S12" s="420" t="s">
        <v>175</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15"/>
      <c r="AR12" s="371"/>
    </row>
    <row r="13" spans="1:44" ht="16.25" customHeight="1" x14ac:dyDescent="0.2">
      <c r="A13" s="83"/>
      <c r="B13" s="103"/>
      <c r="C13" s="182" t="s">
        <v>176</v>
      </c>
      <c r="D13" s="208" t="s">
        <v>177</v>
      </c>
      <c r="E13" s="208" t="s">
        <v>178</v>
      </c>
      <c r="F13" s="152">
        <f>+X47*X47*PI()/4*X48*X47</f>
        <v>48.166342255957218</v>
      </c>
      <c r="G13" s="96">
        <v>1</v>
      </c>
      <c r="H13" s="96" t="s">
        <v>179</v>
      </c>
      <c r="I13" s="96" t="s">
        <v>180</v>
      </c>
      <c r="J13" s="96" t="str">
        <f>+IF(F13&gt;'Equipment Data'!$F$239,"yes","No")</f>
        <v>No</v>
      </c>
      <c r="K13" s="96">
        <v>0.67</v>
      </c>
      <c r="L13" s="158">
        <f>+X47</f>
        <v>2.7342875001259088</v>
      </c>
      <c r="M13" s="156">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35993.75813499112</v>
      </c>
      <c r="N13" s="158">
        <f>+IF(L13="","Input Diameter in m",IF(G13&gt;0.5,IF(((G13*L13)/(2*(850-0.6*G13))+0.00315)/0.0063&lt;1,1,((G13*L13)/(2*(850-0.6*G13))+0.00315)/0.0063),1.25))</f>
        <v>1</v>
      </c>
      <c r="O13" s="96">
        <f>+IF(I13="CS",'Equipment Data'!$C$247,IF(I13="SS Clad",'Equipment Data'!$C$248,IF(I13="SS",'Equipment Data'!$C$249,IF(I13="Ni Clad",'Equipment Data'!$C$250,IF(I13="Ni",'Equipment Data'!$C$251,IF(I13="Ti Clad",'Equipment Data'!$C$252,IF(I13="Ti",'Equipment Data'!$C$253,"N/A")))))))</f>
        <v>7.07</v>
      </c>
      <c r="P13" s="153">
        <f>+'Equipment Data'!$C$244+'Equipment Data'!$D$244*N13*O13</f>
        <v>15.117400000000002</v>
      </c>
      <c r="Q13" s="153">
        <f>+M13*P13</f>
        <v>544132.03922991478</v>
      </c>
      <c r="R13" s="243">
        <f>+X46</f>
        <v>11</v>
      </c>
      <c r="S13" s="199">
        <f>+IF(Tabla25879012013584[[#This Row],[Equipment]]="","",Q13*R13/10^6)*X55</f>
        <v>11.970904863058125</v>
      </c>
      <c r="T13" s="587">
        <f t="shared" ref="T13:T44" ca="1" si="0">+S13*$S$55/$R$55</f>
        <v>19.321919873806856</v>
      </c>
      <c r="U13" s="104"/>
      <c r="V13" s="83"/>
      <c r="W13" s="83"/>
      <c r="X13" s="83"/>
      <c r="Y13" s="83"/>
      <c r="Z13" s="83"/>
      <c r="AA13" s="83"/>
      <c r="AB13" s="83"/>
      <c r="AC13" s="83"/>
      <c r="AD13" s="83"/>
      <c r="AE13" s="83"/>
      <c r="AF13" s="83"/>
      <c r="AG13" s="83"/>
      <c r="AH13" s="83"/>
      <c r="AI13" s="83"/>
      <c r="AJ13" s="83"/>
      <c r="AK13" s="83"/>
      <c r="AL13" s="83"/>
      <c r="AM13" s="83"/>
      <c r="AN13" s="83"/>
      <c r="AO13" s="104"/>
      <c r="AP13" s="83"/>
      <c r="AQ13" s="215"/>
      <c r="AR13" s="371"/>
    </row>
    <row r="14" spans="1:44" ht="16.25" customHeight="1" x14ac:dyDescent="0.2">
      <c r="A14" s="83"/>
      <c r="B14" s="103"/>
      <c r="C14" s="99" t="s">
        <v>181</v>
      </c>
      <c r="D14" s="208" t="s">
        <v>177</v>
      </c>
      <c r="E14" s="208" t="s">
        <v>178</v>
      </c>
      <c r="F14" s="152">
        <f>+F13+Q46</f>
        <v>61.484903185988628</v>
      </c>
      <c r="G14" s="96">
        <f>+X39</f>
        <v>0</v>
      </c>
      <c r="H14" s="96" t="s">
        <v>179</v>
      </c>
      <c r="I14" s="96" t="s">
        <v>182</v>
      </c>
      <c r="J14" s="96" t="str">
        <f>+IF(F14&gt;'Equipment Data'!$F$239,"yes","No")</f>
        <v>No</v>
      </c>
      <c r="K14" s="96">
        <v>0.67</v>
      </c>
      <c r="L14" s="96">
        <f>L13+2*X54</f>
        <v>3.0342875001259086</v>
      </c>
      <c r="M14" s="156">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43985.513644776933</v>
      </c>
      <c r="N14" s="158">
        <f>+IF(L14="","Input Diameter in m",IF(G14&gt;0.5,IF(((G14*L14)/(2*(850-0.6*G14))+0.00315)/0.0063&lt;1,1,((G14*L14)/(2*(850-0.6*G14))+0.00315)/0.0063),1.25))</f>
        <v>1.25</v>
      </c>
      <c r="O14" s="96">
        <f>+IF(I14="CS",'Equipment Data'!$C$247,IF(I14="SS Clad",'Equipment Data'!$C$248,IF(I14="SS",'Equipment Data'!$C$249,IF(I14="Ni Clad",'Equipment Data'!$C$250,IF(I14="Ni",'Equipment Data'!$C$251,IF(I14="Ti Clad",'Equipment Data'!$C$252,IF(I14="Ti",'Equipment Data'!$C$253,"N/A")))))))</f>
        <v>1</v>
      </c>
      <c r="P14" s="153">
        <f>+'Equipment Data'!$C$244+'Equipment Data'!$D$244*N14*O14</f>
        <v>4.5250000000000004</v>
      </c>
      <c r="Q14" s="153">
        <f>+M14*P14</f>
        <v>199034.44924261564</v>
      </c>
      <c r="R14" s="233">
        <f>+R13</f>
        <v>11</v>
      </c>
      <c r="S14" s="193">
        <f>+IF(Tabla25879012013584[[#This Row],[Equipment]]="","",Q14*R14/10^6)</f>
        <v>2.1893789416687723</v>
      </c>
      <c r="T14" s="587">
        <f t="shared" ca="1" si="0"/>
        <v>3.5338184513411299</v>
      </c>
      <c r="U14" s="104"/>
      <c r="V14" s="83"/>
      <c r="W14" s="83"/>
      <c r="X14" s="83"/>
      <c r="Y14" s="83"/>
      <c r="Z14" s="83"/>
      <c r="AA14" s="83"/>
      <c r="AB14" s="83"/>
      <c r="AC14" s="83"/>
      <c r="AD14" s="83"/>
      <c r="AE14" s="83"/>
      <c r="AF14" s="83"/>
      <c r="AG14" s="83"/>
      <c r="AH14" s="83"/>
      <c r="AI14" s="83"/>
      <c r="AJ14" s="83"/>
      <c r="AK14" s="83"/>
      <c r="AL14" s="83"/>
      <c r="AM14" s="83"/>
      <c r="AN14" s="83"/>
      <c r="AO14" s="104"/>
      <c r="AP14" s="83"/>
      <c r="AQ14" s="215"/>
      <c r="AR14" s="371"/>
    </row>
    <row r="15" spans="1:44" ht="16.25" customHeight="1" x14ac:dyDescent="0.2">
      <c r="A15" s="83"/>
      <c r="B15" s="103"/>
      <c r="C15" s="99" t="s">
        <v>183</v>
      </c>
      <c r="D15" s="208" t="s">
        <v>184</v>
      </c>
      <c r="E15" s="208" t="s">
        <v>185</v>
      </c>
      <c r="F15" s="152">
        <v>77.099999999999994</v>
      </c>
      <c r="G15" s="96">
        <v>35</v>
      </c>
      <c r="H15" s="96" t="s">
        <v>186</v>
      </c>
      <c r="I15" s="96" t="s">
        <v>182</v>
      </c>
      <c r="J15" s="96" t="str">
        <f>+IF(F15&gt;'Equipment Data'!$S$179,"yes","No")</f>
        <v>No</v>
      </c>
      <c r="K15" s="96">
        <v>0.67</v>
      </c>
      <c r="L15" s="96" t="s">
        <v>187</v>
      </c>
      <c r="M15" s="156">
        <f>+IF(AND(D15="Pump",E15="Centrifugal pump"),IF(F15&lt;'Equipment Data'!$S$179,10^('Equipment Data'!$C$179+'Equipment Data'!$D$179*LOG10(F15)+'Equipment Data'!$E$179*LOG10(F15)*LOG10(F15)),10^('Equipment Data'!$C$179+'Equipment Data'!$D$179*LOG10('Equipment Data'!$S$179)+'Equipment Data'!$E$179*LOG10('Equipment Data'!$S$179)*LOG10('Equipment Data'!$S$179))*(F15/'Equipment Data'!$S$179)^K15),"N/A")</f>
        <v>10915.005291300287</v>
      </c>
      <c r="N15" s="158">
        <f>+IF(G15-1.01325&gt;10,10^('Equipment Data'!$F$179+'Equipment Data'!$G$179*LOG10(G15-1.01325)+'Equipment Data'!$H$179*LOG10(G15-1.01325)*LOG10(G15-1.01325)),1)</f>
        <v>1.6111639225939316</v>
      </c>
      <c r="O15" s="96">
        <f>+IF(I15="Cl",'Equipment Data'!$K$179,IF(I15="CS",'Equipment Data'!$L$179,IF(I15="Cu",'Equipment Data'!$M$179,IF(I15="SS",'Equipment Data'!$N$179,IF(I15="Ni",'Equipment Data'!$O$179,IF(I15="Ti",'Equipment Data'!$P$179,"N/A"))))))</f>
        <v>1.55</v>
      </c>
      <c r="P15" s="96">
        <f>+'Equipment Data'!$I$179+'Equipment Data'!$J$179*O15*N15</f>
        <v>5.2613605080278019</v>
      </c>
      <c r="Q15" s="153">
        <f>+P15*M15</f>
        <v>57427.777784561826</v>
      </c>
      <c r="R15" s="97">
        <v>2</v>
      </c>
      <c r="S15" s="193">
        <f>+IF(Tabla25879012013584[[#This Row],[Equipment]]="","",Q15*R15/10^6)</f>
        <v>0.11485555556912365</v>
      </c>
      <c r="T15" s="587">
        <f t="shared" ca="1" si="0"/>
        <v>0.18538530438218237</v>
      </c>
      <c r="U15" s="104"/>
      <c r="V15" s="83"/>
      <c r="W15" s="83"/>
      <c r="X15" s="83"/>
      <c r="Y15" s="83"/>
      <c r="Z15" s="83"/>
      <c r="AA15" s="83"/>
      <c r="AB15" s="83"/>
      <c r="AC15" s="83"/>
      <c r="AD15" s="83"/>
      <c r="AE15" s="83"/>
      <c r="AF15" s="83"/>
      <c r="AG15" s="83"/>
      <c r="AH15" s="83"/>
      <c r="AI15" s="83"/>
      <c r="AJ15" s="83"/>
      <c r="AK15" s="83"/>
      <c r="AL15" s="83"/>
      <c r="AM15" s="83"/>
      <c r="AN15" s="83"/>
      <c r="AO15" s="104"/>
      <c r="AP15" s="83"/>
      <c r="AQ15" s="215"/>
      <c r="AR15" s="371"/>
    </row>
    <row r="16" spans="1:44" ht="16.25" customHeight="1" x14ac:dyDescent="0.2">
      <c r="A16" s="83"/>
      <c r="B16" s="103"/>
      <c r="C16" s="99" t="s">
        <v>188</v>
      </c>
      <c r="D16" s="208" t="s">
        <v>189</v>
      </c>
      <c r="E16" s="208" t="s">
        <v>190</v>
      </c>
      <c r="F16" s="96">
        <v>35290</v>
      </c>
      <c r="G16" s="96" t="s">
        <v>187</v>
      </c>
      <c r="H16" s="96" t="s">
        <v>186</v>
      </c>
      <c r="I16" s="96" t="s">
        <v>182</v>
      </c>
      <c r="J16" s="96" t="str">
        <f>+IF(F16&gt;'Equipment Data'!$J$19,"yes","No")</f>
        <v>yes</v>
      </c>
      <c r="K16" s="96">
        <v>0.67</v>
      </c>
      <c r="L16" s="96" t="s">
        <v>187</v>
      </c>
      <c r="M16" s="156">
        <f>+IF(AND(D16="Compressor",E16="Centrifugal"),IF(F16&lt;'Equipment Data'!$J$19,10^('Equipment Data'!$C$19+'Equipment Data'!$D$19*LOG10(F16)+'Equipment Data'!$E$19*LOG10(F16)*LOG10(F16)),10^('Equipment Data'!$C$19+'Equipment Data'!$D$19*LOG10('Equipment Data'!$J$19)+'Equipment Data'!$E$19*LOG10('Equipment Data'!$J$19)*LOG10('Equipment Data'!$J$19))*(F16/'Equipment Data'!$J$19)^K16),"N/A")</f>
        <v>3125718.7531498326</v>
      </c>
      <c r="N16" s="96" t="s">
        <v>187</v>
      </c>
      <c r="O16" s="158" t="s">
        <v>187</v>
      </c>
      <c r="P16" s="152">
        <f>+IF(I16="CS",'Equipment Data'!$F$19,IF(I16="SS",'Equipment Data'!$G$19,IF(I16="Ni",'Equipment Data'!$H$19,"N/A")))</f>
        <v>2.74</v>
      </c>
      <c r="Q16" s="153">
        <f t="shared" ref="Q16:Q17" si="1">+M16*P16</f>
        <v>8564469.3836305421</v>
      </c>
      <c r="R16" s="97">
        <v>1</v>
      </c>
      <c r="S16" s="193">
        <f>+IF(Tabla25879012013584[[#This Row],[Equipment]]="","",Q16*R16/10^6)</f>
        <v>8.5644693836305414</v>
      </c>
      <c r="T16" s="587">
        <f t="shared" ca="1" si="0"/>
        <v>13.82368276126344</v>
      </c>
      <c r="U16" s="104"/>
      <c r="V16" s="83"/>
      <c r="W16" s="83"/>
      <c r="X16" s="83"/>
      <c r="Y16" s="83"/>
      <c r="Z16" s="83"/>
      <c r="AA16" s="83"/>
      <c r="AB16" s="83"/>
      <c r="AC16" s="83"/>
      <c r="AD16" s="83"/>
      <c r="AE16" s="83"/>
      <c r="AF16" s="83"/>
      <c r="AG16" s="83"/>
      <c r="AH16" s="83"/>
      <c r="AI16" s="83"/>
      <c r="AJ16" s="83"/>
      <c r="AK16" s="83"/>
      <c r="AL16" s="83"/>
      <c r="AM16" s="83"/>
      <c r="AN16" s="83"/>
      <c r="AO16" s="104"/>
      <c r="AP16" s="83"/>
      <c r="AQ16" s="215"/>
      <c r="AR16" s="371"/>
    </row>
    <row r="17" spans="1:44" ht="16.25" customHeight="1" x14ac:dyDescent="0.2">
      <c r="A17" s="83"/>
      <c r="B17" s="103"/>
      <c r="C17" s="99" t="s">
        <v>191</v>
      </c>
      <c r="D17" s="208" t="s">
        <v>192</v>
      </c>
      <c r="E17" s="208" t="s">
        <v>193</v>
      </c>
      <c r="F17" s="96">
        <f>+F16</f>
        <v>35290</v>
      </c>
      <c r="G17" s="96" t="s">
        <v>187</v>
      </c>
      <c r="H17" s="96" t="s">
        <v>186</v>
      </c>
      <c r="I17" s="96" t="s">
        <v>187</v>
      </c>
      <c r="J17" s="96" t="str">
        <f>+IF(F17&gt;'Equipment Data'!$H$40,"yes","No")</f>
        <v>yes</v>
      </c>
      <c r="K17" s="96">
        <v>0.67</v>
      </c>
      <c r="L17" s="96" t="s">
        <v>187</v>
      </c>
      <c r="M17" s="156">
        <f>+IF(AND(D17="Drive",E17="Explosion Proof"),IF(F17&lt;'Equipment Data'!$H$40,10^('Equipment Data'!$C$40+'Equipment Data'!$D$40*LOG10(F17)+'Equipment Data'!$E$40*LOG10(F17)*LOG10(F17)),10^('Equipment Data'!$C$40+LOG10('Equipment Data'!$H$40)*'Equipment Data'!$D$40+'Equipment Data'!$E$40*LOG10('Equipment Data'!$H$40)*LOG10('Equipment Data'!$H$40))*(F17/'Equipment Data'!$H$40)^K17),"N/A")</f>
        <v>930353.12456966529</v>
      </c>
      <c r="N17" s="96" t="s">
        <v>187</v>
      </c>
      <c r="O17" s="96" t="s">
        <v>187</v>
      </c>
      <c r="P17" s="152">
        <f>+'Equipment Data'!$F$40</f>
        <v>1.5</v>
      </c>
      <c r="Q17" s="153">
        <f t="shared" si="1"/>
        <v>1395529.686854498</v>
      </c>
      <c r="R17" s="97">
        <v>1</v>
      </c>
      <c r="S17" s="193">
        <f>+IF(Tabla25879012013584[[#This Row],[Equipment]]="","",Q17*R17/10^6)</f>
        <v>1.395529686854498</v>
      </c>
      <c r="T17" s="587">
        <f t="shared" ca="1" si="0"/>
        <v>2.2524874351088102</v>
      </c>
      <c r="U17" s="104"/>
      <c r="V17" s="83"/>
      <c r="W17" s="83"/>
      <c r="X17" s="83"/>
      <c r="Y17" s="83"/>
      <c r="Z17" s="83"/>
      <c r="AA17" s="83"/>
      <c r="AB17" s="83"/>
      <c r="AC17" s="83"/>
      <c r="AD17" s="83"/>
      <c r="AE17" s="83"/>
      <c r="AF17" s="83"/>
      <c r="AG17" s="83"/>
      <c r="AH17" s="83"/>
      <c r="AI17" s="83"/>
      <c r="AJ17" s="83"/>
      <c r="AK17" s="83"/>
      <c r="AL17" s="83"/>
      <c r="AM17" s="83"/>
      <c r="AN17" s="83"/>
      <c r="AO17" s="104"/>
      <c r="AP17" s="83"/>
      <c r="AQ17" s="215"/>
      <c r="AR17" s="371"/>
    </row>
    <row r="18" spans="1:44" ht="16.25" customHeight="1" x14ac:dyDescent="0.2">
      <c r="A18" s="83"/>
      <c r="B18" s="103"/>
      <c r="C18" s="99" t="str">
        <f>+AA38</f>
        <v>E-101</v>
      </c>
      <c r="D18" s="208" t="s">
        <v>194</v>
      </c>
      <c r="E18" s="208" t="s">
        <v>195</v>
      </c>
      <c r="F18" s="96">
        <f>+AB38*1000/3600/AH38</f>
        <v>3745.2407521008327</v>
      </c>
      <c r="G18" s="96">
        <f>+AF38</f>
        <v>32</v>
      </c>
      <c r="H18" s="96" t="s">
        <v>196</v>
      </c>
      <c r="I18" s="96" t="s">
        <v>197</v>
      </c>
      <c r="J18" s="96" t="str">
        <f>+IF(F18&gt;'Equipment Data'!$L$126,"yes","No")</f>
        <v>yes</v>
      </c>
      <c r="K18" s="96">
        <v>0.67</v>
      </c>
      <c r="L18" s="96" t="s">
        <v>198</v>
      </c>
      <c r="M18" s="156">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186436.70809517725</v>
      </c>
      <c r="N18" s="152">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1.128969769016654</v>
      </c>
      <c r="O18" s="96">
        <f>+IF(I18="CS/CS",'Equipment Data'!$C$149,IF(I18="CS/Cu",'Equipment Data'!$D$149,IF(I18="Cu/Cu",'Equipment Data'!$E$149,IF(I18="CS/SS",'Equipment Data'!$F$149,IF(I18="SS/SS",'Equipment Data'!$G$149,IF(I18="CS/Ni",'Equipment Data'!$H$149,IF(I18="Ni/Ni",'Equipment Data'!$I$149,IF(I18="CS/Ti",'Equipment Data'!$J$149,IF(I18="Ti/Ti",'Equipment Data'!$K$149,"N/A")))))))))</f>
        <v>3.73</v>
      </c>
      <c r="P18" s="152">
        <f>+'Equipment Data'!$I$126+'Equipment Data'!$J$126*N18*O18</f>
        <v>8.620355015797319</v>
      </c>
      <c r="Q18" s="153">
        <f t="shared" ref="Q18:Q22" si="2">+M18*P18</f>
        <v>1607150.6117570018</v>
      </c>
      <c r="R18" s="193">
        <f>+AI38</f>
        <v>1.5</v>
      </c>
      <c r="S18" s="193">
        <f>+IF(Tabla25879012013584[[#This Row],[Equipment]]="","",Q18*R18/10^6)</f>
        <v>2.4107259176355029</v>
      </c>
      <c r="T18" s="587">
        <f t="shared" ca="1" si="0"/>
        <v>3.8910887314798401</v>
      </c>
      <c r="U18" s="104"/>
      <c r="V18" s="83"/>
      <c r="W18" s="83"/>
      <c r="X18" s="83"/>
      <c r="Y18" s="83"/>
      <c r="Z18" s="83"/>
      <c r="AA18" s="83"/>
      <c r="AB18" s="83"/>
      <c r="AC18" s="83"/>
      <c r="AD18" s="83"/>
      <c r="AE18" s="83"/>
      <c r="AF18" s="83"/>
      <c r="AG18" s="83"/>
      <c r="AH18" s="83"/>
      <c r="AI18" s="83"/>
      <c r="AJ18" s="83"/>
      <c r="AK18" s="83"/>
      <c r="AL18" s="83"/>
      <c r="AM18" s="83"/>
      <c r="AN18" s="83"/>
      <c r="AO18" s="104"/>
      <c r="AP18" s="83"/>
      <c r="AQ18" s="215"/>
      <c r="AR18" s="371"/>
    </row>
    <row r="19" spans="1:44" ht="16.25" customHeight="1" x14ac:dyDescent="0.2">
      <c r="A19" s="83"/>
      <c r="B19" s="103"/>
      <c r="C19" s="99" t="str">
        <f t="shared" ref="C19:C22" si="3">+AA39</f>
        <v>E-102</v>
      </c>
      <c r="D19" s="208" t="s">
        <v>194</v>
      </c>
      <c r="E19" s="208" t="s">
        <v>195</v>
      </c>
      <c r="F19" s="96">
        <f t="shared" ref="F19:F22" si="4">+AB39*1000/3600/AH39</f>
        <v>2213.4947583126427</v>
      </c>
      <c r="G19" s="96">
        <f t="shared" ref="G19:G22" si="5">+AF39</f>
        <v>32</v>
      </c>
      <c r="H19" s="96" t="s">
        <v>196</v>
      </c>
      <c r="I19" s="96" t="s">
        <v>199</v>
      </c>
      <c r="J19" s="96" t="str">
        <f>+IF(F19&gt;'Equipment Data'!$L$126,"yes","No")</f>
        <v>yes</v>
      </c>
      <c r="K19" s="96">
        <v>0.67</v>
      </c>
      <c r="L19" s="96" t="s">
        <v>198</v>
      </c>
      <c r="M19" s="156">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131069.78697505762</v>
      </c>
      <c r="N19" s="152">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1.128969769016654</v>
      </c>
      <c r="O19" s="96">
        <f>+IF(I19="CS/CS",'Equipment Data'!$C$149,IF(I19="CS/Cu",'Equipment Data'!$D$149,IF(I19="Cu/Cu",'Equipment Data'!$E$149,IF(I19="CS/SS",'Equipment Data'!$F$149,IF(I19="SS/SS",'Equipment Data'!$G$149,IF(I19="CS/Ni",'Equipment Data'!$H$149,IF(I19="Ni/Ni",'Equipment Data'!$I$149,IF(I19="CS/Ti",'Equipment Data'!$J$149,IF(I19="Ti/Ti",'Equipment Data'!$K$149,"N/A")))))))))</f>
        <v>2.73</v>
      </c>
      <c r="P19" s="152">
        <f>+'Equipment Data'!$I$126+'Equipment Data'!$J$126*N19*O19</f>
        <v>6.746265199229672</v>
      </c>
      <c r="Q19" s="153">
        <f t="shared" si="2"/>
        <v>884231.54254027782</v>
      </c>
      <c r="R19" s="97">
        <v>1</v>
      </c>
      <c r="S19" s="193">
        <f>+IF(Tabla25879012013584[[#This Row],[Equipment]]="","",Q19*R19/10^6)</f>
        <v>0.8842315425402778</v>
      </c>
      <c r="T19" s="587">
        <f t="shared" ca="1" si="0"/>
        <v>1.4272146684232594</v>
      </c>
      <c r="U19" s="104"/>
      <c r="V19" s="83"/>
      <c r="W19" s="83"/>
      <c r="X19" s="83"/>
      <c r="Y19" s="83"/>
      <c r="Z19" s="83"/>
      <c r="AA19" s="83"/>
      <c r="AB19" s="83"/>
      <c r="AC19" s="83"/>
      <c r="AD19" s="83"/>
      <c r="AE19" s="83"/>
      <c r="AF19" s="83"/>
      <c r="AG19" s="83"/>
      <c r="AH19" s="83"/>
      <c r="AI19" s="83"/>
      <c r="AJ19" s="83"/>
      <c r="AK19" s="83"/>
      <c r="AL19" s="83"/>
      <c r="AM19" s="83"/>
      <c r="AN19" s="83"/>
      <c r="AO19" s="104"/>
      <c r="AP19" s="83"/>
      <c r="AQ19" s="215"/>
      <c r="AR19" s="371"/>
    </row>
    <row r="20" spans="1:44" ht="16.25" customHeight="1" x14ac:dyDescent="0.2">
      <c r="A20" s="83"/>
      <c r="B20" s="103"/>
      <c r="C20" s="99" t="str">
        <f t="shared" si="3"/>
        <v>E-103</v>
      </c>
      <c r="D20" s="208" t="s">
        <v>194</v>
      </c>
      <c r="E20" s="208" t="s">
        <v>195</v>
      </c>
      <c r="F20" s="96">
        <f t="shared" si="4"/>
        <v>3918.9784356647251</v>
      </c>
      <c r="G20" s="96">
        <f t="shared" si="5"/>
        <v>32</v>
      </c>
      <c r="H20" s="96" t="s">
        <v>196</v>
      </c>
      <c r="I20" s="96" t="s">
        <v>199</v>
      </c>
      <c r="J20" s="96" t="str">
        <f>+IF(F20&gt;'Equipment Data'!$L$126,"yes","No")</f>
        <v>yes</v>
      </c>
      <c r="K20" s="96">
        <v>0.67</v>
      </c>
      <c r="L20" s="96" t="s">
        <v>198</v>
      </c>
      <c r="M20" s="156">
        <f>+IF(AND(D20="Heat Exchanger",E20="Fixed tube, sheet, or U tube"),IF(F20&lt;'Equipment Data'!$L$126,10^('Equipment Data'!$C$126+'Equipment Data'!$D$126*LOG10(F20)+'Equipment Data'!$E$126*LOG10(F20)*LOG10(F20)),10^('Equipment Data'!$C$126+'Equipment Data'!$D$126*LOG10('Equipment Data'!$L$126)+'Equipment Data'!$E$126*LOG10('Equipment Data'!$L$126)*LOG10('Equipment Data'!$L$126))*(F20/'Equipment Data'!$L$126)^K20),"N/A")</f>
        <v>192187.80444406663</v>
      </c>
      <c r="N20" s="152">
        <f>+IF(L20="","Input: shell and tube / tube only",IF(L20="shell and tube",IF(G20-1&gt;5,10^('Equipment Data'!$F$126+'Equipment Data'!$G$126*LOG10(G20-1.01325)+'Equipment Data'!$H$126*LOG10(G20-1.01325)*LOG10(G20-1.01325)),1),IF(G20-1.01325&gt;5,10^('Equipment Data'!$F$127+'Equipment Data'!$G$127*LOG10(G20-1.01325)+'Equipment Data'!$H$127*LOG10(G20-1.01325)*LOG10(G20-1.01325)),1)))</f>
        <v>1.128969769016654</v>
      </c>
      <c r="O20" s="96">
        <f>+IF(I20="CS/CS",'Equipment Data'!$C$149,IF(I20="CS/Cu",'Equipment Data'!$D$149,IF(I20="Cu/Cu",'Equipment Data'!$E$149,IF(I20="CS/SS",'Equipment Data'!$F$149,IF(I20="SS/SS",'Equipment Data'!$G$149,IF(I20="CS/Ni",'Equipment Data'!$H$149,IF(I20="Ni/Ni",'Equipment Data'!$I$149,IF(I20="CS/Ti",'Equipment Data'!$J$149,IF(I20="Ti/Ti",'Equipment Data'!$K$149,"N/A")))))))))</f>
        <v>2.73</v>
      </c>
      <c r="P20" s="152">
        <f>+'Equipment Data'!$I$126+'Equipment Data'!$J$126*N20*O20</f>
        <v>6.746265199229672</v>
      </c>
      <c r="Q20" s="153">
        <f t="shared" si="2"/>
        <v>1296549.8968373644</v>
      </c>
      <c r="R20" s="97">
        <v>1</v>
      </c>
      <c r="S20" s="193">
        <f>+IF(Tabla25879012013584[[#This Row],[Equipment]]="","",Q20*R20/10^6)</f>
        <v>1.2965498968373643</v>
      </c>
      <c r="T20" s="587">
        <f t="shared" ca="1" si="0"/>
        <v>2.0927267826171891</v>
      </c>
      <c r="U20" s="104"/>
      <c r="V20" s="83"/>
      <c r="W20" s="83"/>
      <c r="X20" s="83"/>
      <c r="Y20" s="83"/>
      <c r="Z20" s="83"/>
      <c r="AA20" s="83"/>
      <c r="AB20" s="83"/>
      <c r="AC20" s="83"/>
      <c r="AD20" s="83"/>
      <c r="AE20" s="83"/>
      <c r="AF20" s="83"/>
      <c r="AG20" s="83"/>
      <c r="AH20" s="83"/>
      <c r="AI20" s="83"/>
      <c r="AJ20" s="83"/>
      <c r="AK20" s="83"/>
      <c r="AL20" s="83"/>
      <c r="AM20" s="83"/>
      <c r="AN20" s="83"/>
      <c r="AO20" s="104"/>
      <c r="AP20" s="83"/>
      <c r="AQ20" s="215"/>
      <c r="AR20" s="371"/>
    </row>
    <row r="21" spans="1:44" ht="16.25" customHeight="1" x14ac:dyDescent="0.2">
      <c r="A21" s="83"/>
      <c r="B21" s="103"/>
      <c r="C21" s="99" t="str">
        <f t="shared" si="3"/>
        <v>E-104</v>
      </c>
      <c r="D21" s="208" t="s">
        <v>194</v>
      </c>
      <c r="E21" s="208" t="s">
        <v>195</v>
      </c>
      <c r="F21" s="96">
        <f t="shared" si="4"/>
        <v>5624.5046559452276</v>
      </c>
      <c r="G21" s="96">
        <f t="shared" si="5"/>
        <v>32</v>
      </c>
      <c r="H21" s="96" t="s">
        <v>196</v>
      </c>
      <c r="I21" s="96" t="s">
        <v>197</v>
      </c>
      <c r="J21" s="96" t="str">
        <f>+IF(F21&gt;'Equipment Data'!$L$126,"yes","No")</f>
        <v>yes</v>
      </c>
      <c r="K21" s="96">
        <v>0.67</v>
      </c>
      <c r="L21" s="96" t="s">
        <v>198</v>
      </c>
      <c r="M21" s="156">
        <f>+IF(AND(D21="Heat Exchanger",E21="Fixed tube, sheet, or U tube"),IF(F21&lt;'Equipment Data'!$L$126,10^('Equipment Data'!$C$126+'Equipment Data'!$D$126*LOG10(F21)+'Equipment Data'!$E$126*LOG10(F21)*LOG10(F21)),10^('Equipment Data'!$C$126+'Equipment Data'!$D$126*LOG10('Equipment Data'!$L$126)+'Equipment Data'!$E$126*LOG10('Equipment Data'!$L$126)*LOG10('Equipment Data'!$L$126))*(F21/'Equipment Data'!$L$126)^K21),"N/A")</f>
        <v>244825.3973389804</v>
      </c>
      <c r="N21" s="152">
        <f>+IF(L21="","Input: shell and tube / tube only",IF(L21="shell and tube",IF(G21-1&gt;5,10^('Equipment Data'!$F$126+'Equipment Data'!$G$126*LOG10(G21-1.01325)+'Equipment Data'!$H$126*LOG10(G21-1.01325)*LOG10(G21-1.01325)),1),IF(G21-1.01325&gt;5,10^('Equipment Data'!$F$127+'Equipment Data'!$G$127*LOG10(G21-1.01325)+'Equipment Data'!$H$127*LOG10(G21-1.01325)*LOG10(G21-1.01325)),1)))</f>
        <v>1.128969769016654</v>
      </c>
      <c r="O21" s="96">
        <f>+IF(I21="CS/CS",'Equipment Data'!$C$149,IF(I21="CS/Cu",'Equipment Data'!$D$149,IF(I21="Cu/Cu",'Equipment Data'!$E$149,IF(I21="CS/SS",'Equipment Data'!$F$149,IF(I21="SS/SS",'Equipment Data'!$G$149,IF(I21="CS/Ni",'Equipment Data'!$H$149,IF(I21="Ni/Ni",'Equipment Data'!$I$149,IF(I21="CS/Ti",'Equipment Data'!$J$149,IF(I21="Ti/Ti",'Equipment Data'!$K$149,"N/A")))))))))</f>
        <v>3.73</v>
      </c>
      <c r="P21" s="152">
        <f>+'Equipment Data'!$I$126+'Equipment Data'!$J$126*N21*O21</f>
        <v>8.620355015797319</v>
      </c>
      <c r="Q21" s="153">
        <f t="shared" si="2"/>
        <v>2110481.8419456515</v>
      </c>
      <c r="R21" s="97">
        <v>1</v>
      </c>
      <c r="S21" s="193">
        <f>+IF(Tabla25879012013584[[#This Row],[Equipment]]="","",Q21*R21/10^6)</f>
        <v>2.1104818419456515</v>
      </c>
      <c r="T21" s="587">
        <f t="shared" ca="1" si="0"/>
        <v>3.4064727363292029</v>
      </c>
      <c r="U21" s="104"/>
      <c r="V21" s="83"/>
      <c r="W21" s="83"/>
      <c r="X21" s="83"/>
      <c r="Y21" s="83"/>
      <c r="Z21" s="83"/>
      <c r="AA21" s="83"/>
      <c r="AB21" s="83"/>
      <c r="AC21" s="83"/>
      <c r="AD21" s="83"/>
      <c r="AE21" s="83"/>
      <c r="AF21" s="83"/>
      <c r="AG21" s="83"/>
      <c r="AH21" s="83"/>
      <c r="AI21" s="83"/>
      <c r="AJ21" s="83"/>
      <c r="AK21" s="83"/>
      <c r="AL21" s="83"/>
      <c r="AM21" s="83"/>
      <c r="AN21" s="83"/>
      <c r="AO21" s="104"/>
      <c r="AP21" s="83"/>
      <c r="AQ21" s="215"/>
      <c r="AR21" s="371"/>
    </row>
    <row r="22" spans="1:44" ht="16.25" customHeight="1" x14ac:dyDescent="0.2">
      <c r="A22" s="83"/>
      <c r="B22" s="103"/>
      <c r="C22" s="99" t="str">
        <f t="shared" si="3"/>
        <v>E-105</v>
      </c>
      <c r="D22" s="208" t="s">
        <v>194</v>
      </c>
      <c r="E22" s="208" t="s">
        <v>195</v>
      </c>
      <c r="F22" s="96">
        <f t="shared" si="4"/>
        <v>1475.9683410929028</v>
      </c>
      <c r="G22" s="96">
        <f t="shared" si="5"/>
        <v>32.200000000000003</v>
      </c>
      <c r="H22" s="96" t="s">
        <v>196</v>
      </c>
      <c r="I22" s="96" t="s">
        <v>199</v>
      </c>
      <c r="J22" s="96" t="str">
        <f>+IF(F22&gt;'Equipment Data'!$L$126,"yes","No")</f>
        <v>yes</v>
      </c>
      <c r="K22" s="96">
        <v>0.67</v>
      </c>
      <c r="L22" s="96" t="s">
        <v>198</v>
      </c>
      <c r="M22" s="156">
        <f>+IF(AND(D22="Heat Exchanger",E22="Fixed tube, sheet, or U tube"),IF(F22&lt;'Equipment Data'!$L$126,10^('Equipment Data'!$C$126+'Equipment Data'!$D$126*LOG10(F22)+'Equipment Data'!$E$126*LOG10(F22)*LOG10(F22)),10^('Equipment Data'!$C$126+'Equipment Data'!$D$126*LOG10('Equipment Data'!$L$126)+'Equipment Data'!$E$126*LOG10('Equipment Data'!$L$126)*LOG10('Equipment Data'!$L$126))*(F22/'Equipment Data'!$L$126)^K22),"N/A")</f>
        <v>99903.710428067716</v>
      </c>
      <c r="N22" s="152">
        <f>+IF(L22="","Input: shell and tube / tube only",IF(L22="shell and tube",IF(G22-1&gt;5,10^('Equipment Data'!$F$126+'Equipment Data'!$G$126*LOG10(G22-1.01325)+'Equipment Data'!$H$126*LOG10(G22-1.01325)*LOG10(G22-1.01325)),1),IF(G22-1.01325&gt;5,10^('Equipment Data'!$F$127+'Equipment Data'!$G$127*LOG10(G22-1.01325)+'Equipment Data'!$H$127*LOG10(G22-1.01325)*LOG10(G22-1.01325)),1)))</f>
        <v>1.129925703273289</v>
      </c>
      <c r="O22" s="96">
        <f>+IF(I22="CS/CS",'Equipment Data'!$C$149,IF(I22="CS/Cu",'Equipment Data'!$D$149,IF(I22="Cu/Cu",'Equipment Data'!$E$149,IF(I22="CS/SS",'Equipment Data'!$F$149,IF(I22="SS/SS",'Equipment Data'!$G$149,IF(I22="CS/Ni",'Equipment Data'!$H$149,IF(I22="Ni/Ni",'Equipment Data'!$I$149,IF(I22="CS/Ti",'Equipment Data'!$J$149,IF(I22="Ti/Ti",'Equipment Data'!$K$149,"N/A")))))))))</f>
        <v>2.73</v>
      </c>
      <c r="P22" s="152">
        <f>+'Equipment Data'!$I$126+'Equipment Data'!$J$126*N22*O22</f>
        <v>6.7505973020938903</v>
      </c>
      <c r="Q22" s="153">
        <f t="shared" si="2"/>
        <v>674409.71808488318</v>
      </c>
      <c r="R22" s="97">
        <v>1</v>
      </c>
      <c r="S22" s="193">
        <f>+IF(Tabla25879012013584[[#This Row],[Equipment]]="","",Q22*R22/10^6)</f>
        <v>0.67440971808488315</v>
      </c>
      <c r="T22" s="587">
        <f t="shared" ca="1" si="0"/>
        <v>1.0885468295020657</v>
      </c>
      <c r="U22" s="104"/>
      <c r="V22" s="83"/>
      <c r="W22" s="83"/>
      <c r="X22" s="83"/>
      <c r="Y22" s="83"/>
      <c r="Z22" s="83"/>
      <c r="AA22" s="83"/>
      <c r="AB22" s="83"/>
      <c r="AC22" s="83"/>
      <c r="AD22" s="83"/>
      <c r="AE22" s="83"/>
      <c r="AF22" s="83"/>
      <c r="AG22" s="83"/>
      <c r="AH22" s="83"/>
      <c r="AI22" s="83"/>
      <c r="AJ22" s="83"/>
      <c r="AK22" s="83"/>
      <c r="AL22" s="83"/>
      <c r="AM22" s="83"/>
      <c r="AN22" s="83"/>
      <c r="AO22" s="104"/>
      <c r="AP22" s="83"/>
      <c r="AQ22" s="215"/>
      <c r="AR22" s="371"/>
    </row>
    <row r="23" spans="1:44" ht="16.25" customHeight="1" x14ac:dyDescent="0.2">
      <c r="A23" s="83"/>
      <c r="B23" s="103"/>
      <c r="C23" s="99"/>
      <c r="D23" s="208"/>
      <c r="E23" s="208"/>
      <c r="F23" s="158"/>
      <c r="G23" s="96"/>
      <c r="H23" s="395" t="str">
        <f>IF(Tabla27889112113685[[#This Row],[Subtype]]="","",VLOOKUP(Tabla27889112113685[[#This Row],[Subtype]],'Unit-X00 Equipment'!$E$13:$H$107,4,FALSE))</f>
        <v/>
      </c>
      <c r="I23" s="96"/>
      <c r="J23" s="96"/>
      <c r="K23" s="96"/>
      <c r="L23" s="96"/>
      <c r="M23" s="234"/>
      <c r="N23" s="158"/>
      <c r="O23" s="158"/>
      <c r="P23" s="158"/>
      <c r="Q23" s="158"/>
      <c r="R23" s="97"/>
      <c r="S23" s="193" t="str">
        <f>+IF(Tabla25879012013584[[#This Row],[Equipment]]="","",Q23*R23/10^6)</f>
        <v/>
      </c>
      <c r="T23" s="587"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15"/>
      <c r="AR23" s="371"/>
    </row>
    <row r="24" spans="1:44" ht="16.25" customHeight="1" x14ac:dyDescent="0.2">
      <c r="A24" s="83"/>
      <c r="B24" s="103"/>
      <c r="C24" s="99"/>
      <c r="D24" s="208"/>
      <c r="E24" s="208"/>
      <c r="F24" s="158"/>
      <c r="G24" s="158"/>
      <c r="H24" s="395" t="str">
        <f>IF(Tabla27889112113685[[#This Row],[Subtype]]="","",VLOOKUP(Tabla27889112113685[[#This Row],[Subtype]],'Unit-X00 Equipment'!$E$13:$H$107,4,FALSE))</f>
        <v/>
      </c>
      <c r="I24" s="96"/>
      <c r="J24" s="96"/>
      <c r="K24" s="96"/>
      <c r="L24" s="96"/>
      <c r="M24" s="234"/>
      <c r="N24" s="158"/>
      <c r="O24" s="158"/>
      <c r="P24" s="158"/>
      <c r="Q24" s="158"/>
      <c r="R24" s="97"/>
      <c r="S24" s="193" t="str">
        <f>+IF(Tabla25879012013584[[#This Row],[Equipment]]="","",Q24*R24/10^6)</f>
        <v/>
      </c>
      <c r="T24" s="587"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15"/>
      <c r="AR24" s="371"/>
    </row>
    <row r="25" spans="1:44" ht="16.25" customHeight="1" x14ac:dyDescent="0.2">
      <c r="A25" s="83"/>
      <c r="B25" s="103"/>
      <c r="C25" s="99"/>
      <c r="D25" s="208"/>
      <c r="E25" s="208"/>
      <c r="F25" s="158"/>
      <c r="G25" s="158"/>
      <c r="H25" s="395" t="str">
        <f>IF(Tabla27889112113685[[#This Row],[Subtype]]="","",VLOOKUP(Tabla27889112113685[[#This Row],[Subtype]],'Unit-X00 Equipment'!$E$13:$H$107,4,FALSE))</f>
        <v/>
      </c>
      <c r="I25" s="96"/>
      <c r="J25" s="96"/>
      <c r="K25" s="96"/>
      <c r="L25" s="96"/>
      <c r="M25" s="234"/>
      <c r="N25" s="158"/>
      <c r="O25" s="158"/>
      <c r="P25" s="158"/>
      <c r="Q25" s="158"/>
      <c r="R25" s="97"/>
      <c r="S25" s="193" t="str">
        <f>+IF(Tabla25879012013584[[#This Row],[Equipment]]="","",Q25*R25/10^6)</f>
        <v/>
      </c>
      <c r="T25" s="587"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15"/>
      <c r="AR25" s="371"/>
    </row>
    <row r="26" spans="1:44" ht="16.25" customHeight="1" x14ac:dyDescent="0.2">
      <c r="A26" s="83"/>
      <c r="B26" s="103"/>
      <c r="C26" s="99"/>
      <c r="D26" s="208"/>
      <c r="E26" s="208"/>
      <c r="F26" s="158"/>
      <c r="G26" s="158"/>
      <c r="H26" s="395" t="str">
        <f>IF(Tabla27889112113685[[#This Row],[Subtype]]="","",VLOOKUP(Tabla27889112113685[[#This Row],[Subtype]],'Unit-X00 Equipment'!$E$13:$H$107,4,FALSE))</f>
        <v/>
      </c>
      <c r="I26" s="96"/>
      <c r="J26" s="96"/>
      <c r="K26" s="96"/>
      <c r="L26" s="96"/>
      <c r="M26" s="234"/>
      <c r="N26" s="158"/>
      <c r="O26" s="158"/>
      <c r="P26" s="158"/>
      <c r="Q26" s="158"/>
      <c r="R26" s="97"/>
      <c r="S26" s="193" t="str">
        <f>+IF(Tabla25879012013584[[#This Row],[Equipment]]="","",Q26*R26/10^6)</f>
        <v/>
      </c>
      <c r="T26" s="587"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15"/>
      <c r="AR26" s="371"/>
    </row>
    <row r="27" spans="1:44" ht="16.25" customHeight="1" x14ac:dyDescent="0.2">
      <c r="A27" s="83"/>
      <c r="B27" s="103"/>
      <c r="C27" s="99"/>
      <c r="D27" s="208"/>
      <c r="E27" s="208"/>
      <c r="F27" s="158"/>
      <c r="G27" s="158"/>
      <c r="H27" s="395" t="str">
        <f>IF(Tabla27889112113685[[#This Row],[Subtype]]="","",VLOOKUP(Tabla27889112113685[[#This Row],[Subtype]],'Unit-X00 Equipment'!$E$13:$H$107,4,FALSE))</f>
        <v/>
      </c>
      <c r="I27" s="96"/>
      <c r="J27" s="96"/>
      <c r="K27" s="96"/>
      <c r="L27" s="96"/>
      <c r="M27" s="234"/>
      <c r="N27" s="158"/>
      <c r="O27" s="158"/>
      <c r="P27" s="158"/>
      <c r="Q27" s="158"/>
      <c r="R27" s="97"/>
      <c r="S27" s="193" t="str">
        <f>+IF(Tabla25879012013584[[#This Row],[Equipment]]="","",Q27*R27/10^6)</f>
        <v/>
      </c>
      <c r="T27" s="587"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15"/>
      <c r="AR27" s="371"/>
    </row>
    <row r="28" spans="1:44" ht="16.25" customHeight="1" x14ac:dyDescent="0.2">
      <c r="A28" s="83"/>
      <c r="B28" s="103"/>
      <c r="C28" s="99"/>
      <c r="D28" s="208"/>
      <c r="E28" s="208"/>
      <c r="F28" s="158"/>
      <c r="G28" s="158"/>
      <c r="H28" s="395" t="str">
        <f>IF(Tabla27889112113685[[#This Row],[Subtype]]="","",VLOOKUP(Tabla27889112113685[[#This Row],[Subtype]],'Unit-X00 Equipment'!$E$13:$H$107,4,FALSE))</f>
        <v/>
      </c>
      <c r="I28" s="96"/>
      <c r="J28" s="96"/>
      <c r="K28" s="96"/>
      <c r="L28" s="96"/>
      <c r="M28" s="234"/>
      <c r="N28" s="158"/>
      <c r="O28" s="158"/>
      <c r="P28" s="158"/>
      <c r="Q28" s="158"/>
      <c r="R28" s="97"/>
      <c r="S28" s="193" t="str">
        <f>+IF(Tabla25879012013584[[#This Row],[Equipment]]="","",Q28*R28/10^6)</f>
        <v/>
      </c>
      <c r="T28" s="587"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15"/>
      <c r="AR28" s="371"/>
    </row>
    <row r="29" spans="1:44" ht="16.25" customHeight="1" x14ac:dyDescent="0.2">
      <c r="A29" s="83"/>
      <c r="B29" s="103"/>
      <c r="C29" s="99"/>
      <c r="D29" s="208"/>
      <c r="E29" s="208"/>
      <c r="F29" s="158"/>
      <c r="G29" s="158"/>
      <c r="H29" s="395" t="str">
        <f>IF(Tabla27889112113685[[#This Row],[Subtype]]="","",VLOOKUP(Tabla27889112113685[[#This Row],[Subtype]],'Unit-X00 Equipment'!$E$13:$H$107,4,FALSE))</f>
        <v/>
      </c>
      <c r="I29" s="96"/>
      <c r="J29" s="96"/>
      <c r="K29" s="96"/>
      <c r="L29" s="96"/>
      <c r="M29" s="234"/>
      <c r="N29" s="158"/>
      <c r="O29" s="158"/>
      <c r="P29" s="158"/>
      <c r="Q29" s="158"/>
      <c r="R29" s="97"/>
      <c r="S29" s="193" t="str">
        <f>+IF(Tabla25879012013584[[#This Row],[Equipment]]="","",Q29*R29/10^6)</f>
        <v/>
      </c>
      <c r="T29" s="587"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15"/>
      <c r="AR29" s="371"/>
    </row>
    <row r="30" spans="1:44" ht="16.25" customHeight="1" x14ac:dyDescent="0.2">
      <c r="A30" s="83"/>
      <c r="B30" s="103"/>
      <c r="C30" s="99"/>
      <c r="D30" s="208"/>
      <c r="E30" s="208"/>
      <c r="F30" s="158"/>
      <c r="G30" s="158"/>
      <c r="H30" s="395" t="str">
        <f>IF(Tabla27889112113685[[#This Row],[Subtype]]="","",VLOOKUP(Tabla27889112113685[[#This Row],[Subtype]],'Unit-X00 Equipment'!$E$13:$H$107,4,FALSE))</f>
        <v/>
      </c>
      <c r="I30" s="96"/>
      <c r="J30" s="96"/>
      <c r="K30" s="96"/>
      <c r="L30" s="96"/>
      <c r="M30" s="234"/>
      <c r="N30" s="158"/>
      <c r="O30" s="158"/>
      <c r="P30" s="158"/>
      <c r="Q30" s="158"/>
      <c r="R30" s="97"/>
      <c r="S30" s="193" t="str">
        <f>+IF(Tabla25879012013584[[#This Row],[Equipment]]="","",Q30*R30/10^6)</f>
        <v/>
      </c>
      <c r="T30" s="587"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15"/>
      <c r="AR30" s="371"/>
    </row>
    <row r="31" spans="1:44" ht="16.25" customHeight="1" x14ac:dyDescent="0.2">
      <c r="A31" s="83"/>
      <c r="B31" s="103"/>
      <c r="C31" s="99"/>
      <c r="D31" s="208"/>
      <c r="E31" s="208"/>
      <c r="F31" s="158"/>
      <c r="G31" s="158"/>
      <c r="H31" s="395" t="str">
        <f>IF(Tabla27889112113685[[#This Row],[Subtype]]="","",VLOOKUP(Tabla27889112113685[[#This Row],[Subtype]],'Unit-X00 Equipment'!$E$13:$H$107,4,FALSE))</f>
        <v/>
      </c>
      <c r="I31" s="96"/>
      <c r="J31" s="96"/>
      <c r="K31" s="96"/>
      <c r="L31" s="96"/>
      <c r="M31" s="234"/>
      <c r="N31" s="158"/>
      <c r="O31" s="158"/>
      <c r="P31" s="158"/>
      <c r="Q31" s="158"/>
      <c r="R31" s="97"/>
      <c r="S31" s="193" t="str">
        <f>+IF(Tabla25879012013584[[#This Row],[Equipment]]="","",Q31*R31/10^6)</f>
        <v/>
      </c>
      <c r="T31" s="587"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15"/>
      <c r="AR31" s="371"/>
    </row>
    <row r="32" spans="1:44" ht="16.25" customHeight="1" x14ac:dyDescent="0.2">
      <c r="A32" s="83"/>
      <c r="B32" s="103"/>
      <c r="C32" s="99"/>
      <c r="D32" s="208"/>
      <c r="E32" s="208"/>
      <c r="F32" s="158"/>
      <c r="G32" s="158"/>
      <c r="H32" s="395" t="str">
        <f>IF(Tabla27889112113685[[#This Row],[Subtype]]="","",VLOOKUP(Tabla27889112113685[[#This Row],[Subtype]],'Unit-X00 Equipment'!$E$13:$H$107,4,FALSE))</f>
        <v/>
      </c>
      <c r="I32" s="96"/>
      <c r="J32" s="96"/>
      <c r="K32" s="96"/>
      <c r="L32" s="96"/>
      <c r="M32" s="156"/>
      <c r="N32" s="96"/>
      <c r="O32" s="96"/>
      <c r="P32" s="152"/>
      <c r="Q32" s="153"/>
      <c r="R32" s="97"/>
      <c r="S32" s="193" t="str">
        <f>+IF(Tabla25879012013584[[#This Row],[Equipment]]="","",Q32*R32/10^6)</f>
        <v/>
      </c>
      <c r="T32" s="587"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15"/>
      <c r="AR32" s="371"/>
    </row>
    <row r="33" spans="1:44" ht="16.25" customHeight="1" x14ac:dyDescent="0.2">
      <c r="A33" s="83"/>
      <c r="B33" s="103"/>
      <c r="C33" s="99"/>
      <c r="D33" s="208"/>
      <c r="E33" s="208"/>
      <c r="F33" s="158"/>
      <c r="G33" s="158"/>
      <c r="H33" s="395" t="str">
        <f>IF(Tabla27889112113685[[#This Row],[Subtype]]="","",VLOOKUP(Tabla27889112113685[[#This Row],[Subtype]],'Unit-X00 Equipment'!$E$13:$H$107,4,FALSE))</f>
        <v/>
      </c>
      <c r="I33" s="96"/>
      <c r="J33" s="96"/>
      <c r="K33" s="96"/>
      <c r="L33" s="96"/>
      <c r="M33" s="156"/>
      <c r="N33" s="96"/>
      <c r="O33" s="96"/>
      <c r="P33" s="158"/>
      <c r="Q33" s="153"/>
      <c r="R33" s="97"/>
      <c r="S33" s="193" t="str">
        <f>+IF(Tabla25879012013584[[#This Row],[Equipment]]="","",Q33*R33/10^6)</f>
        <v/>
      </c>
      <c r="T33" s="587"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15"/>
      <c r="AR33" s="371"/>
    </row>
    <row r="34" spans="1:44" ht="16.25" customHeight="1" x14ac:dyDescent="0.2">
      <c r="A34" s="83"/>
      <c r="B34" s="103"/>
      <c r="C34" s="363"/>
      <c r="D34" s="208"/>
      <c r="E34" s="208"/>
      <c r="F34" s="158"/>
      <c r="G34" s="158"/>
      <c r="H34" s="395" t="str">
        <f>IF(Tabla27889112113685[[#This Row],[Subtype]]="","",VLOOKUP(Tabla27889112113685[[#This Row],[Subtype]],'Unit-X00 Equipment'!$E$13:$H$107,4,FALSE))</f>
        <v/>
      </c>
      <c r="I34" s="96"/>
      <c r="J34" s="96"/>
      <c r="K34" s="96"/>
      <c r="L34" s="96"/>
      <c r="M34" s="156"/>
      <c r="N34" s="96"/>
      <c r="O34" s="96"/>
      <c r="P34" s="96"/>
      <c r="Q34" s="153"/>
      <c r="R34" s="97"/>
      <c r="S34" s="193" t="str">
        <f>+IF(Tabla25879012013584[[#This Row],[Equipment]]="","",Q34*R34/10^6)</f>
        <v/>
      </c>
      <c r="T34" s="587" t="e">
        <f t="shared" ca="1" si="0"/>
        <v>#VALUE!</v>
      </c>
      <c r="U34" s="83"/>
      <c r="V34" s="112"/>
      <c r="W34" s="914" t="str">
        <f>+E6&amp;" Calculations"</f>
        <v>GSR Island Calculations</v>
      </c>
      <c r="X34" s="915"/>
      <c r="Y34" s="915"/>
      <c r="Z34" s="915"/>
      <c r="AA34" s="915"/>
      <c r="AB34" s="915"/>
      <c r="AC34" s="915"/>
      <c r="AD34" s="915"/>
      <c r="AE34" s="915"/>
      <c r="AF34" s="915"/>
      <c r="AG34" s="915"/>
      <c r="AH34" s="915"/>
      <c r="AI34" s="915"/>
      <c r="AJ34" s="915"/>
      <c r="AK34" s="915"/>
      <c r="AL34" s="915"/>
      <c r="AM34" s="915"/>
      <c r="AN34" s="916"/>
      <c r="AO34" s="104"/>
      <c r="AP34" s="83"/>
      <c r="AQ34" s="215"/>
      <c r="AR34" s="371"/>
    </row>
    <row r="35" spans="1:44" ht="16.25" customHeight="1" x14ac:dyDescent="0.2">
      <c r="A35" s="83"/>
      <c r="B35" s="103"/>
      <c r="C35" s="363"/>
      <c r="D35" s="208"/>
      <c r="E35" s="208"/>
      <c r="F35" s="158"/>
      <c r="G35" s="158"/>
      <c r="H35" s="395" t="str">
        <f>IF(Tabla27889112113685[[#This Row],[Subtype]]="","",VLOOKUP(Tabla27889112113685[[#This Row],[Subtype]],'Unit-X00 Equipment'!$E$13:$H$107,4,FALSE))</f>
        <v/>
      </c>
      <c r="I35" s="96"/>
      <c r="J35" s="96"/>
      <c r="K35" s="96"/>
      <c r="L35" s="96"/>
      <c r="M35" s="156"/>
      <c r="N35" s="96"/>
      <c r="O35" s="96"/>
      <c r="P35" s="96"/>
      <c r="Q35" s="153"/>
      <c r="R35" s="97"/>
      <c r="S35" s="193" t="str">
        <f>+IF(Tabla25879012013584[[#This Row],[Equipment]]="","",Q35*R35/10^6)</f>
        <v/>
      </c>
      <c r="T35" s="587" t="e">
        <f t="shared" ca="1" si="0"/>
        <v>#VALUE!</v>
      </c>
      <c r="U35" s="83"/>
      <c r="V35" s="311"/>
      <c r="W35" s="395"/>
      <c r="X35" s="395"/>
      <c r="Y35" s="395"/>
      <c r="Z35" s="395"/>
      <c r="AA35" s="395"/>
      <c r="AB35" s="96"/>
      <c r="AC35" s="395"/>
      <c r="AD35" s="395"/>
      <c r="AE35" s="395"/>
      <c r="AF35" s="395"/>
      <c r="AG35" s="395"/>
      <c r="AH35" s="395"/>
      <c r="AI35" s="395"/>
      <c r="AJ35" s="395"/>
      <c r="AK35" s="395"/>
      <c r="AL35" s="395"/>
      <c r="AM35" s="395"/>
      <c r="AN35" s="395"/>
      <c r="AO35" s="104"/>
      <c r="AP35" s="83"/>
      <c r="AQ35" s="215"/>
      <c r="AR35" s="371"/>
    </row>
    <row r="36" spans="1:44" ht="16.25" customHeight="1" x14ac:dyDescent="0.2">
      <c r="A36" s="83"/>
      <c r="B36" s="103"/>
      <c r="C36" s="363"/>
      <c r="D36" s="208"/>
      <c r="E36" s="208"/>
      <c r="F36" s="158"/>
      <c r="G36" s="158"/>
      <c r="H36" s="395" t="str">
        <f>IF(Tabla27889112113685[[#This Row],[Subtype]]="","",VLOOKUP(Tabla27889112113685[[#This Row],[Subtype]],'Unit-X00 Equipment'!$E$13:$H$107,4,FALSE))</f>
        <v/>
      </c>
      <c r="I36" s="96"/>
      <c r="J36" s="96"/>
      <c r="K36" s="96"/>
      <c r="L36" s="96"/>
      <c r="M36" s="156"/>
      <c r="N36" s="96"/>
      <c r="O36" s="96"/>
      <c r="P36" s="96"/>
      <c r="Q36" s="153"/>
      <c r="R36" s="97"/>
      <c r="S36" s="193" t="str">
        <f>+IF(Tabla25879012013584[[#This Row],[Equipment]]="","",Q36*R36/10^6)</f>
        <v/>
      </c>
      <c r="T36" s="587" t="e">
        <f t="shared" ca="1" si="0"/>
        <v>#VALUE!</v>
      </c>
      <c r="U36" s="83"/>
      <c r="V36" s="311"/>
      <c r="W36" s="395"/>
      <c r="X36" s="395"/>
      <c r="Y36" s="395"/>
      <c r="AA36" s="874" t="s">
        <v>194</v>
      </c>
      <c r="AB36" s="875"/>
      <c r="AC36" s="876"/>
      <c r="AD36" s="942" t="s">
        <v>200</v>
      </c>
      <c r="AE36" s="900"/>
      <c r="AF36" s="942" t="s">
        <v>201</v>
      </c>
      <c r="AG36" s="900"/>
      <c r="AH36" s="316" t="s">
        <v>202</v>
      </c>
      <c r="AI36" s="667"/>
      <c r="AJ36" s="667"/>
      <c r="AK36" s="667"/>
      <c r="AL36" s="667"/>
      <c r="AM36" s="667"/>
      <c r="AN36" s="667"/>
      <c r="AO36" s="104"/>
      <c r="AP36" s="83"/>
      <c r="AQ36" s="215"/>
      <c r="AR36" s="371"/>
    </row>
    <row r="37" spans="1:44" ht="16.25" customHeight="1" x14ac:dyDescent="0.2">
      <c r="A37" s="83"/>
      <c r="B37" s="103"/>
      <c r="C37" s="363"/>
      <c r="D37" s="208"/>
      <c r="E37" s="208"/>
      <c r="F37" s="158"/>
      <c r="G37" s="158"/>
      <c r="H37" s="395" t="str">
        <f>IF(Tabla27889112113685[[#This Row],[Subtype]]="","",VLOOKUP(Tabla27889112113685[[#This Row],[Subtype]],'Unit-X00 Equipment'!$E$13:$H$107,4,FALSE))</f>
        <v/>
      </c>
      <c r="I37" s="96"/>
      <c r="J37" s="96"/>
      <c r="K37" s="96"/>
      <c r="L37" s="96"/>
      <c r="M37" s="156"/>
      <c r="N37" s="96"/>
      <c r="O37" s="96"/>
      <c r="P37" s="96"/>
      <c r="Q37" s="153"/>
      <c r="R37" s="97"/>
      <c r="S37" s="193" t="str">
        <f>+IF(Tabla25879012013584[[#This Row],[Equipment]]="","",Q37*R37/10^6)</f>
        <v/>
      </c>
      <c r="T37" s="587" t="e">
        <f t="shared" ca="1" si="0"/>
        <v>#VALUE!</v>
      </c>
      <c r="U37" s="83"/>
      <c r="V37" s="311"/>
      <c r="W37" s="395"/>
      <c r="X37" s="395"/>
      <c r="Y37" s="395"/>
      <c r="Z37" s="395"/>
      <c r="AA37" s="316" t="s">
        <v>203</v>
      </c>
      <c r="AB37" s="316" t="s">
        <v>204</v>
      </c>
      <c r="AC37" s="316" t="s">
        <v>205</v>
      </c>
      <c r="AD37" s="641" t="s">
        <v>206</v>
      </c>
      <c r="AE37" s="641" t="s">
        <v>207</v>
      </c>
      <c r="AF37" s="642" t="s">
        <v>206</v>
      </c>
      <c r="AG37" s="641" t="s">
        <v>207</v>
      </c>
      <c r="AH37" s="166" t="s">
        <v>208</v>
      </c>
      <c r="AI37" s="210"/>
      <c r="AJ37" s="210"/>
      <c r="AK37" s="210"/>
      <c r="AL37" s="210"/>
      <c r="AM37" s="210"/>
      <c r="AN37" s="210"/>
      <c r="AO37" s="104"/>
      <c r="AP37" s="83"/>
      <c r="AQ37" s="215"/>
      <c r="AR37" s="371"/>
    </row>
    <row r="38" spans="1:44" ht="16.25" customHeight="1" x14ac:dyDescent="0.2">
      <c r="A38" s="83"/>
      <c r="B38" s="103"/>
      <c r="C38" s="363"/>
      <c r="D38" s="208"/>
      <c r="E38" s="208"/>
      <c r="F38" s="158"/>
      <c r="G38" s="158"/>
      <c r="H38" s="395" t="str">
        <f>IF(Tabla27889112113685[[#This Row],[Subtype]]="","",VLOOKUP(Tabla27889112113685[[#This Row],[Subtype]],'Unit-X00 Equipment'!$E$13:$H$107,4,FALSE))</f>
        <v/>
      </c>
      <c r="I38" s="96"/>
      <c r="J38" s="96"/>
      <c r="K38" s="96"/>
      <c r="L38" s="96"/>
      <c r="M38" s="156"/>
      <c r="N38" s="96"/>
      <c r="O38" s="96"/>
      <c r="P38" s="96"/>
      <c r="Q38" s="153"/>
      <c r="R38" s="97"/>
      <c r="S38" s="193" t="str">
        <f>+IF(Tabla25879012013584[[#This Row],[Equipment]]="","",Q38*R38/10^6)</f>
        <v/>
      </c>
      <c r="T38" s="587" t="e">
        <f t="shared" ca="1" si="0"/>
        <v>#VALUE!</v>
      </c>
      <c r="U38" s="83"/>
      <c r="V38" s="311"/>
      <c r="W38" s="395"/>
      <c r="X38" s="395"/>
      <c r="Y38" s="395"/>
      <c r="Z38" s="395"/>
      <c r="AA38" s="316" t="s">
        <v>209</v>
      </c>
      <c r="AB38" s="538">
        <v>5595226.8242034595</v>
      </c>
      <c r="AC38" s="309" t="s">
        <v>210</v>
      </c>
      <c r="AD38" s="669" t="s">
        <v>211</v>
      </c>
      <c r="AE38" s="673">
        <f>IF(AD38="Ph. Ch.",$AD$52,IF(AD38="Liquid",$AD$51,$AD$49*AD38^$AD$50))</f>
        <v>5000</v>
      </c>
      <c r="AF38" s="670">
        <v>32</v>
      </c>
      <c r="AG38" s="675">
        <f>IF(AF38="Ph. Ch.",$AD$52,IF(AF38="Liquid",$AD$51,$AD$49*AF38^$AD$50))</f>
        <v>452.54833995939038</v>
      </c>
      <c r="AH38" s="728">
        <f>1/(1/AE38+1/AG38)</f>
        <v>414.98792100829024</v>
      </c>
      <c r="AI38" s="648">
        <v>1.5</v>
      </c>
      <c r="AJ38" s="672"/>
      <c r="AK38" s="672"/>
      <c r="AL38" s="672"/>
      <c r="AM38" s="672"/>
      <c r="AN38" s="210"/>
      <c r="AO38" s="84"/>
      <c r="AP38" s="83"/>
      <c r="AQ38" s="215"/>
      <c r="AR38" s="371"/>
    </row>
    <row r="39" spans="1:44" ht="16.25" customHeight="1" x14ac:dyDescent="0.2">
      <c r="A39" s="83"/>
      <c r="B39" s="103"/>
      <c r="C39" s="92"/>
      <c r="D39" s="209"/>
      <c r="E39" s="209"/>
      <c r="F39" s="588"/>
      <c r="G39" s="588"/>
      <c r="H39" s="395" t="str">
        <f>IF(Tabla27889112113685[[#This Row],[Subtype]]="","",VLOOKUP(Tabla27889112113685[[#This Row],[Subtype]],'Unit-X00 Equipment'!$E$13:$H$107,4,FALSE))</f>
        <v/>
      </c>
      <c r="M39" s="235"/>
      <c r="Q39" s="236"/>
      <c r="R39" s="84"/>
      <c r="S39" s="193" t="str">
        <f>+IF(Tabla25879012013584[[#This Row],[Equipment]]="","",Q39*R39/10^6)</f>
        <v/>
      </c>
      <c r="T39" s="587" t="e">
        <f t="shared" ca="1" si="0"/>
        <v>#VALUE!</v>
      </c>
      <c r="U39" s="83"/>
      <c r="V39" s="311"/>
      <c r="W39" s="395"/>
      <c r="X39" s="395"/>
      <c r="Y39" s="395"/>
      <c r="Z39" s="395"/>
      <c r="AA39" s="86" t="s">
        <v>212</v>
      </c>
      <c r="AB39" s="493">
        <v>1841337.2920328199</v>
      </c>
      <c r="AC39" s="747" t="s">
        <v>213</v>
      </c>
      <c r="AD39" s="311">
        <v>34</v>
      </c>
      <c r="AE39" s="385">
        <f t="shared" ref="AE39:AE42" si="6">IF(AD39="Ph. Ch.",$AD$52,IF(AD39="Liquid",$AD$51,$AD$49*AD39^$AD$50))</f>
        <v>472.16656786239662</v>
      </c>
      <c r="AF39" s="606">
        <v>32</v>
      </c>
      <c r="AG39" s="662">
        <f t="shared" ref="AG39:AG42" si="7">IF(AF39="Ph. Ch.",$AD$52,IF(AF39="Liquid",$AD$51,$AD$49*AF39^$AD$50))</f>
        <v>452.54833995939038</v>
      </c>
      <c r="AH39" s="752">
        <f t="shared" ref="AH39:AH42" si="8">1/(1/AE39+1/AG39)</f>
        <v>231.07467465165053</v>
      </c>
      <c r="AI39" s="606"/>
      <c r="AJ39" s="606"/>
      <c r="AK39" s="606"/>
      <c r="AL39" s="606"/>
      <c r="AM39" s="606"/>
      <c r="AN39" s="395"/>
      <c r="AO39" s="104"/>
      <c r="AP39" s="83"/>
      <c r="AQ39" s="215"/>
      <c r="AR39" s="371"/>
    </row>
    <row r="40" spans="1:44" ht="16.25" customHeight="1" x14ac:dyDescent="0.2">
      <c r="A40" s="83"/>
      <c r="B40" s="103"/>
      <c r="C40" s="92"/>
      <c r="D40" s="209"/>
      <c r="E40" s="209"/>
      <c r="F40" s="588"/>
      <c r="G40" s="588"/>
      <c r="H40" s="395" t="str">
        <f>IF(Tabla27889112113685[[#This Row],[Subtype]]="","",VLOOKUP(Tabla27889112113685[[#This Row],[Subtype]],'Unit-X00 Equipment'!$E$13:$H$107,4,FALSE))</f>
        <v/>
      </c>
      <c r="M40" s="235"/>
      <c r="Q40" s="236"/>
      <c r="R40" s="84"/>
      <c r="S40" s="193" t="str">
        <f>+IF(Tabla25879012013584[[#This Row],[Equipment]]="","",Q40*R40/10^6)</f>
        <v/>
      </c>
      <c r="T40" s="587" t="e">
        <f t="shared" ca="1" si="0"/>
        <v>#VALUE!</v>
      </c>
      <c r="U40" s="83"/>
      <c r="V40" s="311"/>
      <c r="W40" s="395"/>
      <c r="X40" s="395"/>
      <c r="Y40" s="395"/>
      <c r="Z40" s="395"/>
      <c r="AA40" s="316" t="s">
        <v>214</v>
      </c>
      <c r="AB40" s="493">
        <v>3226729.45951223</v>
      </c>
      <c r="AC40" s="747" t="s">
        <v>213</v>
      </c>
      <c r="AD40" s="311">
        <v>33</v>
      </c>
      <c r="AE40" s="385">
        <f t="shared" si="6"/>
        <v>462.40204833587438</v>
      </c>
      <c r="AF40" s="395">
        <v>32</v>
      </c>
      <c r="AG40" s="662">
        <f t="shared" si="7"/>
        <v>452.54833995939038</v>
      </c>
      <c r="AH40" s="752">
        <f t="shared" si="8"/>
        <v>228.71106679140664</v>
      </c>
      <c r="AI40" s="655"/>
      <c r="AJ40" s="395"/>
      <c r="AK40" s="655"/>
      <c r="AL40" s="395"/>
      <c r="AM40" s="385"/>
      <c r="AN40" s="655"/>
      <c r="AO40" s="104"/>
      <c r="AP40" s="83"/>
      <c r="AQ40" s="215"/>
      <c r="AR40" s="371"/>
    </row>
    <row r="41" spans="1:44" ht="16.25" customHeight="1" x14ac:dyDescent="0.2">
      <c r="A41" s="83"/>
      <c r="B41" s="103"/>
      <c r="C41" s="99"/>
      <c r="D41" s="208"/>
      <c r="E41" s="208"/>
      <c r="F41" s="158"/>
      <c r="G41" s="158"/>
      <c r="H41" s="395" t="str">
        <f>IF(Tabla27889112113685[[#This Row],[Subtype]]="","",VLOOKUP(Tabla27889112113685[[#This Row],[Subtype]],'Unit-X00 Equipment'!$E$13:$H$107,4,FALSE))</f>
        <v/>
      </c>
      <c r="I41" s="96"/>
      <c r="J41" s="96"/>
      <c r="K41" s="96"/>
      <c r="L41" s="96"/>
      <c r="M41" s="156"/>
      <c r="N41" s="96"/>
      <c r="O41" s="96"/>
      <c r="P41" s="152"/>
      <c r="Q41" s="153"/>
      <c r="R41" s="97"/>
      <c r="S41" s="193" t="str">
        <f>+IF(Tabla25879012013584[[#This Row],[Equipment]]="","",Q41*R41/10^6)</f>
        <v/>
      </c>
      <c r="T41" s="587" t="e">
        <f t="shared" ca="1" si="0"/>
        <v>#VALUE!</v>
      </c>
      <c r="U41" s="83"/>
      <c r="V41" s="311"/>
      <c r="W41" s="395"/>
      <c r="X41" s="395"/>
      <c r="Y41" s="395"/>
      <c r="Z41" s="395"/>
      <c r="AA41" s="316" t="s">
        <v>215</v>
      </c>
      <c r="AB41" s="493">
        <v>4630991.2561240802</v>
      </c>
      <c r="AC41" s="747" t="s">
        <v>213</v>
      </c>
      <c r="AD41" s="311">
        <v>33</v>
      </c>
      <c r="AE41" s="385">
        <f t="shared" si="6"/>
        <v>462.40204833587438</v>
      </c>
      <c r="AF41" s="395">
        <v>32</v>
      </c>
      <c r="AG41" s="662">
        <f t="shared" si="7"/>
        <v>452.54833995939038</v>
      </c>
      <c r="AH41" s="752">
        <f t="shared" si="8"/>
        <v>228.71106679140664</v>
      </c>
      <c r="AI41" s="655"/>
      <c r="AJ41" s="395"/>
      <c r="AK41" s="395"/>
      <c r="AL41" s="395"/>
      <c r="AM41" s="395"/>
      <c r="AN41" s="655"/>
      <c r="AO41" s="104"/>
      <c r="AP41" s="83"/>
      <c r="AQ41" s="215"/>
      <c r="AR41" s="371"/>
    </row>
    <row r="42" spans="1:44" ht="16.25" customHeight="1" x14ac:dyDescent="0.2">
      <c r="A42" s="83"/>
      <c r="B42" s="103"/>
      <c r="C42" s="99"/>
      <c r="D42" s="208"/>
      <c r="E42" s="208"/>
      <c r="F42" s="158"/>
      <c r="G42" s="158"/>
      <c r="H42" s="395" t="str">
        <f>IF(Tabla27889112113685[[#This Row],[Subtype]]="","",VLOOKUP(Tabla27889112113685[[#This Row],[Subtype]],'Unit-X00 Equipment'!$E$13:$H$107,4,FALSE))</f>
        <v/>
      </c>
      <c r="I42" s="96"/>
      <c r="J42" s="96"/>
      <c r="K42" s="96"/>
      <c r="L42" s="96"/>
      <c r="M42" s="156"/>
      <c r="N42" s="96"/>
      <c r="O42" s="96"/>
      <c r="P42" s="158"/>
      <c r="Q42" s="153"/>
      <c r="R42" s="97"/>
      <c r="S42" s="193" t="str">
        <f>+IF(Tabla25879012013584[[#This Row],[Equipment]]="","",Q42*R42/10^6)</f>
        <v/>
      </c>
      <c r="T42" s="587" t="e">
        <f t="shared" ca="1" si="0"/>
        <v>#VALUE!</v>
      </c>
      <c r="U42" s="83"/>
      <c r="V42" s="311"/>
      <c r="W42" s="960" t="s">
        <v>216</v>
      </c>
      <c r="X42" s="961"/>
      <c r="Y42" s="962"/>
      <c r="Z42" s="395"/>
      <c r="AA42" s="316" t="s">
        <v>217</v>
      </c>
      <c r="AB42" s="493">
        <v>1216649.1439386299</v>
      </c>
      <c r="AC42" s="747" t="s">
        <v>213</v>
      </c>
      <c r="AD42" s="312">
        <v>32.9</v>
      </c>
      <c r="AE42" s="677">
        <f t="shared" si="6"/>
        <v>461.42074907740425</v>
      </c>
      <c r="AF42" s="652">
        <v>32.200000000000003</v>
      </c>
      <c r="AG42" s="679">
        <f t="shared" si="7"/>
        <v>454.52638780050739</v>
      </c>
      <c r="AH42" s="792">
        <f t="shared" si="8"/>
        <v>228.97381070400345</v>
      </c>
      <c r="AI42" s="395"/>
      <c r="AJ42" s="395"/>
      <c r="AK42" s="395"/>
      <c r="AL42" s="395"/>
      <c r="AM42" s="395"/>
      <c r="AN42" s="655"/>
      <c r="AO42" s="104"/>
      <c r="AP42" s="83"/>
      <c r="AQ42" s="215"/>
      <c r="AR42" s="371"/>
    </row>
    <row r="43" spans="1:44" ht="16.25" customHeight="1" x14ac:dyDescent="0.2">
      <c r="A43" s="83"/>
      <c r="B43" s="103"/>
      <c r="C43" s="363"/>
      <c r="D43" s="208"/>
      <c r="E43" s="208"/>
      <c r="F43" s="158"/>
      <c r="G43" s="158"/>
      <c r="H43" s="395" t="str">
        <f>IF(Tabla27889112113685[[#This Row],[Subtype]]="","",VLOOKUP(Tabla27889112113685[[#This Row],[Subtype]],'Unit-X00 Equipment'!$E$13:$H$107,4,FALSE))</f>
        <v/>
      </c>
      <c r="I43" s="96"/>
      <c r="J43" s="96"/>
      <c r="K43" s="96"/>
      <c r="L43" s="96"/>
      <c r="M43" s="283"/>
      <c r="N43" s="275"/>
      <c r="O43" s="275"/>
      <c r="P43" s="275"/>
      <c r="Q43" s="284"/>
      <c r="R43" s="98"/>
      <c r="S43" s="193" t="str">
        <f>+IF(Tabla25879012013584[[#This Row],[Equipment]]="","",Q43*R43/10^6)</f>
        <v/>
      </c>
      <c r="T43" s="587" t="e">
        <f t="shared" ca="1" si="0"/>
        <v>#VALUE!</v>
      </c>
      <c r="U43" s="83"/>
      <c r="V43" s="311"/>
      <c r="W43" s="787" t="s">
        <v>218</v>
      </c>
      <c r="X43" s="385">
        <v>24.221564337653401</v>
      </c>
      <c r="Y43" s="789" t="s">
        <v>219</v>
      </c>
      <c r="Z43" s="395"/>
      <c r="AD43" s="395"/>
      <c r="AE43" s="395"/>
      <c r="AF43" s="385"/>
      <c r="AG43" s="655"/>
      <c r="AH43" s="395"/>
      <c r="AI43" s="395"/>
      <c r="AJ43" s="395"/>
      <c r="AK43" s="395"/>
      <c r="AL43" s="395"/>
      <c r="AM43" s="395"/>
      <c r="AN43" s="655"/>
      <c r="AO43" s="104"/>
      <c r="AP43" s="83"/>
      <c r="AQ43" s="215"/>
      <c r="AR43" s="371"/>
    </row>
    <row r="44" spans="1:44" ht="16.25" customHeight="1" x14ac:dyDescent="0.2">
      <c r="A44" s="83"/>
      <c r="B44" s="103"/>
      <c r="C44" s="364"/>
      <c r="D44" s="918" t="s">
        <v>220</v>
      </c>
      <c r="E44" s="918"/>
      <c r="F44" s="918"/>
      <c r="G44" s="918"/>
      <c r="H44" s="918"/>
      <c r="I44" s="918"/>
      <c r="J44" s="918"/>
      <c r="K44" s="918"/>
      <c r="L44" s="918"/>
      <c r="M44" s="947"/>
      <c r="N44" s="947"/>
      <c r="O44" s="947"/>
      <c r="P44" s="947"/>
      <c r="Q44" s="947"/>
      <c r="R44" s="947"/>
      <c r="S44" s="180"/>
      <c r="T44" s="587">
        <f t="shared" ca="1" si="0"/>
        <v>0</v>
      </c>
      <c r="U44" s="83"/>
      <c r="V44" s="311"/>
      <c r="W44" s="781" t="s">
        <v>221</v>
      </c>
      <c r="X44" s="790">
        <v>0.5</v>
      </c>
      <c r="Y44" s="782" t="s">
        <v>222</v>
      </c>
      <c r="Z44" s="395"/>
      <c r="AA44" s="395"/>
      <c r="AB44" s="395"/>
      <c r="AC44" s="395"/>
      <c r="AD44" s="395"/>
      <c r="AE44" s="395"/>
      <c r="AF44" s="385"/>
      <c r="AG44" s="655"/>
      <c r="AH44" s="395"/>
      <c r="AI44" s="395"/>
      <c r="AJ44" s="395"/>
      <c r="AK44" s="395"/>
      <c r="AL44" s="395"/>
      <c r="AM44" s="395"/>
      <c r="AN44" s="655"/>
      <c r="AO44" s="104"/>
      <c r="AP44" s="83"/>
      <c r="AQ44" s="215"/>
      <c r="AR44" s="371"/>
    </row>
    <row r="45" spans="1:44" ht="16.25" customHeight="1" x14ac:dyDescent="0.2">
      <c r="A45" s="83"/>
      <c r="B45" s="103"/>
      <c r="C45" s="421" t="s">
        <v>223</v>
      </c>
      <c r="D45" s="415" t="s">
        <v>224</v>
      </c>
      <c r="E45" s="415" t="s">
        <v>225</v>
      </c>
      <c r="F45" s="571" t="s">
        <v>226</v>
      </c>
      <c r="G45" s="571" t="s">
        <v>50</v>
      </c>
      <c r="H45" s="571" t="s">
        <v>227</v>
      </c>
      <c r="I45" s="415" t="s">
        <v>228</v>
      </c>
      <c r="J45" s="415" t="s">
        <v>75</v>
      </c>
      <c r="K45" s="415" t="s">
        <v>155</v>
      </c>
      <c r="L45" s="415" t="s">
        <v>157</v>
      </c>
      <c r="M45" s="422" t="s">
        <v>229</v>
      </c>
      <c r="N45" s="423" t="s">
        <v>230</v>
      </c>
      <c r="O45" s="419" t="s">
        <v>231</v>
      </c>
      <c r="P45" s="415" t="s">
        <v>151</v>
      </c>
      <c r="Q45" s="415" t="s">
        <v>148</v>
      </c>
      <c r="R45" s="420" t="s">
        <v>144</v>
      </c>
      <c r="S45" s="420" t="s">
        <v>232</v>
      </c>
      <c r="T45" s="104"/>
      <c r="U45" s="83"/>
      <c r="V45" s="311"/>
      <c r="W45" s="784" t="s">
        <v>233</v>
      </c>
      <c r="X45" s="786">
        <f>X43/X44/(1-X51)</f>
        <v>64.590838233742403</v>
      </c>
      <c r="Y45" s="785" t="s">
        <v>196</v>
      </c>
      <c r="Z45" s="395"/>
      <c r="AA45" s="395"/>
      <c r="AB45" s="395"/>
      <c r="AC45" s="395"/>
      <c r="AD45" s="395"/>
      <c r="AE45" s="395"/>
      <c r="AF45" s="385"/>
      <c r="AG45" s="655"/>
      <c r="AH45" s="395"/>
      <c r="AI45" s="395"/>
      <c r="AJ45" s="395"/>
      <c r="AK45" s="395"/>
      <c r="AL45" s="395"/>
      <c r="AM45" s="395"/>
      <c r="AN45" s="655"/>
      <c r="AO45" s="104"/>
      <c r="AP45" s="83"/>
      <c r="AQ45" s="215"/>
      <c r="AR45" s="371"/>
    </row>
    <row r="46" spans="1:44" ht="16.25" customHeight="1" x14ac:dyDescent="0.2">
      <c r="A46" s="83"/>
      <c r="B46" s="103"/>
      <c r="C46" s="273" t="s">
        <v>234</v>
      </c>
      <c r="D46" s="276" t="s">
        <v>235</v>
      </c>
      <c r="E46" s="277"/>
      <c r="F46" s="277" t="s">
        <v>236</v>
      </c>
      <c r="G46" s="277">
        <v>2020</v>
      </c>
      <c r="H46" s="277" t="s">
        <v>237</v>
      </c>
      <c r="I46" s="277" t="s">
        <v>238</v>
      </c>
      <c r="J46" s="244" t="s">
        <v>179</v>
      </c>
      <c r="K46" s="277">
        <v>1</v>
      </c>
      <c r="L46" s="277">
        <v>1</v>
      </c>
      <c r="M46" s="197">
        <v>1</v>
      </c>
      <c r="N46" s="277">
        <v>1</v>
      </c>
      <c r="O46" s="277">
        <f>2000/10^6</f>
        <v>2E-3</v>
      </c>
      <c r="P46" s="656">
        <v>1</v>
      </c>
      <c r="Q46" s="195">
        <f>+(X47+2*X54)^2*PI()/4*(X48*X47+2*X54)-F13</f>
        <v>13.31856093003141</v>
      </c>
      <c r="R46" s="193">
        <f>IF(ISBLANK(Q46),"",(P46/M46)^K46*O46*((Q46/P46)/(N46/M46))^L46)*R14</f>
        <v>0.29300834046069102</v>
      </c>
      <c r="S46" s="193" cm="1">
        <f t="array" aca="1" ref="S46" ca="1">IF(ISBLANK(Q46),"",IF(R46&gt;0,R46*INDIRECT(ADDRESS(MATCH(G46,'Cost Conversion'!$B$3:$B$48,0)+2,4,1,1,"Cost conversion"))*INDIRECT(ADDRESS(MATCH(H46,'Cost Conversion'!$F$3:$F$22,0)+2,8,1,1,"Cost conversion"))/IF(F46="$",'Cost Conversion'!$L$2,1),0))</f>
        <v>0.29651622506881992</v>
      </c>
      <c r="T46" s="607">
        <f ca="1">+S46</f>
        <v>0.29651622506881992</v>
      </c>
      <c r="U46" s="83"/>
      <c r="V46" s="311"/>
      <c r="W46" s="784" t="s">
        <v>239</v>
      </c>
      <c r="X46" s="786">
        <v>11</v>
      </c>
      <c r="Y46" s="785" t="s">
        <v>187</v>
      </c>
      <c r="Z46" s="395"/>
      <c r="AA46" s="395"/>
      <c r="AB46" s="395"/>
      <c r="AC46" s="395"/>
      <c r="AD46" s="395"/>
      <c r="AE46" s="395"/>
      <c r="AF46" s="385"/>
      <c r="AG46" s="655"/>
      <c r="AH46" s="395"/>
      <c r="AI46" s="395"/>
      <c r="AJ46" s="395"/>
      <c r="AK46" s="395"/>
      <c r="AL46" s="395"/>
      <c r="AM46" s="395"/>
      <c r="AN46" s="655"/>
      <c r="AO46" s="104"/>
      <c r="AP46" s="83"/>
      <c r="AQ46" s="215"/>
      <c r="AR46" s="371"/>
    </row>
    <row r="47" spans="1:44" ht="16.25" customHeight="1" x14ac:dyDescent="0.2">
      <c r="A47" s="83"/>
      <c r="B47" s="103"/>
      <c r="C47" s="273" t="s">
        <v>240</v>
      </c>
      <c r="D47" s="273" t="s">
        <v>241</v>
      </c>
      <c r="E47" s="96"/>
      <c r="F47" s="96" t="s">
        <v>236</v>
      </c>
      <c r="G47" s="96">
        <v>2020</v>
      </c>
      <c r="H47" s="96" t="s">
        <v>237</v>
      </c>
      <c r="I47" s="118" t="s">
        <v>242</v>
      </c>
      <c r="J47" s="118" t="s">
        <v>219</v>
      </c>
      <c r="K47" s="96">
        <v>1</v>
      </c>
      <c r="L47" s="96">
        <v>0.6</v>
      </c>
      <c r="M47" s="273">
        <v>1</v>
      </c>
      <c r="N47" s="96">
        <v>1</v>
      </c>
      <c r="O47" s="96">
        <f>150000/10^6</f>
        <v>0.15</v>
      </c>
      <c r="P47" s="96">
        <v>1</v>
      </c>
      <c r="Q47" s="158">
        <f>+X44*X47*X47*PI()/4</f>
        <v>2.935947192442836</v>
      </c>
      <c r="R47" s="193">
        <f>IF(ISBLANK(Q47),"",(P47/M47)^K47*O47*((Q47/P47)/(N47/M47))^L47)*R14*2</f>
        <v>6.2974232581690774</v>
      </c>
      <c r="S47" s="193" cm="1">
        <f t="array" aca="1" ref="S47" ca="1">IF(ISBLANK(Q47),"",IF(R47&gt;0,R47*INDIRECT(ADDRESS(MATCH(G47,'Cost Conversion'!$B$3:$B$48,0)+2,4,1,1,"Cost conversion"))*INDIRECT(ADDRESS(MATCH(H47,'Cost Conversion'!$F$3:$F$22,0)+2,8,1,1,"Cost conversion"))/IF(F47="$",'Cost Conversion'!$L$2,1),0))</f>
        <v>6.3728157677593202</v>
      </c>
      <c r="T47" s="607">
        <f t="shared" ref="T47:T53" ca="1" si="9">+S47</f>
        <v>6.3728157677593202</v>
      </c>
      <c r="U47" s="83"/>
      <c r="V47" s="311"/>
      <c r="W47" s="784" t="s">
        <v>243</v>
      </c>
      <c r="X47" s="786">
        <f>+(X45*4/PI()/X46)^0.5</f>
        <v>2.7342875001259088</v>
      </c>
      <c r="Y47" s="785" t="s">
        <v>244</v>
      </c>
      <c r="Z47" s="395"/>
      <c r="AA47" s="395"/>
      <c r="AB47" s="395"/>
      <c r="AC47" s="395"/>
      <c r="AD47" s="395"/>
      <c r="AE47" s="395"/>
      <c r="AF47" s="395"/>
      <c r="AG47" s="395"/>
      <c r="AH47" s="395"/>
      <c r="AI47" s="395"/>
      <c r="AJ47" s="395"/>
      <c r="AK47" s="395"/>
      <c r="AL47" s="395"/>
      <c r="AM47" s="395"/>
      <c r="AN47" s="395"/>
      <c r="AO47" s="104"/>
      <c r="AP47" s="83"/>
      <c r="AQ47" s="215"/>
      <c r="AR47" s="371"/>
    </row>
    <row r="48" spans="1:44" ht="16.25" customHeight="1" x14ac:dyDescent="0.2">
      <c r="A48" s="83"/>
      <c r="B48" s="103"/>
      <c r="C48" s="273" t="s">
        <v>245</v>
      </c>
      <c r="D48" s="273" t="s">
        <v>246</v>
      </c>
      <c r="E48" s="96"/>
      <c r="F48" s="96" t="s">
        <v>53</v>
      </c>
      <c r="G48" s="96">
        <v>2020</v>
      </c>
      <c r="H48" s="96" t="s">
        <v>48</v>
      </c>
      <c r="I48" s="96" t="s">
        <v>247</v>
      </c>
      <c r="J48" s="96" t="s">
        <v>248</v>
      </c>
      <c r="K48" s="96">
        <v>1</v>
      </c>
      <c r="L48" s="96">
        <v>1</v>
      </c>
      <c r="M48" s="273">
        <v>1</v>
      </c>
      <c r="N48" s="96">
        <v>1</v>
      </c>
      <c r="O48" s="715">
        <f>1500/10^6</f>
        <v>1.5E-3</v>
      </c>
      <c r="P48" s="96">
        <v>1</v>
      </c>
      <c r="Q48" s="158">
        <f>+F13*X51*X52/1000*R14</f>
        <v>1039.7909134504764</v>
      </c>
      <c r="R48" s="193">
        <f>IF(ISBLANK(Q48),"",(P48/M48)^K48*O48*((Q48/P48)/(N48/M48))^L48)*X53</f>
        <v>4.6790591105271435</v>
      </c>
      <c r="S48" s="193" cm="1">
        <f t="array" aca="1" ref="S48" ca="1">IF(ISBLANK(Q48),"",IF(R48&gt;0,R48*INDIRECT(ADDRESS(MATCH(G48,'Cost Conversion'!$B$3:$B$48,0)+2,4,1,1,"Cost conversion"))*INDIRECT(ADDRESS(MATCH(H48,'Cost Conversion'!$F$3:$F$22,0)+2,8,1,1,"Cost conversion"))/IF(F48="$",'Cost Conversion'!$L$2,1),0))</f>
        <v>4.7350766266447275</v>
      </c>
      <c r="T48" s="607">
        <f t="shared" ca="1" si="9"/>
        <v>4.7350766266447275</v>
      </c>
      <c r="U48" s="83"/>
      <c r="V48" s="103"/>
      <c r="W48" s="787" t="s">
        <v>249</v>
      </c>
      <c r="X48" s="788">
        <v>3</v>
      </c>
      <c r="Y48" s="789" t="s">
        <v>187</v>
      </c>
      <c r="Z48" s="210"/>
      <c r="AA48" s="210"/>
      <c r="AB48" s="966" t="s">
        <v>250</v>
      </c>
      <c r="AC48" s="967"/>
      <c r="AD48" s="316" t="s">
        <v>251</v>
      </c>
      <c r="AE48" s="210"/>
      <c r="AF48" s="657"/>
      <c r="AG48" s="230" t="s">
        <v>252</v>
      </c>
      <c r="AH48" s="230" t="s">
        <v>2</v>
      </c>
      <c r="AI48" s="963" t="s">
        <v>82</v>
      </c>
      <c r="AJ48" s="964"/>
      <c r="AK48" s="964"/>
      <c r="AL48" s="964"/>
      <c r="AM48" s="964"/>
      <c r="AN48" s="965"/>
      <c r="AO48" s="104"/>
      <c r="AP48" s="83"/>
      <c r="AQ48" s="215"/>
      <c r="AR48" s="371"/>
    </row>
    <row r="49" spans="1:57" ht="16.25" customHeight="1" x14ac:dyDescent="0.2">
      <c r="A49" s="83"/>
      <c r="B49" s="103"/>
      <c r="C49" s="273" t="s">
        <v>253</v>
      </c>
      <c r="D49" s="273" t="s">
        <v>254</v>
      </c>
      <c r="E49" s="96"/>
      <c r="F49" s="96" t="s">
        <v>53</v>
      </c>
      <c r="G49" s="96">
        <v>2020</v>
      </c>
      <c r="H49" s="96" t="s">
        <v>48</v>
      </c>
      <c r="I49" s="96" t="s">
        <v>247</v>
      </c>
      <c r="J49" s="96" t="s">
        <v>248</v>
      </c>
      <c r="K49" s="96">
        <v>1</v>
      </c>
      <c r="L49" s="96">
        <v>1</v>
      </c>
      <c r="M49" s="273">
        <v>1</v>
      </c>
      <c r="N49" s="96">
        <v>1</v>
      </c>
      <c r="O49" s="96">
        <f>15/1000</f>
        <v>1.4999999999999999E-2</v>
      </c>
      <c r="P49" s="96">
        <v>1</v>
      </c>
      <c r="Q49" s="158">
        <f>+F13*X57*X56/1000*R14</f>
        <v>479.27075950800736</v>
      </c>
      <c r="R49" s="193">
        <f>IF(ISBLANK(Q49),"",(P49/M49)^K49*O49*((Q49/P49)/(N49/M49))^L49)</f>
        <v>7.1890613926201103</v>
      </c>
      <c r="S49" s="193" cm="1">
        <f t="array" aca="1" ref="S49" ca="1">IF(ISBLANK(Q49),"",IF(R49&gt;0,R49*INDIRECT(ADDRESS(MATCH(G49,'Cost Conversion'!$B$3:$B$48,0)+2,4,1,1,"Cost conversion"))*INDIRECT(ADDRESS(MATCH(H49,'Cost Conversion'!$F$3:$F$22,0)+2,8,1,1,"Cost conversion"))/IF(F49="$",'Cost Conversion'!$L$2,1),0))</f>
        <v>7.275128559740387</v>
      </c>
      <c r="T49" s="607">
        <f t="shared" ca="1" si="9"/>
        <v>7.275128559740387</v>
      </c>
      <c r="U49" s="83"/>
      <c r="V49" s="103"/>
      <c r="Z49" s="210"/>
      <c r="AA49" s="210"/>
      <c r="AB49" s="968" t="s">
        <v>255</v>
      </c>
      <c r="AC49" s="969"/>
      <c r="AD49" s="661">
        <v>40</v>
      </c>
      <c r="AE49" s="210"/>
      <c r="AF49" s="210"/>
      <c r="AG49" s="276"/>
      <c r="AH49" s="182"/>
      <c r="AI49" s="948"/>
      <c r="AJ49" s="949"/>
      <c r="AK49" s="949"/>
      <c r="AL49" s="949"/>
      <c r="AM49" s="949"/>
      <c r="AN49" s="950"/>
      <c r="AO49" s="104"/>
      <c r="AP49" s="83"/>
      <c r="AQ49" s="215"/>
      <c r="AR49" s="371"/>
    </row>
    <row r="50" spans="1:57" ht="16.25" customHeight="1" x14ac:dyDescent="0.2">
      <c r="A50" s="83"/>
      <c r="B50" s="103"/>
      <c r="C50" s="273" t="s">
        <v>256</v>
      </c>
      <c r="D50" s="273" t="s">
        <v>257</v>
      </c>
      <c r="E50" s="96" t="s">
        <v>258</v>
      </c>
      <c r="F50" s="96" t="s">
        <v>53</v>
      </c>
      <c r="G50" s="96">
        <v>2005</v>
      </c>
      <c r="H50" s="96" t="s">
        <v>48</v>
      </c>
      <c r="I50" s="96" t="s">
        <v>259</v>
      </c>
      <c r="J50" s="96" t="s">
        <v>57</v>
      </c>
      <c r="K50" s="96">
        <v>1</v>
      </c>
      <c r="L50" s="96">
        <v>0.67</v>
      </c>
      <c r="M50" s="273">
        <v>1</v>
      </c>
      <c r="N50" s="96">
        <v>413.82</v>
      </c>
      <c r="O50" s="96">
        <v>0.66</v>
      </c>
      <c r="P50" s="96">
        <v>1</v>
      </c>
      <c r="Q50" s="158">
        <f>+'Plant Overview'!F57</f>
        <v>791.38818139243176</v>
      </c>
      <c r="R50" s="193">
        <f t="shared" ref="R50:R51" si="10">IF(ISBLANK(Q50),"",(P50/M50)^K50*O50*((Q50/P50)/(N50/M50))^L50)</f>
        <v>1.0190635118737716</v>
      </c>
      <c r="S50" s="193" cm="1">
        <f t="array" aca="1" ref="S50" ca="1">IF(ISBLANK(Q50),"",IF(R50&gt;0,R50*INDIRECT(ADDRESS(MATCH(G50,'Cost Conversion'!$B$3:$B$48,0)+2,4,1,1,"Cost conversion"))*INDIRECT(ADDRESS(MATCH(H50,'Cost Conversion'!$F$3:$F$22,0)+2,8,1,1,"Cost conversion"))/IF(F50="$",'Cost Conversion'!$L$2,1),0))</f>
        <v>1.3852237113247163</v>
      </c>
      <c r="T50" s="607"/>
      <c r="U50" s="83"/>
      <c r="V50" s="103"/>
      <c r="W50" s="957" t="s">
        <v>260</v>
      </c>
      <c r="X50" s="958"/>
      <c r="Y50" s="959"/>
      <c r="Z50" s="210"/>
      <c r="AA50" s="210"/>
      <c r="AB50" s="892" t="s">
        <v>261</v>
      </c>
      <c r="AC50" s="894"/>
      <c r="AD50" s="661">
        <v>0.7</v>
      </c>
      <c r="AE50" s="210"/>
      <c r="AF50" s="210"/>
      <c r="AG50" s="273"/>
      <c r="AH50" s="99"/>
      <c r="AI50" s="951"/>
      <c r="AJ50" s="952"/>
      <c r="AK50" s="952"/>
      <c r="AL50" s="952"/>
      <c r="AM50" s="952"/>
      <c r="AN50" s="953"/>
      <c r="AO50" s="104"/>
      <c r="AP50" s="83"/>
      <c r="AQ50" s="215"/>
      <c r="AR50" s="371"/>
    </row>
    <row r="51" spans="1:57" ht="16.25" customHeight="1" x14ac:dyDescent="0.2">
      <c r="A51" s="83"/>
      <c r="B51" s="103"/>
      <c r="C51" s="273" t="s">
        <v>262</v>
      </c>
      <c r="D51" s="273" t="s">
        <v>263</v>
      </c>
      <c r="E51" s="96" t="s">
        <v>258</v>
      </c>
      <c r="F51" s="96" t="s">
        <v>53</v>
      </c>
      <c r="G51" s="96">
        <v>2008</v>
      </c>
      <c r="H51" s="96" t="s">
        <v>48</v>
      </c>
      <c r="I51" s="96" t="s">
        <v>259</v>
      </c>
      <c r="J51" s="96" t="s">
        <v>57</v>
      </c>
      <c r="K51" s="96">
        <v>1</v>
      </c>
      <c r="L51" s="96">
        <v>0.75</v>
      </c>
      <c r="M51" s="273">
        <v>1</v>
      </c>
      <c r="N51" s="96">
        <v>1800</v>
      </c>
      <c r="O51" s="96">
        <v>17.5</v>
      </c>
      <c r="P51" s="96">
        <v>1</v>
      </c>
      <c r="Q51" s="158">
        <f>+Q50</f>
        <v>791.38818139243176</v>
      </c>
      <c r="R51" s="193">
        <f t="shared" si="10"/>
        <v>9.4487822361054192</v>
      </c>
      <c r="S51" s="193" cm="1">
        <f t="array" aca="1" ref="S51" ca="1">IF(ISBLANK(Q51),"",IF(R51&gt;0,R51*INDIRECT(ADDRESS(MATCH(G51,'Cost Conversion'!$B$3:$B$48,0)+2,4,1,1,"Cost conversion"))*INDIRECT(ADDRESS(MATCH(H51,'Cost Conversion'!$F$3:$F$22,0)+2,8,1,1,"Cost conversion"))/IF(F51="$",'Cost Conversion'!$L$2,1),0))</f>
        <v>10.450956907437234</v>
      </c>
      <c r="T51" s="607"/>
      <c r="U51" s="83"/>
      <c r="V51" s="103"/>
      <c r="W51" s="669" t="s">
        <v>264</v>
      </c>
      <c r="X51" s="783">
        <v>0.25</v>
      </c>
      <c r="Y51" s="640" t="s">
        <v>187</v>
      </c>
      <c r="Z51" s="210"/>
      <c r="AA51" s="210"/>
      <c r="AB51" s="892" t="s">
        <v>265</v>
      </c>
      <c r="AC51" s="894"/>
      <c r="AD51" s="661">
        <v>1500</v>
      </c>
      <c r="AE51" s="210"/>
      <c r="AF51" s="210"/>
      <c r="AG51" s="273"/>
      <c r="AH51" s="99"/>
      <c r="AI51" s="951"/>
      <c r="AJ51" s="952"/>
      <c r="AK51" s="952"/>
      <c r="AL51" s="952"/>
      <c r="AM51" s="952"/>
      <c r="AN51" s="953"/>
      <c r="AO51" s="104"/>
      <c r="AP51" s="83"/>
      <c r="AQ51" s="215"/>
      <c r="AR51" s="371"/>
    </row>
    <row r="52" spans="1:57" ht="16.25" customHeight="1" x14ac:dyDescent="0.2">
      <c r="A52" s="83"/>
      <c r="B52" s="103"/>
      <c r="C52" s="776" t="s">
        <v>266</v>
      </c>
      <c r="D52" s="776"/>
      <c r="E52" s="777"/>
      <c r="F52" s="777" t="str">
        <f>+F46</f>
        <v>$</v>
      </c>
      <c r="G52" s="777">
        <v>2001</v>
      </c>
      <c r="H52" s="777" t="str">
        <f>+H49</f>
        <v>Western Europe</v>
      </c>
      <c r="I52" s="96"/>
      <c r="J52" s="96"/>
      <c r="K52" s="96"/>
      <c r="L52" s="96"/>
      <c r="M52" s="273"/>
      <c r="N52" s="96"/>
      <c r="O52" s="96"/>
      <c r="P52" s="96"/>
      <c r="Q52" s="778">
        <v>1</v>
      </c>
      <c r="R52" s="779">
        <f>+S13</f>
        <v>11.970904863058125</v>
      </c>
      <c r="S52" s="779"/>
      <c r="T52" s="607">
        <f t="shared" si="9"/>
        <v>0</v>
      </c>
      <c r="U52" s="83"/>
      <c r="V52" s="103"/>
      <c r="W52" s="784" t="s">
        <v>267</v>
      </c>
      <c r="X52" s="786">
        <v>7850</v>
      </c>
      <c r="Y52" s="97" t="s">
        <v>268</v>
      </c>
      <c r="Z52" s="210"/>
      <c r="AA52" s="210"/>
      <c r="AB52" s="945" t="s">
        <v>269</v>
      </c>
      <c r="AC52" s="946"/>
      <c r="AD52" s="533">
        <v>5000</v>
      </c>
      <c r="AE52" s="210"/>
      <c r="AF52" s="210"/>
      <c r="AG52" s="488"/>
      <c r="AH52" s="663"/>
      <c r="AI52" s="951"/>
      <c r="AJ52" s="952"/>
      <c r="AK52" s="952"/>
      <c r="AL52" s="952"/>
      <c r="AM52" s="952"/>
      <c r="AN52" s="953"/>
      <c r="AO52" s="104"/>
      <c r="AP52" s="83"/>
      <c r="AQ52" s="215"/>
      <c r="AR52" s="371"/>
    </row>
    <row r="53" spans="1:57" ht="16.25" customHeight="1" x14ac:dyDescent="0.2">
      <c r="A53" s="83"/>
      <c r="B53" s="103"/>
      <c r="C53" s="776" t="s">
        <v>270</v>
      </c>
      <c r="D53" s="776"/>
      <c r="E53" s="777"/>
      <c r="F53" s="777" t="str">
        <f>+F52</f>
        <v>$</v>
      </c>
      <c r="G53" s="777">
        <v>2001</v>
      </c>
      <c r="H53" s="777" t="str">
        <f>+H52</f>
        <v>Western Europe</v>
      </c>
      <c r="I53" s="96"/>
      <c r="J53" s="96"/>
      <c r="K53" s="96"/>
      <c r="L53" s="96"/>
      <c r="M53" s="274"/>
      <c r="N53" s="275"/>
      <c r="O53" s="275"/>
      <c r="P53" s="275"/>
      <c r="Q53" s="780">
        <v>1</v>
      </c>
      <c r="R53" s="779">
        <f>+S14</f>
        <v>2.1893789416687723</v>
      </c>
      <c r="S53" s="779"/>
      <c r="T53" s="607">
        <f t="shared" si="9"/>
        <v>0</v>
      </c>
      <c r="U53" s="83"/>
      <c r="V53" s="103"/>
      <c r="W53" s="784" t="s">
        <v>271</v>
      </c>
      <c r="X53" s="786">
        <v>3</v>
      </c>
      <c r="Y53" s="785" t="s">
        <v>187</v>
      </c>
      <c r="Z53" s="210"/>
      <c r="AA53" s="210"/>
      <c r="AB53" s="210"/>
      <c r="AC53" s="210"/>
      <c r="AD53" s="210"/>
      <c r="AE53" s="210"/>
      <c r="AF53" s="210"/>
      <c r="AG53" s="488"/>
      <c r="AH53" s="663"/>
      <c r="AI53" s="951"/>
      <c r="AJ53" s="952"/>
      <c r="AK53" s="952"/>
      <c r="AL53" s="952"/>
      <c r="AM53" s="952"/>
      <c r="AN53" s="953"/>
      <c r="AO53" s="104"/>
      <c r="AP53" s="83"/>
      <c r="AQ53" s="215"/>
      <c r="AR53" s="371"/>
    </row>
    <row r="54" spans="1:57" ht="16.25" customHeight="1" x14ac:dyDescent="0.2">
      <c r="A54" s="83"/>
      <c r="B54" s="103"/>
      <c r="C54" s="200"/>
      <c r="D54" s="274"/>
      <c r="E54" s="275"/>
      <c r="F54" s="275"/>
      <c r="G54" s="275"/>
      <c r="H54" s="275"/>
      <c r="I54" s="275"/>
      <c r="J54" s="275"/>
      <c r="K54" s="275"/>
      <c r="L54" s="98"/>
      <c r="M54" s="425" t="s">
        <v>272</v>
      </c>
      <c r="N54" s="418" t="s">
        <v>226</v>
      </c>
      <c r="O54" s="570" t="s">
        <v>50</v>
      </c>
      <c r="P54" s="943" t="s">
        <v>47</v>
      </c>
      <c r="Q54" s="944"/>
      <c r="R54" s="420" t="s">
        <v>273</v>
      </c>
      <c r="S54" s="426" t="s">
        <v>274</v>
      </c>
      <c r="T54" s="104"/>
      <c r="U54" s="83"/>
      <c r="V54" s="103"/>
      <c r="W54" s="784" t="s">
        <v>275</v>
      </c>
      <c r="X54" s="96">
        <v>0.15</v>
      </c>
      <c r="Y54" s="97" t="s">
        <v>244</v>
      </c>
      <c r="Z54" s="210"/>
      <c r="AA54" s="210"/>
      <c r="AB54" s="210"/>
      <c r="AC54" s="210"/>
      <c r="AD54" s="210"/>
      <c r="AE54" s="210"/>
      <c r="AF54" s="210"/>
      <c r="AG54" s="488"/>
      <c r="AH54" s="663"/>
      <c r="AI54" s="951"/>
      <c r="AJ54" s="952"/>
      <c r="AK54" s="952"/>
      <c r="AL54" s="952"/>
      <c r="AM54" s="952"/>
      <c r="AN54" s="953"/>
      <c r="AO54" s="104"/>
      <c r="AP54" s="83"/>
      <c r="AQ54" s="215"/>
      <c r="AR54" s="371"/>
    </row>
    <row r="55" spans="1:57" ht="16.25" customHeight="1" x14ac:dyDescent="0.2">
      <c r="A55" s="83"/>
      <c r="B55" s="103"/>
      <c r="C55" s="577"/>
      <c r="D55" s="365"/>
      <c r="E55" s="365"/>
      <c r="F55" s="365"/>
      <c r="G55" s="365"/>
      <c r="H55" s="365"/>
      <c r="I55" s="365"/>
      <c r="J55" s="365"/>
      <c r="K55" s="365"/>
      <c r="L55" s="573"/>
      <c r="M55" s="502" t="s">
        <v>276</v>
      </c>
      <c r="N55" s="409" t="s">
        <v>236</v>
      </c>
      <c r="O55" s="475">
        <v>2001</v>
      </c>
      <c r="P55" s="871" t="s">
        <v>237</v>
      </c>
      <c r="Q55" s="873"/>
      <c r="R55" s="427">
        <f>+IF(SUM(S13:S43)&gt;0,IF(G3="Equipment",SUM(S13:S43),"NaN"),"")</f>
        <v>31.611537347824743</v>
      </c>
      <c r="S55" s="428" cm="1">
        <f t="array" aca="1" ref="S55" ca="1">+IF(R55="","",R55*INDIRECT(ADDRESS(MATCH(O55,'Cost Conversion'!$B$3:$B$48,0)+2,4,1,1,"Cost conversion"))*INDIRECT(ADDRESS(MATCH(P55,'Cost Conversion'!$F$3:$F$22,0)+2,8,1,1,"Cost conversion"))/IF(N55="$",'Cost Conversion'!$L$2,1))</f>
        <v>51.023343574253978</v>
      </c>
      <c r="T55" s="104"/>
      <c r="U55" s="83"/>
      <c r="V55" s="103"/>
      <c r="W55" s="273" t="s">
        <v>277</v>
      </c>
      <c r="X55" s="96">
        <v>2</v>
      </c>
      <c r="Y55" s="97" t="s">
        <v>187</v>
      </c>
      <c r="Z55" s="210"/>
      <c r="AA55" s="210"/>
      <c r="AB55" s="210"/>
      <c r="AC55" s="210"/>
      <c r="AD55" s="210"/>
      <c r="AE55" s="210"/>
      <c r="AF55" s="210"/>
      <c r="AG55" s="488"/>
      <c r="AH55" s="663"/>
      <c r="AI55" s="951"/>
      <c r="AJ55" s="952"/>
      <c r="AK55" s="952"/>
      <c r="AL55" s="952"/>
      <c r="AM55" s="952"/>
      <c r="AN55" s="953"/>
      <c r="AO55" s="104"/>
      <c r="AP55" s="83"/>
      <c r="AQ55" s="215"/>
      <c r="AR55" s="371"/>
    </row>
    <row r="56" spans="1:57" ht="16.25" customHeight="1" x14ac:dyDescent="0.2">
      <c r="A56" s="83"/>
      <c r="B56" s="103"/>
      <c r="C56" s="574"/>
      <c r="D56" s="575"/>
      <c r="E56" s="575"/>
      <c r="F56" s="575"/>
      <c r="G56" s="575"/>
      <c r="H56" s="575"/>
      <c r="I56" s="575"/>
      <c r="J56" s="575"/>
      <c r="K56" s="575"/>
      <c r="L56" s="576"/>
      <c r="M56" s="409" t="s">
        <v>278</v>
      </c>
      <c r="N56" s="127"/>
      <c r="O56" s="133"/>
      <c r="P56" s="871"/>
      <c r="Q56" s="873"/>
      <c r="R56" s="427" t="s">
        <v>187</v>
      </c>
      <c r="S56" s="428">
        <f ca="1">+IF(SUM(S46:S53)&gt;0,SUM(S46:S53),"")</f>
        <v>30.515717797975206</v>
      </c>
      <c r="T56" s="104"/>
      <c r="U56" s="83"/>
      <c r="V56" s="103"/>
      <c r="W56" s="311" t="s">
        <v>279</v>
      </c>
      <c r="X56" s="395">
        <v>3446</v>
      </c>
      <c r="Y56" s="548" t="str">
        <f>+Y52</f>
        <v>kg/m3</v>
      </c>
      <c r="Z56" s="210"/>
      <c r="AA56" s="210"/>
      <c r="AB56" s="210"/>
      <c r="AC56" s="210"/>
      <c r="AD56" s="210"/>
      <c r="AE56" s="210"/>
      <c r="AF56" s="210"/>
      <c r="AG56" s="490"/>
      <c r="AH56" s="666"/>
      <c r="AI56" s="954"/>
      <c r="AJ56" s="955"/>
      <c r="AK56" s="955"/>
      <c r="AL56" s="955"/>
      <c r="AM56" s="955"/>
      <c r="AN56" s="956"/>
      <c r="AO56" s="104"/>
      <c r="AP56" s="83"/>
      <c r="AQ56" s="215"/>
      <c r="AR56" s="371"/>
    </row>
    <row r="57" spans="1:57" ht="16.25" customHeight="1" x14ac:dyDescent="0.2">
      <c r="A57" s="83"/>
      <c r="B57" s="105"/>
      <c r="C57" s="106"/>
      <c r="D57" s="106"/>
      <c r="E57" s="106"/>
      <c r="F57" s="106"/>
      <c r="G57" s="106"/>
      <c r="H57" s="106"/>
      <c r="I57" s="106"/>
      <c r="J57" s="106"/>
      <c r="K57" s="106"/>
      <c r="L57" s="106"/>
      <c r="M57" s="106"/>
      <c r="N57" s="106"/>
      <c r="O57" s="106"/>
      <c r="P57" s="106"/>
      <c r="Q57" s="106"/>
      <c r="R57" s="106"/>
      <c r="S57" s="106"/>
      <c r="T57" s="107"/>
      <c r="U57" s="83"/>
      <c r="V57" s="105"/>
      <c r="W57" s="312" t="s">
        <v>280</v>
      </c>
      <c r="X57" s="285">
        <f>+(1-X51)*(1-0.65)</f>
        <v>0.26249999999999996</v>
      </c>
      <c r="Y57" s="654" t="s">
        <v>187</v>
      </c>
      <c r="Z57" s="106"/>
      <c r="AA57" s="106"/>
      <c r="AB57" s="106"/>
      <c r="AC57" s="106"/>
      <c r="AD57" s="106"/>
      <c r="AE57" s="106"/>
      <c r="AF57" s="106"/>
      <c r="AG57" s="106"/>
      <c r="AH57" s="106"/>
      <c r="AI57" s="106"/>
      <c r="AJ57" s="106"/>
      <c r="AK57" s="106"/>
      <c r="AL57" s="106"/>
      <c r="AM57" s="106"/>
      <c r="AN57" s="106"/>
      <c r="AO57" s="107"/>
      <c r="AP57" s="83"/>
      <c r="AQ57" s="215"/>
      <c r="AR57" s="371"/>
    </row>
    <row r="58" spans="1:57" ht="16.25" customHeight="1" x14ac:dyDescent="0.2">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215"/>
      <c r="AR58" s="371"/>
    </row>
    <row r="59" spans="1:57" ht="16.25" customHeight="1" x14ac:dyDescent="0.2">
      <c r="A59" s="83"/>
      <c r="B59" s="917" t="str">
        <f>+"BEC Distribution: "&amp;E6</f>
        <v>BEC Distribution: GSR Island</v>
      </c>
      <c r="C59" s="918"/>
      <c r="D59" s="918"/>
      <c r="E59" s="918"/>
      <c r="F59" s="918"/>
      <c r="G59" s="919"/>
      <c r="H59" s="917" t="str">
        <f>+"Estimate Benchmark: "&amp;E6</f>
        <v>Estimate Benchmark: GSR Island</v>
      </c>
      <c r="I59" s="918"/>
      <c r="J59" s="918"/>
      <c r="K59" s="918"/>
      <c r="L59" s="918"/>
      <c r="M59" s="918"/>
      <c r="N59" s="919"/>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215"/>
      <c r="AR59" s="371"/>
    </row>
    <row r="60" spans="1:57" ht="16.25" customHeight="1" x14ac:dyDescent="0.2">
      <c r="A60" s="83"/>
      <c r="B60" s="100"/>
      <c r="C60" s="101"/>
      <c r="D60" s="101"/>
      <c r="E60" s="101"/>
      <c r="F60" s="101"/>
      <c r="G60" s="102"/>
      <c r="H60" s="100"/>
      <c r="I60" s="101"/>
      <c r="J60" s="101"/>
      <c r="K60" s="101"/>
      <c r="L60" s="101"/>
      <c r="M60" s="101"/>
      <c r="N60" s="102"/>
      <c r="O60" s="161"/>
      <c r="P60" s="376"/>
      <c r="Q60" s="376"/>
      <c r="R60" s="215"/>
      <c r="S60" s="372"/>
      <c r="T60" s="215"/>
      <c r="U60" s="215"/>
      <c r="V60" s="215"/>
      <c r="W60" s="215"/>
      <c r="X60" s="215"/>
      <c r="Y60" s="215"/>
      <c r="Z60" s="215"/>
      <c r="AA60" s="215"/>
      <c r="AB60" s="215"/>
      <c r="AC60" s="215"/>
      <c r="AD60" s="215"/>
      <c r="AE60" s="215"/>
      <c r="AF60" s="215"/>
      <c r="AG60" s="215"/>
      <c r="AH60" s="215"/>
      <c r="AI60" s="215"/>
      <c r="AJ60" s="215"/>
      <c r="AK60" s="215"/>
      <c r="AL60" s="215"/>
      <c r="AM60" s="215"/>
      <c r="AN60" s="215"/>
      <c r="AO60" s="215"/>
      <c r="AP60" s="215"/>
      <c r="AQ60" s="215"/>
      <c r="AR60" s="371"/>
      <c r="AS60" s="372"/>
      <c r="AT60" s="372"/>
      <c r="AU60" s="372"/>
      <c r="AV60" s="372"/>
      <c r="AW60" s="372"/>
      <c r="AX60" s="372"/>
      <c r="AY60" s="372"/>
      <c r="AZ60" s="372"/>
      <c r="BA60" s="372"/>
      <c r="BB60" s="372"/>
      <c r="BC60" s="372"/>
      <c r="BD60" s="372"/>
      <c r="BE60" s="372"/>
    </row>
    <row r="61" spans="1:57" ht="16.25" customHeight="1" x14ac:dyDescent="0.2">
      <c r="A61" s="83"/>
      <c r="B61" s="103"/>
      <c r="C61" s="83"/>
      <c r="D61" s="83"/>
      <c r="E61" s="83"/>
      <c r="F61" s="83"/>
      <c r="G61" s="104"/>
      <c r="H61" s="103"/>
      <c r="I61" s="83"/>
      <c r="J61" s="83"/>
      <c r="K61" s="83"/>
      <c r="L61" s="83"/>
      <c r="M61" s="83"/>
      <c r="N61" s="104"/>
      <c r="O61" s="164"/>
      <c r="P61" s="376"/>
      <c r="Q61" s="809" t="s">
        <v>176</v>
      </c>
      <c r="R61" s="157">
        <v>22.664522569821067</v>
      </c>
      <c r="S61" s="810">
        <f>+R61+R62+R74+R73+R72+R71</f>
        <v>66.380663438134476</v>
      </c>
      <c r="T61" s="215"/>
      <c r="U61" s="215"/>
      <c r="V61" s="215"/>
      <c r="W61" s="215"/>
      <c r="X61" s="215"/>
      <c r="Y61" s="215"/>
      <c r="Z61" s="215"/>
      <c r="AA61" s="215"/>
      <c r="AB61" s="215"/>
      <c r="AC61" s="215"/>
      <c r="AD61" s="215"/>
      <c r="AE61" s="215"/>
      <c r="AF61" s="215"/>
      <c r="AG61" s="215"/>
      <c r="AH61" s="215"/>
      <c r="AI61" s="215"/>
      <c r="AJ61" s="215"/>
      <c r="AK61" s="215"/>
      <c r="AL61" s="215"/>
      <c r="AM61" s="215"/>
      <c r="AN61" s="215"/>
      <c r="AO61" s="215"/>
      <c r="AP61" s="215"/>
      <c r="AQ61" s="215"/>
      <c r="AR61" s="371"/>
      <c r="AS61" s="372"/>
      <c r="AT61" s="372"/>
      <c r="AU61" s="372"/>
      <c r="AV61" s="372"/>
      <c r="AW61" s="372"/>
      <c r="AX61" s="372"/>
      <c r="AY61" s="372"/>
      <c r="AZ61" s="372"/>
      <c r="BA61" s="372"/>
      <c r="BB61" s="372"/>
      <c r="BC61" s="372"/>
      <c r="BD61" s="372"/>
      <c r="BE61" s="372"/>
    </row>
    <row r="62" spans="1:57" ht="16.25" customHeight="1" x14ac:dyDescent="0.2">
      <c r="A62" s="83"/>
      <c r="B62" s="103"/>
      <c r="C62" s="83"/>
      <c r="D62" s="83"/>
      <c r="E62" s="83"/>
      <c r="F62" s="83"/>
      <c r="G62" s="104"/>
      <c r="H62" s="103"/>
      <c r="I62" s="83"/>
      <c r="J62" s="83"/>
      <c r="K62" s="83"/>
      <c r="L62" s="83"/>
      <c r="M62" s="83"/>
      <c r="N62" s="104"/>
      <c r="O62" s="160"/>
      <c r="P62" s="215"/>
      <c r="Q62" s="157" t="s">
        <v>181</v>
      </c>
      <c r="R62" s="157">
        <v>21.845632930370257</v>
      </c>
      <c r="S62" s="811">
        <f>+S61/R77</f>
        <v>0.64230146828981882</v>
      </c>
      <c r="T62" s="215"/>
      <c r="U62" s="215"/>
      <c r="V62" s="215"/>
      <c r="W62" s="215"/>
      <c r="X62" s="215"/>
      <c r="Y62" s="215"/>
      <c r="Z62" s="215"/>
      <c r="AA62" s="215"/>
      <c r="AB62" s="215"/>
      <c r="AC62" s="215"/>
      <c r="AD62" s="215"/>
      <c r="AE62" s="215"/>
      <c r="AF62" s="215"/>
      <c r="AG62" s="215"/>
      <c r="AH62" s="215"/>
      <c r="AI62" s="215"/>
      <c r="AJ62" s="215"/>
      <c r="AK62" s="215"/>
      <c r="AL62" s="215"/>
      <c r="AM62" s="215"/>
      <c r="AN62" s="215"/>
      <c r="AO62" s="215"/>
      <c r="AP62" s="215"/>
      <c r="AQ62" s="215"/>
      <c r="AR62" s="371"/>
      <c r="AS62" s="372"/>
      <c r="AT62" s="372"/>
      <c r="AU62" s="372"/>
      <c r="AV62" s="372"/>
      <c r="AW62" s="372"/>
      <c r="AX62" s="372"/>
      <c r="AY62" s="372"/>
      <c r="AZ62" s="372"/>
      <c r="BA62" s="372"/>
      <c r="BB62" s="372"/>
      <c r="BC62" s="372"/>
      <c r="BD62" s="372"/>
      <c r="BE62" s="372"/>
    </row>
    <row r="63" spans="1:57" ht="16.25" customHeight="1" x14ac:dyDescent="0.2">
      <c r="A63" s="83"/>
      <c r="B63" s="103"/>
      <c r="C63" s="83"/>
      <c r="D63" s="83"/>
      <c r="E63" s="83"/>
      <c r="F63" s="83"/>
      <c r="G63" s="104"/>
      <c r="H63" s="103"/>
      <c r="I63" s="83"/>
      <c r="J63" s="83"/>
      <c r="K63" s="83"/>
      <c r="L63" s="83"/>
      <c r="M63" s="83"/>
      <c r="N63" s="104"/>
      <c r="O63" s="83"/>
      <c r="P63" s="215"/>
      <c r="Q63" s="157" t="s">
        <v>183</v>
      </c>
      <c r="R63" s="157">
        <v>0.18895232369694229</v>
      </c>
      <c r="S63" s="157"/>
      <c r="T63" s="215"/>
      <c r="U63" s="215"/>
      <c r="V63" s="372"/>
      <c r="W63" s="215"/>
      <c r="X63" s="215"/>
      <c r="Y63" s="215"/>
      <c r="Z63" s="215"/>
      <c r="AA63" s="215"/>
      <c r="AB63" s="215"/>
      <c r="AC63" s="215"/>
      <c r="AD63" s="215"/>
      <c r="AE63" s="215"/>
      <c r="AF63" s="215"/>
      <c r="AG63" s="215"/>
      <c r="AH63" s="215"/>
      <c r="AI63" s="215"/>
      <c r="AJ63" s="215"/>
      <c r="AK63" s="215"/>
      <c r="AL63" s="215"/>
      <c r="AM63" s="215"/>
      <c r="AN63" s="215"/>
      <c r="AO63" s="215"/>
      <c r="AP63" s="215"/>
      <c r="AQ63" s="215"/>
      <c r="AR63" s="371"/>
      <c r="AS63" s="372"/>
      <c r="AT63" s="372"/>
      <c r="AU63" s="372"/>
      <c r="AV63" s="372"/>
      <c r="AW63" s="372"/>
      <c r="AX63" s="372"/>
      <c r="AY63" s="372"/>
      <c r="AZ63" s="372"/>
      <c r="BA63" s="372"/>
      <c r="BB63" s="372"/>
      <c r="BC63" s="372"/>
      <c r="BD63" s="372"/>
      <c r="BE63" s="372"/>
    </row>
    <row r="64" spans="1:57" ht="16.25" customHeight="1" x14ac:dyDescent="0.2">
      <c r="A64" s="83"/>
      <c r="B64" s="103"/>
      <c r="C64" s="83"/>
      <c r="D64" s="83"/>
      <c r="E64" s="83"/>
      <c r="F64" s="83"/>
      <c r="G64" s="104"/>
      <c r="H64" s="103"/>
      <c r="I64" s="83"/>
      <c r="J64" s="83"/>
      <c r="K64" s="83"/>
      <c r="L64" s="83"/>
      <c r="M64" s="83"/>
      <c r="N64" s="104"/>
      <c r="O64" s="83"/>
      <c r="P64" s="215"/>
      <c r="Q64" s="157" t="s">
        <v>188</v>
      </c>
      <c r="R64" s="157">
        <v>14.002963459037195</v>
      </c>
      <c r="S64" s="157">
        <f>30*S62</f>
        <v>19.269044048694564</v>
      </c>
      <c r="T64" s="215"/>
      <c r="U64" s="215"/>
      <c r="V64" s="215"/>
      <c r="W64" s="215"/>
      <c r="X64" s="215"/>
      <c r="Y64" s="215"/>
      <c r="Z64" s="215"/>
      <c r="AA64" s="215"/>
      <c r="AB64" s="215"/>
      <c r="AC64" s="215"/>
      <c r="AD64" s="215"/>
      <c r="AE64" s="215"/>
      <c r="AF64" s="215"/>
      <c r="AG64" s="215"/>
      <c r="AH64" s="215"/>
      <c r="AI64" s="215"/>
      <c r="AJ64" s="215"/>
      <c r="AK64" s="215"/>
      <c r="AL64" s="215"/>
      <c r="AM64" s="215"/>
      <c r="AN64" s="215"/>
      <c r="AO64" s="215"/>
      <c r="AP64" s="215"/>
      <c r="AQ64" s="215"/>
      <c r="AR64" s="371"/>
      <c r="AS64" s="372"/>
      <c r="AT64" s="372"/>
      <c r="AU64" s="372"/>
      <c r="AV64" s="372"/>
      <c r="AW64" s="372"/>
      <c r="AX64" s="372"/>
      <c r="AY64" s="372"/>
      <c r="AZ64" s="372"/>
      <c r="BA64" s="372"/>
      <c r="BB64" s="372"/>
      <c r="BC64" s="372"/>
      <c r="BD64" s="372"/>
      <c r="BE64" s="372"/>
    </row>
    <row r="65" spans="1:57" ht="16.25" customHeight="1" x14ac:dyDescent="0.2">
      <c r="A65" s="83"/>
      <c r="B65" s="103"/>
      <c r="C65" s="83"/>
      <c r="D65" s="83"/>
      <c r="E65" s="83"/>
      <c r="F65" s="83"/>
      <c r="G65" s="104"/>
      <c r="H65" s="103"/>
      <c r="I65" s="83"/>
      <c r="J65" s="83"/>
      <c r="K65" s="83"/>
      <c r="L65" s="83"/>
      <c r="M65" s="83"/>
      <c r="N65" s="104"/>
      <c r="O65" s="83"/>
      <c r="P65" s="215"/>
      <c r="Q65" s="157" t="s">
        <v>191</v>
      </c>
      <c r="R65" s="157">
        <v>2.2817001656139202</v>
      </c>
      <c r="S65" s="157"/>
      <c r="T65" s="376"/>
      <c r="U65" s="215"/>
      <c r="V65" s="215"/>
      <c r="W65" s="215"/>
      <c r="X65" s="215"/>
      <c r="Y65" s="215"/>
      <c r="Z65" s="215"/>
      <c r="AA65" s="215"/>
      <c r="AB65" s="215"/>
      <c r="AC65" s="215"/>
      <c r="AD65" s="215"/>
      <c r="AE65" s="215"/>
      <c r="AF65" s="215"/>
      <c r="AG65" s="215"/>
      <c r="AH65" s="215"/>
      <c r="AI65" s="215"/>
      <c r="AJ65" s="215"/>
      <c r="AK65" s="215"/>
      <c r="AL65" s="215"/>
      <c r="AM65" s="215"/>
      <c r="AN65" s="215"/>
      <c r="AO65" s="215"/>
      <c r="AP65" s="215"/>
      <c r="AQ65" s="215"/>
      <c r="AR65" s="371"/>
      <c r="AS65" s="372"/>
      <c r="AT65" s="372"/>
      <c r="AU65" s="372"/>
      <c r="AV65" s="372"/>
      <c r="AW65" s="372"/>
      <c r="AX65" s="372"/>
      <c r="AY65" s="372"/>
      <c r="AZ65" s="372"/>
      <c r="BA65" s="372"/>
      <c r="BB65" s="372"/>
      <c r="BC65" s="372"/>
      <c r="BD65" s="372"/>
      <c r="BE65" s="372"/>
    </row>
    <row r="66" spans="1:57" ht="16.25" customHeight="1" x14ac:dyDescent="0.2">
      <c r="A66" s="83"/>
      <c r="B66" s="103"/>
      <c r="C66" s="83"/>
      <c r="D66" s="83"/>
      <c r="E66" s="83"/>
      <c r="F66" s="83"/>
      <c r="G66" s="104"/>
      <c r="H66" s="103"/>
      <c r="I66" s="83"/>
      <c r="J66" s="83"/>
      <c r="K66" s="83"/>
      <c r="L66" s="83"/>
      <c r="M66" s="83"/>
      <c r="N66" s="104"/>
      <c r="O66" s="83"/>
      <c r="P66" s="215"/>
      <c r="Q66" s="157" t="s">
        <v>209</v>
      </c>
      <c r="R66" s="157">
        <v>3.4482349872769604</v>
      </c>
      <c r="S66" s="157"/>
      <c r="T66" s="376"/>
      <c r="U66" s="215"/>
      <c r="V66" s="215"/>
      <c r="W66" s="215"/>
      <c r="X66" s="215"/>
      <c r="Y66" s="215"/>
      <c r="Z66" s="215"/>
      <c r="AA66" s="215"/>
      <c r="AB66" s="215"/>
      <c r="AC66" s="215"/>
      <c r="AD66" s="215"/>
      <c r="AE66" s="215"/>
      <c r="AF66" s="215"/>
      <c r="AG66" s="215"/>
      <c r="AH66" s="215"/>
      <c r="AI66" s="215"/>
      <c r="AJ66" s="215"/>
      <c r="AK66" s="215"/>
      <c r="AL66" s="215"/>
      <c r="AM66" s="215"/>
      <c r="AN66" s="215"/>
      <c r="AO66" s="215"/>
      <c r="AP66" s="215"/>
      <c r="AQ66" s="215"/>
      <c r="AR66" s="371"/>
      <c r="AS66" s="372"/>
      <c r="AT66" s="372"/>
      <c r="AU66" s="372"/>
      <c r="AV66" s="372"/>
      <c r="AW66" s="372"/>
      <c r="AX66" s="372"/>
      <c r="AY66" s="372"/>
      <c r="AZ66" s="372"/>
      <c r="BA66" s="372"/>
      <c r="BB66" s="372"/>
      <c r="BC66" s="372"/>
      <c r="BD66" s="372"/>
      <c r="BE66" s="372"/>
    </row>
    <row r="67" spans="1:57" ht="16.25" customHeight="1" x14ac:dyDescent="0.2">
      <c r="A67" s="83"/>
      <c r="B67" s="103"/>
      <c r="C67" s="83"/>
      <c r="D67" s="83"/>
      <c r="E67" s="83"/>
      <c r="F67" s="83"/>
      <c r="G67" s="104"/>
      <c r="H67" s="103"/>
      <c r="I67" s="83"/>
      <c r="J67" s="83"/>
      <c r="K67" s="83"/>
      <c r="L67" s="83"/>
      <c r="M67" s="83"/>
      <c r="N67" s="104"/>
      <c r="O67" s="83"/>
      <c r="P67" s="215"/>
      <c r="Q67" s="157" t="s">
        <v>212</v>
      </c>
      <c r="R67" s="157">
        <v>0.81653669572413945</v>
      </c>
      <c r="S67" s="157"/>
      <c r="T67" s="215"/>
      <c r="U67" s="215"/>
      <c r="V67" s="215"/>
      <c r="W67" s="215"/>
      <c r="X67" s="215"/>
      <c r="Y67" s="215"/>
      <c r="Z67" s="215"/>
      <c r="AA67" s="215"/>
      <c r="AB67" s="215"/>
      <c r="AC67" s="215"/>
      <c r="AD67" s="215"/>
      <c r="AE67" s="215"/>
      <c r="AF67" s="215"/>
      <c r="AG67" s="215"/>
      <c r="AH67" s="215"/>
      <c r="AI67" s="215"/>
      <c r="AJ67" s="215"/>
      <c r="AK67" s="215"/>
      <c r="AL67" s="215"/>
      <c r="AM67" s="215"/>
      <c r="AN67" s="215"/>
      <c r="AO67" s="215"/>
      <c r="AP67" s="215"/>
      <c r="AQ67" s="215"/>
      <c r="AR67" s="371"/>
      <c r="AS67" s="372"/>
      <c r="AT67" s="372"/>
      <c r="AU67" s="372"/>
      <c r="AV67" s="372"/>
      <c r="AW67" s="372"/>
      <c r="AX67" s="372"/>
      <c r="AY67" s="372"/>
      <c r="AZ67" s="372"/>
      <c r="BA67" s="372"/>
      <c r="BB67" s="372"/>
      <c r="BC67" s="372"/>
      <c r="BD67" s="372"/>
      <c r="BE67" s="372"/>
    </row>
    <row r="68" spans="1:57" ht="16.25" customHeight="1" x14ac:dyDescent="0.2">
      <c r="A68" s="83"/>
      <c r="B68" s="103"/>
      <c r="C68" s="83"/>
      <c r="D68" s="83"/>
      <c r="E68" s="83"/>
      <c r="F68" s="83"/>
      <c r="G68" s="104"/>
      <c r="H68" s="103"/>
      <c r="I68" s="83"/>
      <c r="J68" s="83"/>
      <c r="K68" s="83"/>
      <c r="L68" s="83"/>
      <c r="M68" s="83"/>
      <c r="N68" s="104"/>
      <c r="O68" s="83"/>
      <c r="P68" s="215"/>
      <c r="Q68" s="157" t="s">
        <v>214</v>
      </c>
      <c r="R68" s="157">
        <v>0.94024133920922914</v>
      </c>
      <c r="S68" s="157"/>
      <c r="T68" s="215"/>
      <c r="U68" s="215"/>
      <c r="V68" s="215"/>
      <c r="W68" s="215"/>
      <c r="X68" s="215"/>
      <c r="Y68" s="215"/>
      <c r="Z68" s="215"/>
      <c r="AA68" s="215"/>
      <c r="AB68" s="215"/>
      <c r="AC68" s="215"/>
      <c r="AD68" s="215"/>
      <c r="AE68" s="215"/>
      <c r="AF68" s="215"/>
      <c r="AG68" s="215"/>
      <c r="AH68" s="215"/>
      <c r="AI68" s="215"/>
      <c r="AJ68" s="215"/>
      <c r="AK68" s="215"/>
      <c r="AL68" s="215"/>
      <c r="AM68" s="215"/>
      <c r="AN68" s="215"/>
      <c r="AO68" s="215"/>
      <c r="AP68" s="215"/>
      <c r="AQ68" s="215"/>
      <c r="AR68" s="371"/>
      <c r="AS68" s="372"/>
      <c r="AT68" s="372"/>
      <c r="AU68" s="372"/>
      <c r="AV68" s="372"/>
      <c r="AW68" s="372"/>
      <c r="AX68" s="372"/>
      <c r="AY68" s="372"/>
      <c r="AZ68" s="372"/>
      <c r="BA68" s="372"/>
      <c r="BB68" s="372"/>
      <c r="BC68" s="372"/>
      <c r="BD68" s="372"/>
      <c r="BE68" s="372"/>
    </row>
    <row r="69" spans="1:57" ht="16.25" customHeight="1" x14ac:dyDescent="0.2">
      <c r="A69" s="83"/>
      <c r="B69" s="103"/>
      <c r="C69" s="83"/>
      <c r="D69" s="83"/>
      <c r="E69" s="83"/>
      <c r="F69" s="83"/>
      <c r="G69" s="104"/>
      <c r="H69" s="103"/>
      <c r="I69" s="83"/>
      <c r="J69" s="83"/>
      <c r="K69" s="83"/>
      <c r="L69" s="83"/>
      <c r="M69" s="83"/>
      <c r="N69" s="104"/>
      <c r="O69" s="83"/>
      <c r="P69" s="215"/>
      <c r="Q69" s="157" t="s">
        <v>215</v>
      </c>
      <c r="R69" s="157">
        <v>2.6164479939081073</v>
      </c>
      <c r="S69" s="157"/>
      <c r="T69" s="215"/>
      <c r="U69" s="215"/>
      <c r="V69" s="215"/>
      <c r="W69" s="215"/>
      <c r="X69" s="215"/>
      <c r="Y69" s="215"/>
      <c r="Z69" s="215"/>
      <c r="AA69" s="215"/>
      <c r="AB69" s="215"/>
      <c r="AC69" s="215"/>
      <c r="AD69" s="215"/>
      <c r="AE69" s="215"/>
      <c r="AF69" s="215"/>
      <c r="AG69" s="215"/>
      <c r="AH69" s="215"/>
      <c r="AI69" s="215"/>
      <c r="AJ69" s="215"/>
      <c r="AK69" s="215"/>
      <c r="AL69" s="215"/>
      <c r="AM69" s="215"/>
      <c r="AN69" s="215"/>
      <c r="AO69" s="215"/>
      <c r="AP69" s="215"/>
      <c r="AQ69" s="215"/>
      <c r="AR69" s="371"/>
      <c r="AS69" s="372"/>
      <c r="AT69" s="372"/>
      <c r="AU69" s="372"/>
      <c r="AV69" s="372"/>
      <c r="AW69" s="372"/>
      <c r="AX69" s="372"/>
      <c r="AY69" s="372"/>
      <c r="AZ69" s="372"/>
      <c r="BA69" s="372"/>
      <c r="BB69" s="372"/>
      <c r="BC69" s="372"/>
      <c r="BD69" s="372"/>
      <c r="BE69" s="372"/>
    </row>
    <row r="70" spans="1:57" ht="16.25" customHeight="1" x14ac:dyDescent="0.2">
      <c r="A70" s="83"/>
      <c r="B70" s="103"/>
      <c r="C70" s="83"/>
      <c r="D70" s="83"/>
      <c r="E70" s="83"/>
      <c r="F70" s="83"/>
      <c r="G70" s="104"/>
      <c r="H70" s="103"/>
      <c r="I70" s="83"/>
      <c r="J70" s="83"/>
      <c r="K70" s="83"/>
      <c r="L70" s="83"/>
      <c r="M70" s="83"/>
      <c r="N70" s="104"/>
      <c r="O70" s="83"/>
      <c r="P70" s="215"/>
      <c r="Q70" s="157" t="s">
        <v>217</v>
      </c>
      <c r="R70" s="157">
        <v>0.89998869362416367</v>
      </c>
      <c r="S70" s="157"/>
      <c r="T70" s="215"/>
      <c r="U70" s="215"/>
      <c r="V70" s="215"/>
      <c r="W70" s="215"/>
      <c r="X70" s="215"/>
      <c r="Y70" s="215"/>
      <c r="Z70" s="215"/>
      <c r="AA70" s="215"/>
      <c r="AB70" s="215"/>
      <c r="AC70" s="215"/>
      <c r="AD70" s="215"/>
      <c r="AE70" s="215"/>
      <c r="AF70" s="215"/>
      <c r="AG70" s="215"/>
      <c r="AH70" s="215"/>
      <c r="AI70" s="215"/>
      <c r="AJ70" s="215"/>
      <c r="AK70" s="215"/>
      <c r="AL70" s="215"/>
      <c r="AM70" s="215"/>
      <c r="AN70" s="215"/>
      <c r="AO70" s="215"/>
      <c r="AP70" s="215"/>
      <c r="AQ70" s="215"/>
      <c r="AR70" s="371"/>
      <c r="AS70" s="372"/>
      <c r="AT70" s="372"/>
      <c r="AU70" s="372"/>
      <c r="AV70" s="372"/>
      <c r="AW70" s="372"/>
      <c r="AX70" s="372"/>
      <c r="AY70" s="372"/>
      <c r="AZ70" s="372"/>
      <c r="BA70" s="372"/>
      <c r="BB70" s="372"/>
      <c r="BC70" s="372"/>
      <c r="BD70" s="372"/>
      <c r="BE70" s="372"/>
    </row>
    <row r="71" spans="1:57" ht="16.25" customHeight="1" x14ac:dyDescent="0.2">
      <c r="A71" s="83"/>
      <c r="B71" s="103"/>
      <c r="C71" s="83"/>
      <c r="D71" s="83"/>
      <c r="E71" s="83"/>
      <c r="F71" s="83"/>
      <c r="G71" s="104"/>
      <c r="H71" s="103"/>
      <c r="I71" s="83"/>
      <c r="J71" s="83"/>
      <c r="K71" s="83"/>
      <c r="L71" s="83"/>
      <c r="M71" s="83"/>
      <c r="N71" s="104"/>
      <c r="O71" s="161"/>
      <c r="P71" s="376"/>
      <c r="Q71" s="809" t="s">
        <v>234</v>
      </c>
      <c r="R71" s="812">
        <v>0.44720460560382946</v>
      </c>
      <c r="S71" s="809"/>
      <c r="T71" s="376"/>
      <c r="U71" s="377"/>
      <c r="V71" s="371"/>
      <c r="W71" s="371"/>
      <c r="X71" s="371"/>
      <c r="Y71" s="215"/>
      <c r="Z71" s="215"/>
      <c r="AA71" s="215"/>
      <c r="AB71" s="215"/>
      <c r="AC71" s="215"/>
      <c r="AD71" s="215"/>
      <c r="AE71" s="215"/>
      <c r="AF71" s="215"/>
      <c r="AG71" s="215"/>
      <c r="AH71" s="215"/>
      <c r="AI71" s="215"/>
      <c r="AJ71" s="215"/>
      <c r="AK71" s="215"/>
      <c r="AL71" s="215"/>
      <c r="AM71" s="215"/>
      <c r="AN71" s="215"/>
      <c r="AO71" s="215"/>
      <c r="AP71" s="215"/>
      <c r="AQ71" s="215"/>
      <c r="AR71" s="371"/>
      <c r="AS71" s="372"/>
      <c r="AT71" s="372"/>
      <c r="AU71" s="372"/>
      <c r="AV71" s="372"/>
      <c r="AW71" s="372"/>
      <c r="AX71" s="372"/>
      <c r="AY71" s="372"/>
      <c r="AZ71" s="372"/>
      <c r="BA71" s="372"/>
      <c r="BB71" s="372"/>
      <c r="BC71" s="372"/>
      <c r="BD71" s="372"/>
      <c r="BE71" s="372"/>
    </row>
    <row r="72" spans="1:57" ht="16.25" customHeight="1" x14ac:dyDescent="0.2">
      <c r="A72" s="83"/>
      <c r="B72" s="103"/>
      <c r="C72" s="83"/>
      <c r="D72" s="83"/>
      <c r="E72" s="83"/>
      <c r="F72" s="83"/>
      <c r="G72" s="104"/>
      <c r="H72" s="103"/>
      <c r="I72" s="83"/>
      <c r="J72" s="83"/>
      <c r="K72" s="83"/>
      <c r="L72" s="83"/>
      <c r="M72" s="83"/>
      <c r="N72" s="104"/>
      <c r="O72" s="161"/>
      <c r="P72" s="376"/>
      <c r="Q72" s="809" t="s">
        <v>240</v>
      </c>
      <c r="R72" s="812">
        <v>6.5154004784320643</v>
      </c>
      <c r="S72" s="809"/>
      <c r="T72" s="376"/>
      <c r="U72" s="376"/>
      <c r="V72" s="376"/>
      <c r="W72" s="376"/>
      <c r="X72" s="376"/>
      <c r="Y72" s="215"/>
      <c r="Z72" s="215"/>
      <c r="AA72" s="215"/>
      <c r="AB72" s="215"/>
      <c r="AC72" s="215"/>
      <c r="AD72" s="215"/>
      <c r="AE72" s="215"/>
      <c r="AF72" s="215"/>
      <c r="AG72" s="215"/>
      <c r="AH72" s="215"/>
      <c r="AI72" s="215"/>
      <c r="AJ72" s="215"/>
      <c r="AK72" s="215"/>
      <c r="AL72" s="215"/>
      <c r="AM72" s="215"/>
      <c r="AN72" s="215"/>
      <c r="AO72" s="215"/>
      <c r="AP72" s="215"/>
      <c r="AQ72" s="215"/>
      <c r="AR72" s="371"/>
      <c r="AS72" s="372"/>
      <c r="AT72" s="372"/>
      <c r="AU72" s="372"/>
      <c r="AV72" s="372"/>
      <c r="AW72" s="372"/>
      <c r="AX72" s="372"/>
      <c r="AY72" s="372"/>
      <c r="AZ72" s="372"/>
      <c r="BA72" s="372"/>
      <c r="BB72" s="372"/>
      <c r="BC72" s="372"/>
      <c r="BD72" s="372"/>
      <c r="BE72" s="372"/>
    </row>
    <row r="73" spans="1:57" ht="16.25" customHeight="1" x14ac:dyDescent="0.2">
      <c r="A73" s="83"/>
      <c r="B73" s="103"/>
      <c r="C73" s="83"/>
      <c r="D73" s="83"/>
      <c r="E73" s="83"/>
      <c r="F73" s="83"/>
      <c r="G73" s="104"/>
      <c r="H73" s="103"/>
      <c r="I73" s="83"/>
      <c r="J73" s="83"/>
      <c r="K73" s="83"/>
      <c r="L73" s="83"/>
      <c r="M73" s="83"/>
      <c r="N73" s="104"/>
      <c r="O73" s="161"/>
      <c r="P73" s="374"/>
      <c r="Q73" s="809" t="s">
        <v>245</v>
      </c>
      <c r="R73" s="813">
        <v>5.8775067753087251</v>
      </c>
      <c r="S73" s="814"/>
      <c r="T73" s="377"/>
      <c r="U73" s="377"/>
      <c r="V73" s="377"/>
      <c r="W73" s="376"/>
      <c r="X73" s="376"/>
      <c r="Y73" s="215"/>
      <c r="Z73" s="215"/>
      <c r="AA73" s="215"/>
      <c r="AB73" s="215"/>
      <c r="AC73" s="215"/>
      <c r="AD73" s="215"/>
      <c r="AE73" s="215"/>
      <c r="AF73" s="215"/>
      <c r="AG73" s="215"/>
      <c r="AH73" s="215"/>
      <c r="AI73" s="215"/>
      <c r="AJ73" s="215"/>
      <c r="AK73" s="215"/>
      <c r="AL73" s="215"/>
      <c r="AM73" s="215"/>
      <c r="AN73" s="215"/>
      <c r="AO73" s="215"/>
      <c r="AP73" s="215"/>
      <c r="AQ73" s="215"/>
      <c r="AR73" s="371"/>
      <c r="AS73" s="372"/>
      <c r="AT73" s="372"/>
      <c r="AU73" s="372"/>
      <c r="AV73" s="372"/>
      <c r="AW73" s="372"/>
      <c r="AX73" s="372"/>
      <c r="AY73" s="372"/>
      <c r="AZ73" s="372"/>
      <c r="BA73" s="372"/>
      <c r="BB73" s="372"/>
      <c r="BC73" s="372"/>
      <c r="BD73" s="372"/>
      <c r="BE73" s="372"/>
    </row>
    <row r="74" spans="1:57" ht="16.25" customHeight="1" x14ac:dyDescent="0.2">
      <c r="A74" s="83"/>
      <c r="B74" s="103"/>
      <c r="C74" s="83"/>
      <c r="D74" s="83"/>
      <c r="E74" s="83"/>
      <c r="F74" s="83"/>
      <c r="G74" s="104"/>
      <c r="H74" s="103"/>
      <c r="I74" s="83"/>
      <c r="J74" s="83"/>
      <c r="K74" s="83"/>
      <c r="L74" s="83"/>
      <c r="M74" s="83"/>
      <c r="N74" s="104"/>
      <c r="O74" s="83"/>
      <c r="P74" s="215"/>
      <c r="Q74" s="157" t="s">
        <v>253</v>
      </c>
      <c r="R74" s="804">
        <v>9.0303960785985389</v>
      </c>
      <c r="S74" s="157"/>
      <c r="T74" s="215"/>
      <c r="U74" s="215"/>
      <c r="V74" s="215"/>
      <c r="W74" s="215"/>
      <c r="X74" s="215"/>
      <c r="Y74" s="215"/>
      <c r="Z74" s="215"/>
      <c r="AA74" s="215"/>
      <c r="AB74" s="215"/>
      <c r="AC74" s="215"/>
      <c r="AD74" s="215"/>
      <c r="AE74" s="215"/>
      <c r="AF74" s="215"/>
      <c r="AG74" s="215"/>
      <c r="AH74" s="215"/>
      <c r="AI74" s="215"/>
      <c r="AJ74" s="215"/>
      <c r="AK74" s="215"/>
      <c r="AL74" s="215"/>
      <c r="AM74" s="215"/>
      <c r="AN74" s="215"/>
      <c r="AO74" s="215"/>
      <c r="AP74" s="215"/>
      <c r="AQ74" s="215"/>
      <c r="AR74" s="371"/>
      <c r="AS74" s="372"/>
      <c r="AT74" s="372"/>
      <c r="AU74" s="372"/>
      <c r="AV74" s="372"/>
      <c r="AW74" s="372"/>
      <c r="AX74" s="372"/>
      <c r="AY74" s="372"/>
      <c r="AZ74" s="372"/>
      <c r="BA74" s="372"/>
      <c r="BB74" s="372"/>
      <c r="BC74" s="372"/>
      <c r="BD74" s="372"/>
      <c r="BE74" s="372"/>
    </row>
    <row r="75" spans="1:57" ht="16.25" customHeight="1" x14ac:dyDescent="0.2">
      <c r="A75" s="83"/>
      <c r="B75" s="103"/>
      <c r="C75" s="83"/>
      <c r="D75" s="83"/>
      <c r="E75" s="83"/>
      <c r="F75" s="83"/>
      <c r="G75" s="104"/>
      <c r="H75" s="103"/>
      <c r="I75" s="83"/>
      <c r="J75" s="83"/>
      <c r="K75" s="83"/>
      <c r="L75" s="83"/>
      <c r="M75" s="83"/>
      <c r="N75" s="104"/>
      <c r="O75" s="162"/>
      <c r="P75" s="371"/>
      <c r="Q75" s="815" t="s">
        <v>256</v>
      </c>
      <c r="R75" s="812">
        <v>1.3769070781835759</v>
      </c>
      <c r="S75" s="815"/>
      <c r="T75" s="215"/>
      <c r="U75" s="215"/>
      <c r="V75" s="215"/>
      <c r="W75" s="215"/>
      <c r="X75" s="215"/>
      <c r="Y75" s="215"/>
      <c r="Z75" s="215"/>
      <c r="AA75" s="215"/>
      <c r="AB75" s="215"/>
      <c r="AC75" s="215"/>
      <c r="AD75" s="215"/>
      <c r="AE75" s="215"/>
      <c r="AF75" s="215"/>
      <c r="AG75" s="215"/>
      <c r="AH75" s="215"/>
      <c r="AI75" s="215"/>
      <c r="AJ75" s="215"/>
      <c r="AK75" s="215"/>
      <c r="AL75" s="215"/>
      <c r="AM75" s="215"/>
      <c r="AN75" s="215"/>
      <c r="AO75" s="215"/>
      <c r="AP75" s="215"/>
      <c r="AQ75" s="215"/>
      <c r="AR75" s="371"/>
      <c r="AS75" s="372"/>
      <c r="AT75" s="372"/>
      <c r="AU75" s="372"/>
      <c r="AV75" s="372"/>
      <c r="AW75" s="372"/>
      <c r="AX75" s="372"/>
      <c r="AY75" s="372"/>
      <c r="AZ75" s="372"/>
      <c r="BA75" s="372"/>
      <c r="BB75" s="372"/>
      <c r="BC75" s="372"/>
      <c r="BD75" s="372"/>
      <c r="BE75" s="372"/>
    </row>
    <row r="76" spans="1:57" ht="16.25" customHeight="1" x14ac:dyDescent="0.2">
      <c r="A76" s="83"/>
      <c r="B76" s="103"/>
      <c r="C76" s="83"/>
      <c r="D76" s="83"/>
      <c r="E76" s="83"/>
      <c r="F76" s="83"/>
      <c r="G76" s="104"/>
      <c r="H76" s="103"/>
      <c r="I76" s="83"/>
      <c r="J76" s="83"/>
      <c r="K76" s="83"/>
      <c r="L76" s="83"/>
      <c r="M76" s="83"/>
      <c r="N76" s="104"/>
      <c r="O76" s="162"/>
      <c r="P76" s="371"/>
      <c r="Q76" s="815" t="s">
        <v>262</v>
      </c>
      <c r="R76" s="812">
        <v>10.395505960278452</v>
      </c>
      <c r="S76" s="815"/>
      <c r="T76" s="215"/>
      <c r="U76" s="215"/>
      <c r="V76" s="215"/>
      <c r="W76" s="215"/>
      <c r="X76" s="215"/>
      <c r="Y76" s="215"/>
      <c r="Z76" s="215"/>
      <c r="AA76" s="215"/>
      <c r="AB76" s="215"/>
      <c r="AC76" s="215"/>
      <c r="AD76" s="215"/>
      <c r="AE76" s="215"/>
      <c r="AF76" s="215"/>
      <c r="AG76" s="215"/>
      <c r="AH76" s="215"/>
      <c r="AI76" s="215"/>
      <c r="AJ76" s="215"/>
      <c r="AK76" s="215"/>
      <c r="AL76" s="215"/>
      <c r="AM76" s="215"/>
      <c r="AN76" s="215"/>
      <c r="AO76" s="215"/>
      <c r="AP76" s="215"/>
      <c r="AQ76" s="215"/>
      <c r="AR76" s="371"/>
      <c r="AS76" s="372"/>
      <c r="AT76" s="372"/>
      <c r="AU76" s="372"/>
      <c r="AV76" s="372"/>
      <c r="AW76" s="372"/>
      <c r="AX76" s="372"/>
      <c r="AY76" s="372"/>
      <c r="AZ76" s="372"/>
      <c r="BA76" s="372"/>
      <c r="BB76" s="372"/>
      <c r="BC76" s="372"/>
      <c r="BD76" s="372"/>
      <c r="BE76" s="372"/>
    </row>
    <row r="77" spans="1:57" ht="16.25" customHeight="1" x14ac:dyDescent="0.2">
      <c r="A77" s="83"/>
      <c r="B77" s="103"/>
      <c r="C77" s="83"/>
      <c r="D77" s="83"/>
      <c r="E77" s="83"/>
      <c r="F77" s="83"/>
      <c r="G77" s="104"/>
      <c r="H77" s="103"/>
      <c r="I77" s="83"/>
      <c r="J77" s="83"/>
      <c r="K77" s="83"/>
      <c r="L77" s="83"/>
      <c r="M77" s="83"/>
      <c r="N77" s="104"/>
      <c r="O77" s="161"/>
      <c r="P77" s="376"/>
      <c r="Q77" s="809"/>
      <c r="R77" s="812">
        <f>+SUM(R61:R76)</f>
        <v>103.34814213468719</v>
      </c>
      <c r="S77" s="809"/>
      <c r="T77" s="215"/>
      <c r="U77" s="215"/>
      <c r="V77" s="215"/>
      <c r="W77" s="215"/>
      <c r="X77" s="215"/>
      <c r="Y77" s="215"/>
      <c r="Z77" s="215"/>
      <c r="AA77" s="215"/>
      <c r="AB77" s="215"/>
      <c r="AC77" s="215"/>
      <c r="AD77" s="215"/>
      <c r="AE77" s="215"/>
      <c r="AF77" s="215"/>
      <c r="AG77" s="215"/>
      <c r="AH77" s="215"/>
      <c r="AI77" s="215"/>
      <c r="AJ77" s="215"/>
      <c r="AK77" s="215"/>
      <c r="AL77" s="215"/>
      <c r="AM77" s="215"/>
      <c r="AN77" s="215"/>
      <c r="AO77" s="215"/>
      <c r="AP77" s="215"/>
      <c r="AQ77" s="215"/>
      <c r="AR77" s="371"/>
      <c r="AS77" s="372"/>
      <c r="AT77" s="372"/>
      <c r="AU77" s="372"/>
      <c r="AV77" s="372"/>
      <c r="AW77" s="372"/>
      <c r="AX77" s="372"/>
      <c r="AY77" s="372"/>
      <c r="AZ77" s="372"/>
      <c r="BA77" s="372"/>
      <c r="BB77" s="372"/>
      <c r="BC77" s="372"/>
      <c r="BD77" s="372"/>
      <c r="BE77" s="372"/>
    </row>
    <row r="78" spans="1:57" ht="16.25" customHeight="1" x14ac:dyDescent="0.2">
      <c r="A78" s="83"/>
      <c r="B78" s="103"/>
      <c r="C78" s="83"/>
      <c r="D78" s="83"/>
      <c r="E78" s="83"/>
      <c r="F78" s="83"/>
      <c r="G78" s="104"/>
      <c r="H78" s="103"/>
      <c r="I78" s="83"/>
      <c r="J78" s="83"/>
      <c r="K78" s="83"/>
      <c r="L78" s="83"/>
      <c r="M78" s="83"/>
      <c r="N78" s="104"/>
      <c r="O78" s="163"/>
      <c r="P78" s="373"/>
      <c r="Q78" s="814"/>
      <c r="R78" s="809"/>
      <c r="S78" s="809"/>
      <c r="T78" s="215"/>
      <c r="U78" s="215"/>
      <c r="V78" s="215"/>
      <c r="W78" s="215"/>
      <c r="X78" s="215"/>
      <c r="Y78" s="215"/>
      <c r="Z78" s="215"/>
      <c r="AA78" s="215"/>
      <c r="AB78" s="215"/>
      <c r="AC78" s="215"/>
      <c r="AD78" s="215"/>
      <c r="AE78" s="215"/>
      <c r="AF78" s="215"/>
      <c r="AG78" s="215"/>
      <c r="AH78" s="215"/>
      <c r="AI78" s="215"/>
      <c r="AJ78" s="215"/>
      <c r="AK78" s="215"/>
      <c r="AL78" s="215"/>
      <c r="AM78" s="215"/>
      <c r="AN78" s="215"/>
      <c r="AO78" s="215"/>
      <c r="AP78" s="215"/>
      <c r="AQ78" s="215"/>
      <c r="AR78" s="371"/>
      <c r="AS78" s="372"/>
      <c r="AT78" s="372"/>
      <c r="AU78" s="372"/>
      <c r="AV78" s="372"/>
      <c r="AW78" s="372"/>
      <c r="AX78" s="372"/>
      <c r="AY78" s="372"/>
      <c r="AZ78" s="372"/>
      <c r="BA78" s="372"/>
      <c r="BB78" s="372"/>
      <c r="BC78" s="372"/>
      <c r="BD78" s="372"/>
      <c r="BE78" s="372"/>
    </row>
    <row r="79" spans="1:57" ht="16.25" customHeight="1" x14ac:dyDescent="0.2">
      <c r="A79" s="83"/>
      <c r="B79" s="103"/>
      <c r="C79" s="83"/>
      <c r="D79" s="83"/>
      <c r="E79" s="83"/>
      <c r="F79" s="83"/>
      <c r="G79" s="104"/>
      <c r="H79" s="103"/>
      <c r="I79" s="83"/>
      <c r="J79" s="83"/>
      <c r="K79" s="83"/>
      <c r="L79" s="83"/>
      <c r="M79" s="83"/>
      <c r="N79" s="104"/>
      <c r="O79" s="162"/>
      <c r="P79" s="371"/>
      <c r="Q79" s="815"/>
      <c r="R79" s="815"/>
      <c r="S79" s="815"/>
      <c r="T79" s="215"/>
      <c r="U79" s="215"/>
      <c r="V79" s="215"/>
      <c r="W79" s="215"/>
      <c r="X79" s="215"/>
      <c r="Y79" s="215"/>
      <c r="Z79" s="215"/>
      <c r="AA79" s="215"/>
      <c r="AB79" s="215"/>
      <c r="AC79" s="215"/>
      <c r="AD79" s="215"/>
      <c r="AE79" s="215"/>
      <c r="AF79" s="215"/>
      <c r="AG79" s="215"/>
      <c r="AH79" s="215"/>
      <c r="AI79" s="215"/>
      <c r="AJ79" s="215"/>
      <c r="AK79" s="215"/>
      <c r="AL79" s="215"/>
      <c r="AM79" s="215"/>
      <c r="AN79" s="215"/>
      <c r="AO79" s="215"/>
      <c r="AP79" s="215"/>
      <c r="AQ79" s="215"/>
      <c r="AR79" s="371"/>
      <c r="AS79" s="372"/>
      <c r="AT79" s="372"/>
      <c r="AU79" s="372"/>
      <c r="AV79" s="372"/>
      <c r="AW79" s="372"/>
      <c r="AX79" s="372"/>
      <c r="AY79" s="372"/>
      <c r="AZ79" s="372"/>
      <c r="BA79" s="372"/>
      <c r="BB79" s="372"/>
      <c r="BC79" s="372"/>
      <c r="BD79" s="372"/>
      <c r="BE79" s="372"/>
    </row>
    <row r="80" spans="1:57" ht="16.25" customHeight="1" x14ac:dyDescent="0.2">
      <c r="A80" s="83"/>
      <c r="B80" s="103"/>
      <c r="C80" s="83"/>
      <c r="D80" s="83"/>
      <c r="E80" s="83"/>
      <c r="F80" s="83"/>
      <c r="G80" s="104"/>
      <c r="H80" s="103"/>
      <c r="I80" s="83"/>
      <c r="J80" s="83"/>
      <c r="K80" s="83"/>
      <c r="L80" s="83"/>
      <c r="M80" s="83"/>
      <c r="N80" s="104"/>
      <c r="O80" s="162"/>
      <c r="P80" s="371"/>
      <c r="Q80" s="371"/>
      <c r="R80" s="371"/>
      <c r="S80" s="371"/>
      <c r="T80" s="215"/>
      <c r="U80" s="215"/>
      <c r="V80" s="215"/>
      <c r="W80" s="215"/>
      <c r="X80" s="215"/>
      <c r="Y80" s="215"/>
      <c r="Z80" s="215"/>
      <c r="AA80" s="215"/>
      <c r="AB80" s="215"/>
      <c r="AC80" s="215"/>
      <c r="AD80" s="215"/>
      <c r="AE80" s="215"/>
      <c r="AF80" s="215"/>
      <c r="AG80" s="215"/>
      <c r="AH80" s="215"/>
      <c r="AI80" s="215"/>
      <c r="AJ80" s="215"/>
      <c r="AK80" s="215"/>
      <c r="AL80" s="215"/>
      <c r="AM80" s="215"/>
      <c r="AN80" s="215"/>
      <c r="AO80" s="215"/>
      <c r="AP80" s="215"/>
      <c r="AQ80" s="215"/>
      <c r="AR80" s="371"/>
      <c r="AS80" s="372"/>
      <c r="AT80" s="372"/>
      <c r="AU80" s="372"/>
      <c r="AV80" s="372"/>
      <c r="AW80" s="372"/>
      <c r="AX80" s="372"/>
      <c r="AY80" s="372"/>
      <c r="AZ80" s="372"/>
      <c r="BA80" s="372"/>
      <c r="BB80" s="372"/>
      <c r="BC80" s="372"/>
      <c r="BD80" s="372"/>
      <c r="BE80" s="372"/>
    </row>
    <row r="81" spans="1:57" ht="16.25" customHeight="1" x14ac:dyDescent="0.2">
      <c r="A81" s="83"/>
      <c r="B81" s="103"/>
      <c r="C81" s="83"/>
      <c r="D81" s="83"/>
      <c r="E81" s="83"/>
      <c r="F81" s="83"/>
      <c r="G81" s="104"/>
      <c r="H81" s="103"/>
      <c r="I81" s="83"/>
      <c r="J81" s="83"/>
      <c r="K81" s="83"/>
      <c r="L81" s="83"/>
      <c r="M81" s="83"/>
      <c r="N81" s="104"/>
      <c r="O81" s="162"/>
      <c r="P81" s="371"/>
      <c r="Q81" s="371"/>
      <c r="R81" s="371"/>
      <c r="S81" s="371"/>
      <c r="T81" s="215"/>
      <c r="U81" s="215"/>
      <c r="V81" s="215"/>
      <c r="W81" s="215"/>
      <c r="X81" s="215"/>
      <c r="Y81" s="215"/>
      <c r="Z81" s="215"/>
      <c r="AA81" s="215"/>
      <c r="AB81" s="215"/>
      <c r="AC81" s="215"/>
      <c r="AD81" s="215"/>
      <c r="AE81" s="215"/>
      <c r="AF81" s="215"/>
      <c r="AG81" s="215"/>
      <c r="AH81" s="215"/>
      <c r="AI81" s="215"/>
      <c r="AJ81" s="215"/>
      <c r="AK81" s="215"/>
      <c r="AL81" s="215"/>
      <c r="AM81" s="215"/>
      <c r="AN81" s="215"/>
      <c r="AO81" s="215"/>
      <c r="AP81" s="215"/>
      <c r="AQ81" s="215"/>
      <c r="AR81" s="371"/>
      <c r="AS81" s="372"/>
      <c r="AT81" s="372"/>
      <c r="AU81" s="372"/>
      <c r="AV81" s="372"/>
      <c r="AW81" s="372"/>
      <c r="AX81" s="372"/>
      <c r="AY81" s="372"/>
      <c r="AZ81" s="372"/>
      <c r="BA81" s="372"/>
      <c r="BB81" s="372"/>
      <c r="BC81" s="372"/>
      <c r="BD81" s="372"/>
      <c r="BE81" s="372"/>
    </row>
    <row r="82" spans="1:57" ht="16.25" customHeight="1" x14ac:dyDescent="0.2">
      <c r="A82" s="83"/>
      <c r="B82" s="103"/>
      <c r="C82" s="83"/>
      <c r="D82" s="83"/>
      <c r="E82" s="83"/>
      <c r="F82" s="83"/>
      <c r="G82" s="104"/>
      <c r="H82" s="103"/>
      <c r="I82" s="83"/>
      <c r="J82" s="83"/>
      <c r="K82" s="83"/>
      <c r="L82" s="83"/>
      <c r="M82" s="83"/>
      <c r="N82" s="104"/>
      <c r="O82" s="162"/>
      <c r="P82" s="371"/>
      <c r="Q82" s="371"/>
      <c r="R82" s="371"/>
      <c r="S82" s="371"/>
      <c r="T82" s="215"/>
      <c r="U82" s="215"/>
      <c r="V82" s="215"/>
      <c r="W82" s="215"/>
      <c r="X82" s="215"/>
      <c r="Y82" s="215"/>
      <c r="Z82" s="215"/>
      <c r="AA82" s="215"/>
      <c r="AB82" s="215"/>
      <c r="AC82" s="215"/>
      <c r="AD82" s="215"/>
      <c r="AE82" s="215"/>
      <c r="AF82" s="215"/>
      <c r="AG82" s="215"/>
      <c r="AH82" s="215"/>
      <c r="AI82" s="215"/>
      <c r="AJ82" s="215"/>
      <c r="AK82" s="215"/>
      <c r="AL82" s="215"/>
      <c r="AM82" s="215"/>
      <c r="AN82" s="215"/>
      <c r="AO82" s="215"/>
      <c r="AP82" s="215"/>
      <c r="AQ82" s="215"/>
      <c r="AR82" s="371"/>
      <c r="AS82" s="372"/>
      <c r="AT82" s="372"/>
      <c r="AU82" s="372"/>
      <c r="AV82" s="372"/>
      <c r="AW82" s="372"/>
      <c r="AX82" s="372"/>
      <c r="AY82" s="372"/>
      <c r="AZ82" s="372"/>
      <c r="BA82" s="372"/>
      <c r="BB82" s="372"/>
      <c r="BC82" s="372"/>
      <c r="BD82" s="372"/>
      <c r="BE82" s="372"/>
    </row>
    <row r="83" spans="1:57" ht="16.25" customHeight="1" x14ac:dyDescent="0.2">
      <c r="A83" s="83"/>
      <c r="B83" s="933" t="s">
        <v>281</v>
      </c>
      <c r="C83" s="934"/>
      <c r="D83" s="934"/>
      <c r="E83" s="934"/>
      <c r="F83" s="934"/>
      <c r="G83" s="935"/>
      <c r="H83" s="495" t="s">
        <v>252</v>
      </c>
      <c r="I83" s="791" t="s">
        <v>2</v>
      </c>
      <c r="J83" s="939" t="s">
        <v>82</v>
      </c>
      <c r="K83" s="940"/>
      <c r="L83" s="940"/>
      <c r="M83" s="940"/>
      <c r="N83" s="941"/>
      <c r="O83" s="162"/>
      <c r="P83" s="371"/>
      <c r="Q83" s="371"/>
      <c r="R83" s="371"/>
      <c r="S83" s="371"/>
      <c r="T83" s="215"/>
      <c r="U83" s="215"/>
      <c r="V83" s="215"/>
      <c r="W83" s="215"/>
      <c r="X83" s="215"/>
      <c r="Y83" s="215"/>
      <c r="Z83" s="215"/>
      <c r="AA83" s="215"/>
      <c r="AB83" s="215"/>
      <c r="AC83" s="215"/>
      <c r="AD83" s="215"/>
      <c r="AE83" s="215"/>
      <c r="AF83" s="215"/>
      <c r="AG83" s="215"/>
      <c r="AH83" s="215"/>
      <c r="AI83" s="215"/>
      <c r="AJ83" s="215"/>
      <c r="AK83" s="215"/>
      <c r="AL83" s="215"/>
      <c r="AM83" s="215"/>
      <c r="AN83" s="215"/>
      <c r="AO83" s="215"/>
      <c r="AP83" s="215"/>
      <c r="AQ83" s="215"/>
      <c r="AR83" s="371"/>
      <c r="AS83" s="372"/>
      <c r="AT83" s="372"/>
      <c r="AU83" s="372"/>
      <c r="AV83" s="372"/>
      <c r="AW83" s="372"/>
      <c r="AX83" s="372"/>
      <c r="AY83" s="372"/>
      <c r="AZ83" s="372"/>
      <c r="BA83" s="372"/>
      <c r="BB83" s="372"/>
      <c r="BC83" s="372"/>
      <c r="BD83" s="372"/>
      <c r="BE83" s="372"/>
    </row>
    <row r="84" spans="1:57" ht="16.25" customHeight="1" x14ac:dyDescent="0.2">
      <c r="A84" s="83"/>
      <c r="B84" s="936"/>
      <c r="C84" s="937"/>
      <c r="D84" s="937"/>
      <c r="E84" s="937"/>
      <c r="F84" s="937"/>
      <c r="G84" s="938"/>
      <c r="H84" s="466"/>
      <c r="I84" s="466"/>
      <c r="J84" s="896"/>
      <c r="K84" s="897"/>
      <c r="L84" s="897"/>
      <c r="M84" s="897"/>
      <c r="N84" s="898"/>
      <c r="O84" s="83"/>
      <c r="P84" s="215"/>
      <c r="Q84" s="215"/>
      <c r="R84" s="215"/>
      <c r="S84" s="215"/>
      <c r="T84" s="215"/>
      <c r="U84" s="215"/>
      <c r="V84" s="215"/>
      <c r="W84" s="215"/>
      <c r="X84" s="215"/>
      <c r="Y84" s="215"/>
      <c r="Z84" s="215"/>
      <c r="AA84" s="215"/>
      <c r="AB84" s="215"/>
      <c r="AC84" s="215"/>
      <c r="AD84" s="215"/>
      <c r="AE84" s="215"/>
      <c r="AF84" s="215"/>
      <c r="AG84" s="215"/>
      <c r="AH84" s="215"/>
      <c r="AI84" s="215"/>
      <c r="AJ84" s="215"/>
      <c r="AK84" s="215"/>
      <c r="AL84" s="215"/>
      <c r="AM84" s="215"/>
      <c r="AN84" s="215"/>
      <c r="AO84" s="215"/>
      <c r="AP84" s="215"/>
      <c r="AQ84" s="215"/>
      <c r="AR84" s="371"/>
      <c r="AS84" s="372"/>
      <c r="AT84" s="372"/>
      <c r="AU84" s="372"/>
      <c r="AV84" s="372"/>
      <c r="AW84" s="372"/>
      <c r="AX84" s="372"/>
      <c r="AY84" s="372"/>
      <c r="AZ84" s="372"/>
      <c r="BA84" s="372"/>
      <c r="BB84" s="372"/>
      <c r="BC84" s="372"/>
      <c r="BD84" s="372"/>
      <c r="BE84" s="372"/>
    </row>
    <row r="85" spans="1:57" ht="16.25" customHeight="1" x14ac:dyDescent="0.2">
      <c r="A85" s="83"/>
      <c r="B85" s="83"/>
      <c r="C85" s="83"/>
      <c r="D85" s="83"/>
      <c r="E85" s="83"/>
      <c r="F85" s="83"/>
      <c r="G85" s="83"/>
      <c r="H85" s="83"/>
      <c r="I85" s="83"/>
      <c r="J85" s="83"/>
      <c r="K85" s="83"/>
      <c r="L85" s="83"/>
      <c r="M85" s="162"/>
      <c r="N85" s="165"/>
      <c r="O85" s="83"/>
      <c r="P85" s="215"/>
      <c r="Q85" s="215"/>
      <c r="R85" s="215"/>
      <c r="S85" s="215"/>
      <c r="T85" s="215"/>
      <c r="U85" s="215"/>
      <c r="V85" s="215"/>
      <c r="W85" s="215"/>
      <c r="X85" s="215"/>
      <c r="Y85" s="215"/>
      <c r="Z85" s="215"/>
      <c r="AA85" s="215"/>
      <c r="AB85" s="215"/>
      <c r="AC85" s="215"/>
      <c r="AD85" s="215"/>
      <c r="AE85" s="215"/>
      <c r="AF85" s="215"/>
      <c r="AG85" s="215"/>
      <c r="AH85" s="215"/>
      <c r="AI85" s="215"/>
      <c r="AJ85" s="215"/>
      <c r="AK85" s="215"/>
      <c r="AL85" s="215"/>
      <c r="AM85" s="215"/>
      <c r="AN85" s="215"/>
      <c r="AO85" s="215"/>
      <c r="AP85" s="215"/>
      <c r="AQ85" s="215"/>
      <c r="AR85" s="371"/>
      <c r="AS85" s="372"/>
      <c r="AT85" s="372"/>
      <c r="AU85" s="372"/>
      <c r="AV85" s="372"/>
      <c r="AW85" s="372"/>
      <c r="AX85" s="372"/>
      <c r="AY85" s="372"/>
      <c r="AZ85" s="372"/>
      <c r="BA85" s="372"/>
      <c r="BB85" s="372"/>
      <c r="BC85" s="372"/>
      <c r="BD85" s="372"/>
      <c r="BE85" s="372"/>
    </row>
    <row r="86" spans="1:57" x14ac:dyDescent="0.2">
      <c r="A86" s="83"/>
      <c r="B86" s="83"/>
      <c r="C86" s="83"/>
      <c r="D86" s="83"/>
      <c r="E86" s="83"/>
      <c r="F86" s="83"/>
      <c r="G86" s="83"/>
      <c r="H86" s="83"/>
      <c r="I86" s="83"/>
      <c r="J86" s="83"/>
      <c r="K86" s="83"/>
      <c r="L86" s="83"/>
      <c r="M86" s="162"/>
      <c r="N86" s="165"/>
      <c r="O86" s="83"/>
      <c r="P86" s="215"/>
      <c r="Q86" s="215"/>
      <c r="R86" s="215"/>
      <c r="S86" s="215"/>
      <c r="T86" s="215"/>
      <c r="U86" s="215"/>
      <c r="V86" s="215"/>
      <c r="W86" s="215"/>
      <c r="X86" s="215"/>
      <c r="Y86" s="215"/>
      <c r="Z86" s="215"/>
      <c r="AA86" s="215"/>
      <c r="AB86" s="215"/>
      <c r="AC86" s="215"/>
      <c r="AD86" s="215"/>
      <c r="AE86" s="215"/>
      <c r="AF86" s="215"/>
      <c r="AG86" s="215"/>
      <c r="AH86" s="215"/>
      <c r="AI86" s="215"/>
      <c r="AJ86" s="215"/>
      <c r="AK86" s="215"/>
      <c r="AL86" s="215"/>
      <c r="AM86" s="215"/>
      <c r="AN86" s="215"/>
      <c r="AO86" s="215"/>
      <c r="AP86" s="215"/>
      <c r="AQ86" s="215"/>
      <c r="AR86" s="371"/>
      <c r="AS86" s="372"/>
      <c r="AT86" s="372"/>
      <c r="AU86" s="372"/>
      <c r="AV86" s="372"/>
      <c r="AW86" s="372"/>
      <c r="AX86" s="372"/>
      <c r="AY86" s="372"/>
      <c r="AZ86" s="372"/>
      <c r="BA86" s="372"/>
      <c r="BB86" s="372"/>
      <c r="BC86" s="372"/>
      <c r="BD86" s="372"/>
      <c r="BE86" s="372"/>
    </row>
    <row r="87" spans="1:57" x14ac:dyDescent="0.2">
      <c r="P87" s="372"/>
      <c r="Q87" s="372"/>
      <c r="R87" s="372"/>
      <c r="S87" s="372"/>
      <c r="T87" s="372"/>
      <c r="U87" s="372"/>
      <c r="V87" s="372"/>
      <c r="W87" s="372"/>
      <c r="X87" s="372"/>
      <c r="Y87" s="372"/>
      <c r="Z87" s="372"/>
      <c r="AA87" s="372"/>
      <c r="AB87" s="372"/>
      <c r="AC87" s="372"/>
      <c r="AD87" s="372"/>
      <c r="AE87" s="372"/>
      <c r="AF87" s="372"/>
      <c r="AG87" s="372"/>
      <c r="AH87" s="372"/>
      <c r="AI87" s="372"/>
      <c r="AJ87" s="372"/>
      <c r="AK87" s="372"/>
      <c r="AL87" s="372"/>
      <c r="AM87" s="372"/>
      <c r="AN87" s="372"/>
      <c r="AO87" s="372"/>
      <c r="AP87" s="372"/>
      <c r="AS87" s="372"/>
      <c r="AT87" s="372"/>
      <c r="AU87" s="372"/>
      <c r="AV87" s="372"/>
      <c r="AW87" s="372"/>
      <c r="AX87" s="372"/>
      <c r="AY87" s="372"/>
      <c r="AZ87" s="372"/>
      <c r="BA87" s="372"/>
      <c r="BB87" s="372"/>
      <c r="BC87" s="372"/>
      <c r="BD87" s="372"/>
      <c r="BE87" s="372"/>
    </row>
    <row r="88" spans="1:57" x14ac:dyDescent="0.2">
      <c r="P88" s="372"/>
      <c r="Q88" s="372"/>
      <c r="R88" s="372"/>
      <c r="S88" s="372"/>
      <c r="T88" s="372"/>
      <c r="U88" s="372"/>
      <c r="V88" s="372"/>
      <c r="W88" s="372"/>
      <c r="X88" s="372"/>
      <c r="Y88" s="372"/>
      <c r="Z88" s="372"/>
      <c r="AA88" s="372"/>
      <c r="AB88" s="372"/>
      <c r="AC88" s="372"/>
      <c r="AD88" s="372"/>
      <c r="AE88" s="372"/>
      <c r="AF88" s="372"/>
      <c r="AG88" s="372"/>
      <c r="AH88" s="372"/>
      <c r="AI88" s="372"/>
      <c r="AJ88" s="372"/>
      <c r="AK88" s="372"/>
      <c r="AL88" s="372"/>
      <c r="AM88" s="372"/>
      <c r="AN88" s="372"/>
      <c r="AO88" s="372"/>
      <c r="AP88" s="372"/>
      <c r="AS88" s="372"/>
      <c r="AT88" s="372"/>
      <c r="AU88" s="372"/>
      <c r="AV88" s="372"/>
      <c r="AW88" s="372"/>
      <c r="AX88" s="372"/>
      <c r="AY88" s="372"/>
      <c r="AZ88" s="372"/>
      <c r="BA88" s="372"/>
      <c r="BB88" s="372"/>
      <c r="BC88" s="372"/>
      <c r="BD88" s="372"/>
      <c r="BE88" s="372"/>
    </row>
    <row r="89" spans="1:57" x14ac:dyDescent="0.2">
      <c r="P89" s="372"/>
      <c r="Q89" s="372"/>
      <c r="R89" s="372"/>
      <c r="S89" s="372"/>
      <c r="T89" s="372"/>
      <c r="U89" s="372"/>
      <c r="V89" s="372"/>
      <c r="W89" s="372"/>
      <c r="X89" s="372"/>
      <c r="Y89" s="372"/>
      <c r="Z89" s="372"/>
      <c r="AA89" s="372"/>
      <c r="AB89" s="372"/>
      <c r="AC89" s="372"/>
      <c r="AD89" s="372"/>
      <c r="AE89" s="372"/>
      <c r="AF89" s="372"/>
      <c r="AG89" s="372"/>
      <c r="AH89" s="372"/>
      <c r="AI89" s="372"/>
      <c r="AJ89" s="372"/>
      <c r="AK89" s="372"/>
      <c r="AL89" s="372"/>
      <c r="AM89" s="372"/>
      <c r="AN89" s="372"/>
      <c r="AO89" s="372"/>
      <c r="AP89" s="372"/>
      <c r="AS89" s="372"/>
      <c r="AT89" s="372"/>
      <c r="AU89" s="372"/>
      <c r="AV89" s="372"/>
      <c r="AW89" s="372"/>
      <c r="AX89" s="372"/>
      <c r="AY89" s="372"/>
      <c r="AZ89" s="372"/>
      <c r="BA89" s="372"/>
      <c r="BB89" s="372"/>
      <c r="BC89" s="372"/>
      <c r="BD89" s="372"/>
      <c r="BE89" s="372"/>
    </row>
    <row r="90" spans="1:57" x14ac:dyDescent="0.2">
      <c r="P90" s="372"/>
      <c r="Q90" s="372"/>
      <c r="R90" s="372"/>
      <c r="S90" s="372"/>
      <c r="T90" s="372"/>
      <c r="U90" s="372"/>
      <c r="V90" s="372"/>
      <c r="W90" s="372"/>
      <c r="X90" s="372"/>
      <c r="Y90" s="372"/>
      <c r="Z90" s="372"/>
      <c r="AA90" s="372"/>
      <c r="AB90" s="372"/>
      <c r="AC90" s="372"/>
      <c r="AD90" s="372"/>
      <c r="AE90" s="372"/>
      <c r="AF90" s="372"/>
      <c r="AG90" s="372"/>
      <c r="AH90" s="372"/>
      <c r="AI90" s="372"/>
      <c r="AJ90" s="372"/>
      <c r="AK90" s="372"/>
      <c r="AL90" s="372"/>
      <c r="AM90" s="372"/>
      <c r="AN90" s="372"/>
      <c r="AO90" s="372"/>
      <c r="AP90" s="372"/>
      <c r="AS90" s="372"/>
      <c r="AT90" s="372"/>
      <c r="AU90" s="372"/>
      <c r="AV90" s="372"/>
      <c r="AW90" s="372"/>
      <c r="AX90" s="372"/>
      <c r="AY90" s="372"/>
      <c r="AZ90" s="372"/>
      <c r="BA90" s="372"/>
      <c r="BB90" s="372"/>
      <c r="BC90" s="372"/>
      <c r="BD90" s="372"/>
      <c r="BE90" s="372"/>
    </row>
    <row r="91" spans="1:57" x14ac:dyDescent="0.2">
      <c r="P91" s="372"/>
      <c r="Q91" s="372"/>
      <c r="R91" s="372"/>
      <c r="S91" s="372"/>
      <c r="T91" s="372"/>
      <c r="U91" s="372"/>
      <c r="V91" s="372"/>
      <c r="W91" s="372"/>
      <c r="X91" s="372"/>
      <c r="Y91" s="372"/>
      <c r="Z91" s="372"/>
      <c r="AA91" s="372"/>
      <c r="AB91" s="372"/>
      <c r="AC91" s="372"/>
      <c r="AD91" s="372"/>
      <c r="AE91" s="372"/>
      <c r="AF91" s="372"/>
      <c r="AG91" s="372"/>
      <c r="AH91" s="372"/>
      <c r="AI91" s="372"/>
      <c r="AJ91" s="372"/>
      <c r="AK91" s="372"/>
      <c r="AL91" s="372"/>
      <c r="AM91" s="372"/>
      <c r="AN91" s="372"/>
      <c r="AO91" s="372"/>
      <c r="AP91" s="372"/>
      <c r="AS91" s="372"/>
      <c r="AT91" s="372"/>
      <c r="AU91" s="372"/>
      <c r="AV91" s="372"/>
      <c r="AW91" s="372"/>
      <c r="AX91" s="372"/>
      <c r="AY91" s="372"/>
      <c r="AZ91" s="372"/>
      <c r="BA91" s="372"/>
      <c r="BB91" s="372"/>
      <c r="BC91" s="372"/>
      <c r="BD91" s="372"/>
      <c r="BE91" s="372"/>
    </row>
    <row r="92" spans="1:57" x14ac:dyDescent="0.2">
      <c r="P92" s="372"/>
      <c r="Q92" s="372"/>
      <c r="R92" s="372"/>
      <c r="S92" s="372"/>
      <c r="T92" s="372"/>
      <c r="U92" s="372"/>
      <c r="V92" s="372"/>
      <c r="W92" s="372"/>
      <c r="X92" s="372"/>
      <c r="Y92" s="372"/>
      <c r="Z92" s="372"/>
      <c r="AA92" s="372"/>
      <c r="AB92" s="372"/>
      <c r="AC92" s="372"/>
      <c r="AD92" s="372"/>
      <c r="AE92" s="372"/>
      <c r="AF92" s="372"/>
      <c r="AG92" s="372"/>
      <c r="AH92" s="372"/>
      <c r="AI92" s="372"/>
      <c r="AJ92" s="372"/>
      <c r="AK92" s="372"/>
      <c r="AL92" s="372"/>
      <c r="AM92" s="372"/>
      <c r="AN92" s="372"/>
      <c r="AO92" s="372"/>
      <c r="AP92" s="372"/>
      <c r="AS92" s="372"/>
      <c r="AT92" s="372"/>
      <c r="AU92" s="372"/>
      <c r="AV92" s="372"/>
      <c r="AW92" s="372"/>
      <c r="AX92" s="372"/>
      <c r="AY92" s="372"/>
      <c r="AZ92" s="372"/>
      <c r="BA92" s="372"/>
      <c r="BB92" s="372"/>
      <c r="BC92" s="372"/>
      <c r="BD92" s="372"/>
      <c r="BE92" s="372"/>
    </row>
    <row r="93" spans="1:57" x14ac:dyDescent="0.2">
      <c r="P93" s="372"/>
      <c r="Q93" s="372"/>
      <c r="R93" s="372"/>
      <c r="S93" s="372"/>
      <c r="T93" s="372"/>
      <c r="U93" s="372"/>
      <c r="V93" s="372"/>
      <c r="W93" s="372"/>
      <c r="X93" s="372"/>
      <c r="Y93" s="372"/>
      <c r="Z93" s="372"/>
      <c r="AA93" s="372"/>
      <c r="AB93" s="372"/>
      <c r="AC93" s="372"/>
      <c r="AD93" s="372"/>
      <c r="AE93" s="372"/>
      <c r="AF93" s="372"/>
      <c r="AG93" s="372"/>
      <c r="AH93" s="372"/>
      <c r="AI93" s="372"/>
      <c r="AJ93" s="372"/>
      <c r="AK93" s="372"/>
      <c r="AL93" s="372"/>
      <c r="AM93" s="372"/>
      <c r="AN93" s="372"/>
      <c r="AO93" s="372"/>
      <c r="AP93" s="372"/>
      <c r="AS93" s="372"/>
      <c r="AT93" s="372"/>
      <c r="AU93" s="372"/>
      <c r="AV93" s="372"/>
      <c r="AW93" s="372"/>
      <c r="AX93" s="372"/>
      <c r="AY93" s="372"/>
      <c r="AZ93" s="372"/>
      <c r="BA93" s="372"/>
      <c r="BB93" s="372"/>
      <c r="BC93" s="372"/>
      <c r="BD93" s="372"/>
      <c r="BE93" s="372"/>
    </row>
    <row r="94" spans="1:57" x14ac:dyDescent="0.2">
      <c r="P94" s="372"/>
      <c r="Q94" s="372"/>
      <c r="R94" s="372"/>
      <c r="S94" s="372"/>
      <c r="T94" s="372"/>
      <c r="U94" s="372"/>
      <c r="V94" s="372"/>
      <c r="W94" s="372"/>
      <c r="X94" s="372"/>
      <c r="Y94" s="372"/>
      <c r="Z94" s="372"/>
      <c r="AA94" s="372"/>
      <c r="AB94" s="372"/>
      <c r="AC94" s="372"/>
      <c r="AD94" s="372"/>
      <c r="AE94" s="372"/>
      <c r="AF94" s="372"/>
      <c r="AG94" s="372"/>
      <c r="AH94" s="372"/>
      <c r="AI94" s="372"/>
      <c r="AJ94" s="372"/>
      <c r="AK94" s="372"/>
      <c r="AL94" s="372"/>
      <c r="AM94" s="372"/>
      <c r="AN94" s="372"/>
      <c r="AO94" s="372"/>
      <c r="AP94" s="372"/>
      <c r="AS94" s="372"/>
      <c r="AT94" s="372"/>
      <c r="AU94" s="372"/>
      <c r="AV94" s="372"/>
      <c r="AW94" s="372"/>
      <c r="AX94" s="372"/>
      <c r="AY94" s="372"/>
      <c r="AZ94" s="372"/>
      <c r="BA94" s="372"/>
      <c r="BB94" s="372"/>
      <c r="BC94" s="372"/>
      <c r="BD94" s="372"/>
      <c r="BE94" s="372"/>
    </row>
    <row r="95" spans="1:57" x14ac:dyDescent="0.2">
      <c r="P95" s="372"/>
      <c r="Q95" s="372"/>
      <c r="R95" s="372"/>
      <c r="S95" s="372"/>
      <c r="T95" s="372"/>
      <c r="U95" s="372"/>
      <c r="V95" s="372"/>
      <c r="W95" s="372"/>
      <c r="X95" s="372"/>
      <c r="Y95" s="372"/>
      <c r="Z95" s="372"/>
      <c r="AA95" s="372"/>
      <c r="AB95" s="372"/>
      <c r="AC95" s="372"/>
      <c r="AD95" s="372"/>
      <c r="AE95" s="372"/>
      <c r="AF95" s="372"/>
      <c r="AG95" s="372"/>
      <c r="AH95" s="372"/>
      <c r="AI95" s="372"/>
      <c r="AJ95" s="372"/>
      <c r="AK95" s="372"/>
      <c r="AL95" s="372"/>
      <c r="AM95" s="372"/>
      <c r="AN95" s="372"/>
      <c r="AO95" s="372"/>
      <c r="AP95" s="372"/>
      <c r="AS95" s="372"/>
      <c r="AT95" s="372"/>
      <c r="AU95" s="372"/>
      <c r="AV95" s="372"/>
      <c r="AW95" s="372"/>
      <c r="AX95" s="372"/>
      <c r="AY95" s="372"/>
      <c r="AZ95" s="372"/>
      <c r="BA95" s="372"/>
      <c r="BB95" s="372"/>
      <c r="BC95" s="372"/>
      <c r="BD95" s="372"/>
      <c r="BE95" s="372"/>
    </row>
    <row r="96" spans="1:57" x14ac:dyDescent="0.2">
      <c r="P96" s="372"/>
      <c r="Q96" s="372"/>
      <c r="R96" s="372"/>
      <c r="S96" s="372"/>
      <c r="T96" s="372"/>
      <c r="U96" s="372"/>
      <c r="V96" s="372"/>
      <c r="W96" s="372"/>
      <c r="X96" s="372"/>
      <c r="Y96" s="372"/>
      <c r="Z96" s="372"/>
      <c r="AA96" s="372"/>
      <c r="AB96" s="372"/>
      <c r="AC96" s="372"/>
      <c r="AD96" s="372"/>
      <c r="AE96" s="372"/>
      <c r="AF96" s="372"/>
      <c r="AG96" s="372"/>
      <c r="AH96" s="372"/>
      <c r="AI96" s="372"/>
      <c r="AJ96" s="372"/>
      <c r="AK96" s="372"/>
      <c r="AL96" s="372"/>
      <c r="AM96" s="372"/>
      <c r="AN96" s="372"/>
      <c r="AO96" s="372"/>
      <c r="AP96" s="372"/>
      <c r="AS96" s="372"/>
      <c r="AT96" s="372"/>
      <c r="AU96" s="372"/>
      <c r="AV96" s="372"/>
      <c r="AW96" s="372"/>
      <c r="AX96" s="372"/>
      <c r="AY96" s="372"/>
      <c r="AZ96" s="372"/>
      <c r="BA96" s="372"/>
      <c r="BB96" s="372"/>
      <c r="BC96" s="372"/>
      <c r="BD96" s="372"/>
      <c r="BE96" s="372"/>
    </row>
    <row r="97" spans="16:57" x14ac:dyDescent="0.2">
      <c r="P97" s="372"/>
      <c r="Q97" s="372"/>
      <c r="R97" s="372"/>
      <c r="S97" s="372"/>
      <c r="T97" s="372"/>
      <c r="U97" s="372"/>
      <c r="V97" s="372"/>
      <c r="W97" s="372"/>
      <c r="X97" s="372"/>
      <c r="Y97" s="372"/>
      <c r="Z97" s="372"/>
      <c r="AA97" s="372"/>
      <c r="AB97" s="372"/>
      <c r="AC97" s="372"/>
      <c r="AD97" s="372"/>
      <c r="AE97" s="372"/>
      <c r="AF97" s="372"/>
      <c r="AG97" s="372"/>
      <c r="AH97" s="372"/>
      <c r="AI97" s="372"/>
      <c r="AJ97" s="372"/>
      <c r="AK97" s="372"/>
      <c r="AL97" s="372"/>
      <c r="AM97" s="372"/>
      <c r="AN97" s="372"/>
      <c r="AO97" s="372"/>
      <c r="AP97" s="372"/>
      <c r="AS97" s="372"/>
      <c r="AT97" s="372"/>
      <c r="AU97" s="372"/>
      <c r="AV97" s="372"/>
      <c r="AW97" s="372"/>
      <c r="AX97" s="372"/>
      <c r="AY97" s="372"/>
      <c r="AZ97" s="372"/>
      <c r="BA97" s="372"/>
      <c r="BB97" s="372"/>
      <c r="BC97" s="372"/>
      <c r="BD97" s="372"/>
      <c r="BE97" s="372"/>
    </row>
    <row r="98" spans="16:57" x14ac:dyDescent="0.2">
      <c r="P98" s="372"/>
      <c r="Q98" s="372"/>
      <c r="R98" s="372"/>
      <c r="S98" s="372"/>
      <c r="T98" s="372"/>
      <c r="U98" s="372"/>
      <c r="V98" s="372"/>
      <c r="W98" s="372"/>
      <c r="X98" s="372"/>
      <c r="Y98" s="372"/>
      <c r="Z98" s="372"/>
      <c r="AA98" s="372"/>
      <c r="AB98" s="372"/>
      <c r="AC98" s="372"/>
      <c r="AD98" s="372"/>
      <c r="AE98" s="372"/>
      <c r="AF98" s="372"/>
      <c r="AG98" s="372"/>
      <c r="AH98" s="372"/>
      <c r="AI98" s="372"/>
      <c r="AJ98" s="372"/>
      <c r="AK98" s="372"/>
      <c r="AL98" s="372"/>
      <c r="AM98" s="372"/>
      <c r="AN98" s="372"/>
      <c r="AO98" s="372"/>
      <c r="AP98" s="372"/>
      <c r="AS98" s="372"/>
      <c r="AT98" s="372"/>
      <c r="AU98" s="372"/>
      <c r="AV98" s="372"/>
      <c r="AW98" s="372"/>
      <c r="AX98" s="372"/>
      <c r="AY98" s="372"/>
      <c r="AZ98" s="372"/>
      <c r="BA98" s="372"/>
      <c r="BB98" s="372"/>
      <c r="BC98" s="372"/>
      <c r="BD98" s="372"/>
      <c r="BE98" s="372"/>
    </row>
    <row r="99" spans="16:57" x14ac:dyDescent="0.2">
      <c r="P99" s="372"/>
      <c r="Q99" s="372"/>
      <c r="R99" s="372"/>
      <c r="S99" s="372"/>
      <c r="T99" s="372"/>
      <c r="U99" s="372"/>
      <c r="V99" s="372"/>
      <c r="W99" s="372"/>
      <c r="X99" s="372"/>
      <c r="Y99" s="372"/>
      <c r="Z99" s="372"/>
      <c r="AA99" s="372"/>
      <c r="AB99" s="372"/>
      <c r="AC99" s="372"/>
      <c r="AD99" s="372"/>
      <c r="AE99" s="372"/>
      <c r="AF99" s="372"/>
      <c r="AG99" s="372"/>
      <c r="AH99" s="372"/>
      <c r="AI99" s="372"/>
      <c r="AJ99" s="372"/>
      <c r="AK99" s="372"/>
      <c r="AL99" s="372"/>
      <c r="AM99" s="372"/>
      <c r="AN99" s="372"/>
      <c r="AO99" s="372"/>
      <c r="AP99" s="372"/>
      <c r="AS99" s="372"/>
      <c r="AT99" s="372"/>
      <c r="AU99" s="372"/>
      <c r="AV99" s="372"/>
      <c r="AW99" s="372"/>
      <c r="AX99" s="372"/>
      <c r="AY99" s="372"/>
      <c r="AZ99" s="372"/>
      <c r="BA99" s="372"/>
      <c r="BB99" s="372"/>
      <c r="BC99" s="372"/>
      <c r="BD99" s="372"/>
      <c r="BE99" s="372"/>
    </row>
    <row r="100" spans="16:57" x14ac:dyDescent="0.2">
      <c r="P100" s="372"/>
      <c r="Q100" s="372"/>
      <c r="R100" s="372"/>
      <c r="S100" s="372"/>
      <c r="T100" s="372"/>
      <c r="U100" s="372"/>
      <c r="V100" s="372"/>
      <c r="W100" s="372"/>
      <c r="X100" s="372"/>
      <c r="Y100" s="372"/>
      <c r="Z100" s="372"/>
      <c r="AA100" s="372"/>
      <c r="AB100" s="372"/>
      <c r="AC100" s="372"/>
      <c r="AD100" s="372"/>
      <c r="AE100" s="372"/>
      <c r="AF100" s="372"/>
      <c r="AG100" s="372"/>
      <c r="AH100" s="372"/>
      <c r="AI100" s="372"/>
      <c r="AJ100" s="372"/>
      <c r="AK100" s="372"/>
      <c r="AL100" s="372"/>
      <c r="AM100" s="372"/>
      <c r="AN100" s="372"/>
      <c r="AO100" s="372"/>
      <c r="AP100" s="372"/>
      <c r="AS100" s="372"/>
      <c r="AT100" s="372"/>
      <c r="AU100" s="372"/>
      <c r="AV100" s="372"/>
      <c r="AW100" s="372"/>
      <c r="AX100" s="372"/>
      <c r="AY100" s="372"/>
      <c r="AZ100" s="372"/>
      <c r="BA100" s="372"/>
      <c r="BB100" s="372"/>
      <c r="BC100" s="372"/>
      <c r="BD100" s="372"/>
      <c r="BE100" s="372"/>
    </row>
    <row r="101" spans="16:57" x14ac:dyDescent="0.2">
      <c r="P101" s="372"/>
      <c r="Q101" s="372"/>
      <c r="R101" s="372"/>
      <c r="S101" s="372"/>
      <c r="T101" s="372"/>
      <c r="U101" s="372"/>
      <c r="V101" s="372"/>
      <c r="W101" s="372"/>
      <c r="X101" s="372"/>
      <c r="Y101" s="372"/>
      <c r="Z101" s="372"/>
      <c r="AA101" s="372"/>
      <c r="AB101" s="372"/>
      <c r="AC101" s="372"/>
      <c r="AD101" s="372"/>
      <c r="AE101" s="372"/>
      <c r="AF101" s="372"/>
      <c r="AG101" s="372"/>
      <c r="AH101" s="372"/>
      <c r="AI101" s="372"/>
      <c r="AJ101" s="372"/>
      <c r="AK101" s="372"/>
      <c r="AL101" s="372"/>
      <c r="AM101" s="372"/>
      <c r="AN101" s="372"/>
      <c r="AO101" s="372"/>
      <c r="AP101" s="372"/>
      <c r="AS101" s="372"/>
      <c r="AT101" s="372"/>
      <c r="AU101" s="372"/>
      <c r="AV101" s="372"/>
      <c r="AW101" s="372"/>
      <c r="AX101" s="372"/>
      <c r="AY101" s="372"/>
      <c r="AZ101" s="372"/>
      <c r="BA101" s="372"/>
      <c r="BB101" s="372"/>
      <c r="BC101" s="372"/>
      <c r="BD101" s="372"/>
      <c r="BE101" s="372"/>
    </row>
    <row r="102" spans="16:57" x14ac:dyDescent="0.2">
      <c r="P102" s="372"/>
      <c r="Q102" s="372"/>
      <c r="R102" s="372"/>
      <c r="S102" s="372"/>
      <c r="T102" s="372"/>
      <c r="U102" s="372"/>
      <c r="V102" s="372"/>
      <c r="W102" s="372"/>
      <c r="X102" s="372"/>
      <c r="Y102" s="372"/>
      <c r="Z102" s="372"/>
      <c r="AA102" s="372"/>
      <c r="AB102" s="372"/>
      <c r="AC102" s="372"/>
      <c r="AD102" s="372"/>
      <c r="AE102" s="372"/>
      <c r="AF102" s="372"/>
      <c r="AG102" s="372"/>
      <c r="AH102" s="372"/>
      <c r="AI102" s="372"/>
      <c r="AJ102" s="372"/>
      <c r="AK102" s="372"/>
      <c r="AL102" s="372"/>
      <c r="AM102" s="372"/>
      <c r="AN102" s="372"/>
      <c r="AO102" s="372"/>
      <c r="AP102" s="372"/>
      <c r="AS102" s="372"/>
      <c r="AT102" s="372"/>
      <c r="AU102" s="372"/>
      <c r="AV102" s="372"/>
      <c r="AW102" s="372"/>
      <c r="AX102" s="372"/>
      <c r="AY102" s="372"/>
      <c r="AZ102" s="372"/>
      <c r="BA102" s="372"/>
      <c r="BB102" s="372"/>
      <c r="BC102" s="372"/>
      <c r="BD102" s="372"/>
      <c r="BE102" s="372"/>
    </row>
    <row r="103" spans="16:57" x14ac:dyDescent="0.2">
      <c r="P103" s="372"/>
      <c r="Q103" s="372"/>
      <c r="R103" s="372"/>
      <c r="S103" s="372"/>
      <c r="T103" s="372"/>
      <c r="U103" s="372"/>
      <c r="V103" s="372"/>
      <c r="W103" s="372"/>
      <c r="X103" s="372"/>
      <c r="Y103" s="372"/>
      <c r="Z103" s="372"/>
      <c r="AA103" s="372"/>
      <c r="AB103" s="372"/>
      <c r="AC103" s="372"/>
      <c r="AD103" s="372"/>
      <c r="AE103" s="372"/>
      <c r="AF103" s="372"/>
      <c r="AG103" s="372"/>
      <c r="AH103" s="372"/>
      <c r="AI103" s="372"/>
      <c r="AJ103" s="372"/>
      <c r="AK103" s="372"/>
      <c r="AL103" s="372"/>
      <c r="AM103" s="372"/>
      <c r="AN103" s="372"/>
      <c r="AO103" s="372"/>
      <c r="AP103" s="372"/>
      <c r="AS103" s="372"/>
      <c r="AT103" s="372"/>
      <c r="AU103" s="372"/>
      <c r="AV103" s="372"/>
      <c r="AW103" s="372"/>
      <c r="AX103" s="372"/>
      <c r="AY103" s="372"/>
      <c r="AZ103" s="372"/>
      <c r="BA103" s="372"/>
      <c r="BB103" s="372"/>
      <c r="BC103" s="372"/>
      <c r="BD103" s="372"/>
      <c r="BE103" s="372"/>
    </row>
  </sheetData>
  <mergeCells count="38">
    <mergeCell ref="D5:E5"/>
    <mergeCell ref="G5:H5"/>
    <mergeCell ref="J5:K9"/>
    <mergeCell ref="O5:S5"/>
    <mergeCell ref="C6:C7"/>
    <mergeCell ref="O6:S9"/>
    <mergeCell ref="C8:C9"/>
    <mergeCell ref="D8:D9"/>
    <mergeCell ref="E8:E9"/>
    <mergeCell ref="C3:F3"/>
    <mergeCell ref="G3:H3"/>
    <mergeCell ref="J3:M3"/>
    <mergeCell ref="O3:S3"/>
    <mergeCell ref="W3:AN3"/>
    <mergeCell ref="D11:L11"/>
    <mergeCell ref="M11:R11"/>
    <mergeCell ref="AI49:AN56"/>
    <mergeCell ref="W34:AN34"/>
    <mergeCell ref="W50:Y50"/>
    <mergeCell ref="W42:Y42"/>
    <mergeCell ref="AI48:AN48"/>
    <mergeCell ref="AF36:AG36"/>
    <mergeCell ref="AB48:AC48"/>
    <mergeCell ref="AB49:AC49"/>
    <mergeCell ref="AB50:AC50"/>
    <mergeCell ref="AB51:AC51"/>
    <mergeCell ref="B83:G84"/>
    <mergeCell ref="J83:N83"/>
    <mergeCell ref="J84:N84"/>
    <mergeCell ref="AA36:AC36"/>
    <mergeCell ref="AD36:AE36"/>
    <mergeCell ref="P54:Q54"/>
    <mergeCell ref="P55:Q55"/>
    <mergeCell ref="P56:Q56"/>
    <mergeCell ref="B59:G59"/>
    <mergeCell ref="H59:N59"/>
    <mergeCell ref="AB52:AC52"/>
    <mergeCell ref="D44:R44"/>
  </mergeCells>
  <dataValidations count="10">
    <dataValidation type="list" allowBlank="1" showInputMessage="1" showErrorMessage="1" sqref="B56" xr:uid="{8193E5CF-4965-46FF-B189-A709ACBF614E}">
      <formula1>Lifetime</formula1>
    </dataValidation>
    <dataValidation type="list" allowBlank="1" showInputMessage="1" showErrorMessage="1" sqref="B57" xr:uid="{4DC8FCF4-7CDC-42EC-94DB-606EF94E7EDA}">
      <formula1>Construction</formula1>
    </dataValidation>
    <dataValidation type="list" allowBlank="1" showInputMessage="1" showErrorMessage="1" sqref="F46:F54" xr:uid="{75677A76-17F6-488E-B051-78EE846F8C1A}">
      <formula1>Currency</formula1>
    </dataValidation>
    <dataValidation type="list" allowBlank="1" showInputMessage="1" showErrorMessage="1" sqref="G46:G54" xr:uid="{CB8CC5AD-5873-4118-A429-EBABE07F26C7}">
      <formula1>Year</formula1>
    </dataValidation>
    <dataValidation type="list" allowBlank="1" showInputMessage="1" showErrorMessage="1" sqref="H46:H54" xr:uid="{62F40C4C-D0BE-4DB8-974E-02215D968827}">
      <formula1>Location</formula1>
    </dataValidation>
    <dataValidation type="list" allowBlank="1" showInputMessage="1" showErrorMessage="1" sqref="I13:I43" xr:uid="{9971EDF7-4E26-4DF1-9EBE-23E220E9665F}">
      <formula1>INDIRECT(IF($D13="Heat Exchanger",SUBSTITUTE($D13," ","")&amp;"_"&amp;SUBSTITUTE(SUBSTITUTE($E13,",","")," ","")&amp;"_Material",SUBSTITUTE($D13," ","")&amp;"_Material"))</formula1>
    </dataValidation>
    <dataValidation type="list" allowBlank="1" showInputMessage="1" showErrorMessage="1" sqref="E21" xr:uid="{9542D648-4CBB-4EF8-9ABF-32A5C32A96D9}">
      <formula1>INDIRECT(SUBSTITUTE($D22," ",""))</formula1>
    </dataValidation>
    <dataValidation type="list" allowBlank="1" showInputMessage="1" showErrorMessage="1" sqref="E8:E9" xr:uid="{D9553499-C523-4729-9203-DB3F82D35B9C}">
      <formula1>Case</formula1>
    </dataValidation>
    <dataValidation type="list" allowBlank="1" showInputMessage="1" showErrorMessage="1" sqref="E22:E43 E13:E20" xr:uid="{199478A0-FEF3-4F1F-AD33-3F94C54F6D1A}">
      <formula1>INDIRECT(SUBSTITUTE($D13," ",""))</formula1>
    </dataValidation>
    <dataValidation type="list" allowBlank="1" showInputMessage="1" showErrorMessage="1" sqref="D22:D43 D13:D20" xr:uid="{139D6B18-62D9-4102-BA42-DA351C941F36}">
      <formula1>Equipment</formula1>
    </dataValidation>
  </dataValidations>
  <pageMargins left="0.7" right="0.7" top="0.75" bottom="0.75" header="0.3" footer="0.3"/>
  <pageSetup paperSize="9" orientation="portrait" verticalDpi="1200" r:id="rId1"/>
  <ignoredErrors>
    <ignoredError sqref="T15: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317441" r:id="rId4" name="Button 1">
              <controlPr defaultSize="0" print="0" autoFill="0" autoPict="0">
                <anchor moveWithCells="1" sizeWithCells="1">
                  <from>
                    <xdr:col>2</xdr:col>
                    <xdr:colOff>63500</xdr:colOff>
                    <xdr:row>7</xdr:row>
                    <xdr:rowOff>25400</xdr:rowOff>
                  </from>
                  <to>
                    <xdr:col>2</xdr:col>
                    <xdr:colOff>1320800</xdr:colOff>
                    <xdr:row>8</xdr:row>
                    <xdr:rowOff>177800</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9A83DA-EE5D-4471-9519-19BBAE398116}">
  <sheetPr codeName="Hoja25"/>
  <dimension ref="A1:BE100"/>
  <sheetViews>
    <sheetView showGridLines="0" zoomScale="75" zoomScaleNormal="40" workbookViewId="0">
      <selection activeCell="AI49" sqref="AI49:AN53"/>
    </sheetView>
  </sheetViews>
  <sheetFormatPr baseColWidth="10" defaultColWidth="11.1640625" defaultRowHeight="15" x14ac:dyDescent="0.2"/>
  <cols>
    <col min="1" max="2" width="3.33203125" customWidth="1"/>
    <col min="3" max="19" width="19.6640625" customWidth="1"/>
    <col min="20" max="22" width="4" customWidth="1"/>
    <col min="23" max="40" width="12.83203125" customWidth="1"/>
    <col min="41" max="41" width="3.1640625" customWidth="1"/>
    <col min="43" max="43" width="11.1640625" style="372"/>
    <col min="44" max="44" width="11.1640625" style="372" customWidth="1"/>
  </cols>
  <sheetData>
    <row r="1" spans="1:44" ht="16.25" customHeight="1" x14ac:dyDescent="0.2">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15"/>
      <c r="AR1" s="371"/>
    </row>
    <row r="2" spans="1:44" ht="16.25" customHeight="1" x14ac:dyDescent="0.2">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15"/>
      <c r="AR2" s="371"/>
    </row>
    <row r="3" spans="1:44" ht="16.25" customHeight="1" x14ac:dyDescent="0.2">
      <c r="A3" s="83"/>
      <c r="B3" s="103"/>
      <c r="C3" s="917" t="s">
        <v>140</v>
      </c>
      <c r="D3" s="918"/>
      <c r="E3" s="918"/>
      <c r="F3" s="918"/>
      <c r="G3" s="917" t="s">
        <v>141</v>
      </c>
      <c r="H3" s="919"/>
      <c r="J3" s="917" t="s">
        <v>142</v>
      </c>
      <c r="K3" s="918"/>
      <c r="L3" s="918"/>
      <c r="M3" s="919"/>
      <c r="N3" s="186"/>
      <c r="O3" s="917" t="str">
        <f>+E6</f>
        <v>WGS</v>
      </c>
      <c r="P3" s="918"/>
      <c r="Q3" s="918"/>
      <c r="R3" s="918"/>
      <c r="S3" s="919"/>
      <c r="T3" s="104"/>
      <c r="U3" s="104"/>
      <c r="V3" s="83"/>
      <c r="W3" s="970" t="str">
        <f>+E6&amp;" Diagram"</f>
        <v>WGS Diagram</v>
      </c>
      <c r="X3" s="971"/>
      <c r="Y3" s="971"/>
      <c r="Z3" s="971"/>
      <c r="AA3" s="971"/>
      <c r="AB3" s="971"/>
      <c r="AC3" s="971"/>
      <c r="AD3" s="971"/>
      <c r="AE3" s="971"/>
      <c r="AF3" s="971"/>
      <c r="AG3" s="971"/>
      <c r="AH3" s="971"/>
      <c r="AI3" s="971"/>
      <c r="AJ3" s="971"/>
      <c r="AK3" s="971"/>
      <c r="AL3" s="971"/>
      <c r="AM3" s="971"/>
      <c r="AN3" s="972"/>
      <c r="AO3" s="104"/>
      <c r="AP3" s="83"/>
      <c r="AQ3" s="215"/>
      <c r="AR3" s="371"/>
    </row>
    <row r="4" spans="1:44" ht="16.25" customHeight="1" x14ac:dyDescent="0.2">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15"/>
      <c r="AR4" s="371"/>
    </row>
    <row r="5" spans="1:44" ht="16.25" customHeight="1" x14ac:dyDescent="0.2">
      <c r="A5" s="83"/>
      <c r="B5" s="103"/>
      <c r="C5" s="83"/>
      <c r="D5" s="920" t="s">
        <v>143</v>
      </c>
      <c r="E5" s="921"/>
      <c r="F5" s="83"/>
      <c r="G5" s="920" t="s">
        <v>40</v>
      </c>
      <c r="H5" s="921"/>
      <c r="J5" s="973"/>
      <c r="K5" s="974"/>
      <c r="L5" s="190" t="s">
        <v>144</v>
      </c>
      <c r="M5" s="191" t="s">
        <v>145</v>
      </c>
      <c r="N5" s="394"/>
      <c r="O5" s="833" t="s">
        <v>82</v>
      </c>
      <c r="P5" s="834"/>
      <c r="Q5" s="834"/>
      <c r="R5" s="834"/>
      <c r="S5" s="835"/>
      <c r="T5" s="104"/>
      <c r="U5" s="104"/>
      <c r="V5" s="83"/>
      <c r="W5" s="83"/>
      <c r="X5" s="83"/>
      <c r="Y5" s="83"/>
      <c r="Z5" s="83"/>
      <c r="AA5" s="83"/>
      <c r="AB5" s="83"/>
      <c r="AC5" s="83"/>
      <c r="AD5" s="83"/>
      <c r="AE5" s="83"/>
      <c r="AF5" s="83"/>
      <c r="AG5" s="83"/>
      <c r="AH5" s="83"/>
      <c r="AI5" s="83"/>
      <c r="AJ5" s="83"/>
      <c r="AK5" s="83"/>
      <c r="AL5" s="83"/>
      <c r="AM5" s="83"/>
      <c r="AN5" s="83"/>
      <c r="AO5" s="104"/>
      <c r="AP5" s="83"/>
      <c r="AQ5" s="215"/>
      <c r="AR5" s="371"/>
    </row>
    <row r="6" spans="1:44" ht="16.25" customHeight="1" x14ac:dyDescent="0.2">
      <c r="A6" s="83"/>
      <c r="B6" s="103"/>
      <c r="C6" s="979" t="s">
        <v>146</v>
      </c>
      <c r="D6" s="242" t="s">
        <v>147</v>
      </c>
      <c r="E6" s="409" t="str">
        <f>+'Plant Overview'!V38</f>
        <v>WGS</v>
      </c>
      <c r="F6" s="83"/>
      <c r="G6" s="85"/>
      <c r="H6" s="324" t="s">
        <v>43</v>
      </c>
      <c r="J6" s="975"/>
      <c r="K6" s="976"/>
      <c r="L6" s="169" t="s">
        <v>148</v>
      </c>
      <c r="M6" s="86" t="s">
        <v>149</v>
      </c>
      <c r="N6" s="394"/>
      <c r="O6" s="836"/>
      <c r="P6" s="882"/>
      <c r="Q6" s="882"/>
      <c r="R6" s="882"/>
      <c r="S6" s="883"/>
      <c r="T6" s="104"/>
      <c r="U6" s="104"/>
      <c r="V6" s="83"/>
      <c r="W6" s="83"/>
      <c r="X6" s="83"/>
      <c r="Y6" s="83"/>
      <c r="Z6" s="83"/>
      <c r="AA6" s="83"/>
      <c r="AB6" s="83"/>
      <c r="AC6" s="83"/>
      <c r="AD6" s="83"/>
      <c r="AE6" s="83"/>
      <c r="AF6" s="83"/>
      <c r="AG6" s="83"/>
      <c r="AH6" s="83"/>
      <c r="AI6" s="83"/>
      <c r="AJ6" s="83"/>
      <c r="AK6" s="83"/>
      <c r="AL6" s="83"/>
      <c r="AM6" s="83"/>
      <c r="AN6" s="83"/>
      <c r="AO6" s="104"/>
      <c r="AP6" s="83"/>
      <c r="AQ6" s="215"/>
      <c r="AR6" s="371"/>
    </row>
    <row r="7" spans="1:44" ht="16.25" customHeight="1" x14ac:dyDescent="0.2">
      <c r="A7" s="83"/>
      <c r="B7" s="103"/>
      <c r="C7" s="980"/>
      <c r="D7" s="242" t="s">
        <v>150</v>
      </c>
      <c r="E7" s="409" t="str">
        <f>+'Plant Overview'!W38</f>
        <v>U-200</v>
      </c>
      <c r="F7" s="83"/>
      <c r="G7" s="95"/>
      <c r="H7" s="324" t="s">
        <v>49</v>
      </c>
      <c r="J7" s="975"/>
      <c r="K7" s="976"/>
      <c r="L7" s="190" t="s">
        <v>151</v>
      </c>
      <c r="M7" s="191" t="s">
        <v>152</v>
      </c>
      <c r="N7" s="394"/>
      <c r="O7" s="884"/>
      <c r="P7" s="885"/>
      <c r="Q7" s="885"/>
      <c r="R7" s="885"/>
      <c r="S7" s="886"/>
      <c r="T7" s="104"/>
      <c r="U7" s="104"/>
      <c r="V7" s="83"/>
      <c r="W7" s="83"/>
      <c r="X7" s="83"/>
      <c r="Y7" s="83"/>
      <c r="Z7" s="83"/>
      <c r="AA7" s="83"/>
      <c r="AB7" s="83"/>
      <c r="AC7" s="83"/>
      <c r="AD7" s="83"/>
      <c r="AE7" s="83"/>
      <c r="AF7" s="83"/>
      <c r="AG7" s="83"/>
      <c r="AH7" s="83"/>
      <c r="AI7" s="83"/>
      <c r="AJ7" s="83"/>
      <c r="AK7" s="83"/>
      <c r="AL7" s="83"/>
      <c r="AM7" s="83"/>
      <c r="AN7" s="83"/>
      <c r="AO7" s="104"/>
      <c r="AP7" s="83"/>
      <c r="AQ7" s="215"/>
      <c r="AR7" s="371"/>
    </row>
    <row r="8" spans="1:44" ht="16.25" customHeight="1" x14ac:dyDescent="0.2">
      <c r="A8" s="83"/>
      <c r="B8" s="103"/>
      <c r="C8" s="880"/>
      <c r="D8" s="981" t="s">
        <v>153</v>
      </c>
      <c r="E8" s="983" t="s">
        <v>282</v>
      </c>
      <c r="F8" s="83"/>
      <c r="G8" s="94"/>
      <c r="H8" s="98" t="s">
        <v>51</v>
      </c>
      <c r="J8" s="975"/>
      <c r="K8" s="976"/>
      <c r="L8" s="190" t="s">
        <v>155</v>
      </c>
      <c r="M8" s="191" t="s">
        <v>156</v>
      </c>
      <c r="N8" s="394"/>
      <c r="O8" s="884"/>
      <c r="P8" s="885"/>
      <c r="Q8" s="885"/>
      <c r="R8" s="885"/>
      <c r="S8" s="886"/>
      <c r="T8" s="104"/>
      <c r="U8" s="104"/>
      <c r="V8" s="83"/>
      <c r="W8" s="83"/>
      <c r="X8" s="83"/>
      <c r="Y8" s="83"/>
      <c r="Z8" s="83"/>
      <c r="AA8" s="83"/>
      <c r="AB8" s="83"/>
      <c r="AC8" s="83"/>
      <c r="AD8" s="83"/>
      <c r="AE8" s="83"/>
      <c r="AF8" s="83"/>
      <c r="AG8" s="83"/>
      <c r="AH8" s="83"/>
      <c r="AI8" s="83"/>
      <c r="AJ8" s="83"/>
      <c r="AK8" s="83"/>
      <c r="AL8" s="83"/>
      <c r="AM8" s="83"/>
      <c r="AN8" s="83"/>
      <c r="AO8" s="104"/>
      <c r="AP8" s="83"/>
      <c r="AQ8" s="215"/>
      <c r="AR8" s="371"/>
    </row>
    <row r="9" spans="1:44" ht="16.25" customHeight="1" x14ac:dyDescent="0.2">
      <c r="A9" s="83"/>
      <c r="B9" s="103"/>
      <c r="C9" s="881"/>
      <c r="D9" s="982"/>
      <c r="E9" s="984"/>
      <c r="F9" s="83"/>
      <c r="G9" s="108"/>
      <c r="H9" s="310" t="s">
        <v>54</v>
      </c>
      <c r="J9" s="977"/>
      <c r="K9" s="978"/>
      <c r="L9" s="190" t="s">
        <v>157</v>
      </c>
      <c r="M9" s="191" t="s">
        <v>158</v>
      </c>
      <c r="N9" s="394"/>
      <c r="O9" s="887"/>
      <c r="P9" s="888"/>
      <c r="Q9" s="888"/>
      <c r="R9" s="888"/>
      <c r="S9" s="889"/>
      <c r="T9" s="104"/>
      <c r="U9" s="104"/>
      <c r="V9" s="83"/>
      <c r="W9" s="83"/>
      <c r="X9" s="83"/>
      <c r="Y9" s="83"/>
      <c r="Z9" s="83"/>
      <c r="AA9" s="83"/>
      <c r="AB9" s="83"/>
      <c r="AC9" s="83"/>
      <c r="AD9" s="83"/>
      <c r="AE9" s="83"/>
      <c r="AF9" s="83"/>
      <c r="AG9" s="83"/>
      <c r="AH9" s="83"/>
      <c r="AI9" s="83"/>
      <c r="AJ9" s="83"/>
      <c r="AK9" s="83"/>
      <c r="AL9" s="83"/>
      <c r="AM9" s="83"/>
      <c r="AN9" s="83"/>
      <c r="AO9" s="104"/>
      <c r="AP9" s="83"/>
      <c r="AQ9" s="215"/>
      <c r="AR9" s="371"/>
    </row>
    <row r="10" spans="1:44" ht="16.25" customHeight="1" x14ac:dyDescent="0.2">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15"/>
      <c r="AR10" s="371"/>
    </row>
    <row r="11" spans="1:44" ht="16.25" customHeight="1" x14ac:dyDescent="0.2">
      <c r="A11" s="83"/>
      <c r="B11" s="103"/>
      <c r="C11" s="83"/>
      <c r="D11" s="917" t="s">
        <v>159</v>
      </c>
      <c r="E11" s="918"/>
      <c r="F11" s="918"/>
      <c r="G11" s="918"/>
      <c r="H11" s="918"/>
      <c r="I11" s="918"/>
      <c r="J11" s="918"/>
      <c r="K11" s="918"/>
      <c r="L11" s="919"/>
      <c r="M11" s="917" t="s">
        <v>160</v>
      </c>
      <c r="N11" s="918"/>
      <c r="O11" s="918"/>
      <c r="P11" s="918"/>
      <c r="Q11" s="918"/>
      <c r="R11" s="919"/>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15"/>
      <c r="AR11" s="371"/>
    </row>
    <row r="12" spans="1:44" ht="16.25" customHeight="1" x14ac:dyDescent="0.2">
      <c r="A12" s="83"/>
      <c r="B12" s="103"/>
      <c r="C12" s="497" t="s">
        <v>161</v>
      </c>
      <c r="D12" s="572" t="s">
        <v>141</v>
      </c>
      <c r="E12" s="572" t="s">
        <v>162</v>
      </c>
      <c r="F12" s="417" t="s">
        <v>163</v>
      </c>
      <c r="G12" s="417" t="s">
        <v>164</v>
      </c>
      <c r="H12" s="418" t="s">
        <v>75</v>
      </c>
      <c r="I12" s="572" t="s">
        <v>165</v>
      </c>
      <c r="J12" s="569" t="s">
        <v>166</v>
      </c>
      <c r="K12" s="417" t="s">
        <v>167</v>
      </c>
      <c r="L12" s="417" t="s">
        <v>168</v>
      </c>
      <c r="M12" s="420" t="s">
        <v>169</v>
      </c>
      <c r="N12" s="420" t="s">
        <v>170</v>
      </c>
      <c r="O12" s="420" t="s">
        <v>171</v>
      </c>
      <c r="P12" s="420" t="s">
        <v>172</v>
      </c>
      <c r="Q12" s="420" t="s">
        <v>173</v>
      </c>
      <c r="R12" s="419" t="s">
        <v>283</v>
      </c>
      <c r="S12" s="420" t="s">
        <v>175</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15"/>
      <c r="AR12" s="371"/>
    </row>
    <row r="13" spans="1:44" ht="16.25" customHeight="1" x14ac:dyDescent="0.2">
      <c r="A13" s="83"/>
      <c r="B13" s="103"/>
      <c r="C13" s="182" t="str">
        <f>+AB38</f>
        <v>E-201</v>
      </c>
      <c r="D13" s="208" t="s">
        <v>194</v>
      </c>
      <c r="E13" s="208" t="s">
        <v>195</v>
      </c>
      <c r="F13" s="158">
        <f>+AC38*1000/3600/AI38</f>
        <v>696.38968762185334</v>
      </c>
      <c r="G13" s="96">
        <v>115</v>
      </c>
      <c r="H13" s="96" t="s">
        <v>196</v>
      </c>
      <c r="I13" s="96" t="s">
        <v>284</v>
      </c>
      <c r="J13" s="96" t="str">
        <f>+IF(F13&gt;'Equipment Data'!$L$126,"yes","No")</f>
        <v>No</v>
      </c>
      <c r="K13" s="96">
        <v>0.67</v>
      </c>
      <c r="L13" s="96" t="s">
        <v>198</v>
      </c>
      <c r="M13" s="156">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60797.174453188265</v>
      </c>
      <c r="N13" s="152">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1.4228380048989211</v>
      </c>
      <c r="O13" s="96">
        <f>+IF(I13="CS/CS",'Equipment Data'!$C$149,IF(I13="CS/Cu",'Equipment Data'!$D$149,IF(I13="Cu/Cu",'Equipment Data'!$E$149,IF(I13="CS/SS",'Equipment Data'!$F$149,IF(I13="SS/SS",'Equipment Data'!$G$149,IF(I13="CS/Ni",'Equipment Data'!$H$149,IF(I13="Ni/Ni",'Equipment Data'!$I$149,IF(I13="CS/Ti",'Equipment Data'!$J$149,IF(I13="Ti/Ti",'Equipment Data'!$K$149,"N/A")))))))))</f>
        <v>2.68</v>
      </c>
      <c r="P13" s="152">
        <f>+'Equipment Data'!$I$126+'Equipment Data'!$J$126*N13*O13</f>
        <v>7.9599217161943194</v>
      </c>
      <c r="Q13" s="153">
        <f t="shared" ref="Q13:Q16" si="0">+M13*P13</f>
        <v>483940.74921318778</v>
      </c>
      <c r="R13" s="151">
        <v>1</v>
      </c>
      <c r="S13" s="199">
        <f>+IF(Tabla25879012013530[[#This Row],[Equipment]]="","",Q13*R13/10^6)</f>
        <v>0.4839407492131878</v>
      </c>
      <c r="T13" s="587">
        <f ca="1">+S13*$S$52/$R$52</f>
        <v>0.78111592122189166</v>
      </c>
      <c r="U13" s="104"/>
      <c r="V13" s="83"/>
      <c r="W13" s="83"/>
      <c r="X13" s="83"/>
      <c r="Y13" s="83"/>
      <c r="Z13" s="83"/>
      <c r="AA13" s="83"/>
      <c r="AB13" s="83"/>
      <c r="AC13" s="83"/>
      <c r="AD13" s="83"/>
      <c r="AE13" s="83"/>
      <c r="AF13" s="83"/>
      <c r="AG13" s="83"/>
      <c r="AH13" s="83"/>
      <c r="AI13" s="83"/>
      <c r="AJ13" s="83"/>
      <c r="AK13" s="83"/>
      <c r="AL13" s="83"/>
      <c r="AM13" s="83"/>
      <c r="AN13" s="83"/>
      <c r="AO13" s="104"/>
      <c r="AP13" s="83"/>
      <c r="AQ13" s="215"/>
      <c r="AR13" s="371"/>
    </row>
    <row r="14" spans="1:44" ht="16.25" customHeight="1" x14ac:dyDescent="0.2">
      <c r="A14" s="83"/>
      <c r="B14" s="103"/>
      <c r="C14" s="99" t="str">
        <f t="shared" ref="C14:C16" si="1">+AB39</f>
        <v>E-202</v>
      </c>
      <c r="D14" s="208" t="s">
        <v>194</v>
      </c>
      <c r="E14" s="208" t="s">
        <v>195</v>
      </c>
      <c r="F14" s="158">
        <f>+AC39*1000/3600/AI39</f>
        <v>6396.2100191595118</v>
      </c>
      <c r="G14" s="96">
        <v>112</v>
      </c>
      <c r="H14" s="96" t="s">
        <v>196</v>
      </c>
      <c r="I14" s="96" t="s">
        <v>284</v>
      </c>
      <c r="J14" s="96" t="str">
        <f>+IF(F14&gt;'Equipment Data'!$L$126,"yes","No")</f>
        <v>yes</v>
      </c>
      <c r="K14" s="96">
        <v>0.67</v>
      </c>
      <c r="L14" s="96" t="s">
        <v>198</v>
      </c>
      <c r="M14" s="156">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266850.62190409994</v>
      </c>
      <c r="N14" s="152">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1.4144021049392026</v>
      </c>
      <c r="O14" s="96">
        <f>+IF(I14="CS/CS",'Equipment Data'!$C$149,IF(I14="CS/Cu",'Equipment Data'!$D$149,IF(I14="Cu/Cu",'Equipment Data'!$E$149,IF(I14="CS/SS",'Equipment Data'!$F$149,IF(I14="SS/SS",'Equipment Data'!$G$149,IF(I14="CS/Ni",'Equipment Data'!$H$149,IF(I14="Ni/Ni",'Equipment Data'!$I$149,IF(I14="CS/Ti",'Equipment Data'!$J$149,IF(I14="Ti/Ti",'Equipment Data'!$K$149,"N/A")))))))))</f>
        <v>2.68</v>
      </c>
      <c r="P14" s="152">
        <f>+'Equipment Data'!$I$126+'Equipment Data'!$J$126*N14*O14</f>
        <v>7.9223920844535245</v>
      </c>
      <c r="Q14" s="153">
        <f t="shared" si="0"/>
        <v>2114095.2547045415</v>
      </c>
      <c r="R14" s="97">
        <v>1</v>
      </c>
      <c r="S14" s="193">
        <f>+IF(Tabla25879012013530[[#This Row],[Equipment]]="","",Q14*R14/10^6)</f>
        <v>2.1140952547045417</v>
      </c>
      <c r="T14" s="587">
        <f t="shared" ref="T14:T43" ca="1" si="2">+S14*$S$52/$R$52</f>
        <v>3.4123050499760788</v>
      </c>
      <c r="U14" s="104"/>
      <c r="V14" s="83"/>
      <c r="W14" s="83"/>
      <c r="X14" s="83"/>
      <c r="Y14" s="83"/>
      <c r="Z14" s="83"/>
      <c r="AA14" s="83"/>
      <c r="AB14" s="83"/>
      <c r="AC14" s="83"/>
      <c r="AD14" s="83"/>
      <c r="AE14" s="83"/>
      <c r="AF14" s="83"/>
      <c r="AG14" s="83"/>
      <c r="AH14" s="83"/>
      <c r="AI14" s="83"/>
      <c r="AJ14" s="83"/>
      <c r="AK14" s="83"/>
      <c r="AL14" s="83"/>
      <c r="AM14" s="83"/>
      <c r="AN14" s="83"/>
      <c r="AO14" s="104"/>
      <c r="AP14" s="83"/>
      <c r="AQ14" s="215"/>
      <c r="AR14" s="371"/>
    </row>
    <row r="15" spans="1:44" ht="16.25" customHeight="1" x14ac:dyDescent="0.2">
      <c r="A15" s="83"/>
      <c r="B15" s="103"/>
      <c r="C15" s="99" t="str">
        <f t="shared" si="1"/>
        <v>E-203</v>
      </c>
      <c r="D15" s="208" t="s">
        <v>194</v>
      </c>
      <c r="E15" s="208" t="s">
        <v>195</v>
      </c>
      <c r="F15" s="158">
        <f>+AC40*1000/3600/AI40</f>
        <v>2474.252308976369</v>
      </c>
      <c r="G15" s="96">
        <v>110</v>
      </c>
      <c r="H15" s="96" t="s">
        <v>196</v>
      </c>
      <c r="I15" s="96" t="s">
        <v>284</v>
      </c>
      <c r="J15" s="96" t="str">
        <f>+IF(F15&gt;'Equipment Data'!$L$126,"yes","No")</f>
        <v>yes</v>
      </c>
      <c r="K15" s="96">
        <v>0.67</v>
      </c>
      <c r="L15" s="96" t="s">
        <v>198</v>
      </c>
      <c r="M15" s="156">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141223.66221173451</v>
      </c>
      <c r="N15" s="152">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1.408720050708492</v>
      </c>
      <c r="O15" s="96">
        <f>+IF(I15="CS/CS",'Equipment Data'!$C$149,IF(I15="CS/Cu",'Equipment Data'!$D$149,IF(I15="Cu/Cu",'Equipment Data'!$E$149,IF(I15="CS/SS",'Equipment Data'!$F$149,IF(I15="SS/SS",'Equipment Data'!$G$149,IF(I15="CS/Ni",'Equipment Data'!$H$149,IF(I15="Ni/Ni",'Equipment Data'!$I$149,IF(I15="CS/Ti",'Equipment Data'!$J$149,IF(I15="Ti/Ti",'Equipment Data'!$K$149,"N/A")))))))))</f>
        <v>2.68</v>
      </c>
      <c r="P15" s="152">
        <f>+'Equipment Data'!$I$126+'Equipment Data'!$J$126*N15*O15</f>
        <v>7.8971137615919398</v>
      </c>
      <c r="Q15" s="153">
        <f t="shared" si="0"/>
        <v>1115259.3263147003</v>
      </c>
      <c r="R15" s="97">
        <v>1</v>
      </c>
      <c r="S15" s="193">
        <f>+IF(Tabla25879012013530[[#This Row],[Equipment]]="","",Q15*R15/10^6)</f>
        <v>1.1152593263147004</v>
      </c>
      <c r="T15" s="587">
        <f t="shared" ca="1" si="2"/>
        <v>1.8001104835498196</v>
      </c>
      <c r="U15" s="104"/>
      <c r="V15" s="83"/>
      <c r="W15" s="83"/>
      <c r="X15" s="83"/>
      <c r="Y15" s="83"/>
      <c r="Z15" s="83"/>
      <c r="AA15" s="83"/>
      <c r="AB15" s="83"/>
      <c r="AC15" s="83"/>
      <c r="AD15" s="83"/>
      <c r="AE15" s="83"/>
      <c r="AF15" s="83"/>
      <c r="AG15" s="83"/>
      <c r="AH15" s="83"/>
      <c r="AI15" s="83"/>
      <c r="AJ15" s="83"/>
      <c r="AK15" s="83"/>
      <c r="AL15" s="83"/>
      <c r="AM15" s="83"/>
      <c r="AN15" s="83"/>
      <c r="AO15" s="104"/>
      <c r="AP15" s="83"/>
      <c r="AQ15" s="215"/>
      <c r="AR15" s="371"/>
    </row>
    <row r="16" spans="1:44" ht="16.25" customHeight="1" x14ac:dyDescent="0.2">
      <c r="A16" s="83"/>
      <c r="B16" s="103"/>
      <c r="C16" s="99" t="str">
        <f t="shared" si="1"/>
        <v>E-204</v>
      </c>
      <c r="D16" s="208" t="s">
        <v>194</v>
      </c>
      <c r="E16" s="208" t="s">
        <v>195</v>
      </c>
      <c r="F16" s="158">
        <f>+AC41*1000/3600/AI41</f>
        <v>1140.2787583725021</v>
      </c>
      <c r="G16" s="96">
        <v>110</v>
      </c>
      <c r="H16" s="96" t="s">
        <v>196</v>
      </c>
      <c r="I16" s="96" t="s">
        <v>197</v>
      </c>
      <c r="J16" s="96" t="str">
        <f>+IF(F16&gt;'Equipment Data'!$L$126,"yes","No")</f>
        <v>yes</v>
      </c>
      <c r="K16" s="96">
        <v>0.67</v>
      </c>
      <c r="L16" s="96" t="str">
        <f>+L15</f>
        <v>shell and tube</v>
      </c>
      <c r="M16" s="156">
        <f>+IF(AND(D16="Heat Exchanger",E16="Fixed tube, sheet, or U tube"),IF(F16&lt;'Equipment Data'!$L$126,10^('Equipment Data'!$C$126+'Equipment Data'!$D$126*LOG10(F16)+'Equipment Data'!$E$126*LOG10(F16)*LOG10(F16)),10^('Equipment Data'!$C$126+'Equipment Data'!$D$126*LOG10('Equipment Data'!$L$126)+'Equipment Data'!$E$126*LOG10('Equipment Data'!$L$126)*LOG10('Equipment Data'!$L$126))*(F16/'Equipment Data'!$L$126)^K16),"N/A")</f>
        <v>84042.196195426441</v>
      </c>
      <c r="N16" s="152">
        <f>+IF(L16="","Input: shell and tube / tube only",IF(L16="shell and tube",IF(G16-1&gt;5,10^('Equipment Data'!$F$126+'Equipment Data'!$G$126*LOG10(G16-1.01325)+'Equipment Data'!$H$126*LOG10(G16-1.01325)*LOG10(G16-1.01325)),1),IF(G16-1.01325&gt;5,10^('Equipment Data'!$F$127+'Equipment Data'!$G$127*LOG10(G16-1.01325)+'Equipment Data'!$H$127*LOG10(G16-1.01325)*LOG10(G16-1.01325)),1)))</f>
        <v>1.408720050708492</v>
      </c>
      <c r="O16" s="96">
        <f>+IF(I16="CS/CS",'Equipment Data'!$C$149,IF(I16="CS/Cu",'Equipment Data'!$D$149,IF(I16="Cu/Cu",'Equipment Data'!$E$149,IF(I16="CS/SS",'Equipment Data'!$F$149,IF(I16="SS/SS",'Equipment Data'!$G$149,IF(I16="CS/Ni",'Equipment Data'!$H$149,IF(I16="Ni/Ni",'Equipment Data'!$I$149,IF(I16="CS/Ti",'Equipment Data'!$J$149,IF(I16="Ti/Ti",'Equipment Data'!$K$149,"N/A")))))))))</f>
        <v>3.73</v>
      </c>
      <c r="P16" s="152">
        <f>+'Equipment Data'!$I$126+'Equipment Data'!$J$126*N16*O16</f>
        <v>10.35251280997684</v>
      </c>
      <c r="Q16" s="153">
        <f t="shared" si="0"/>
        <v>870047.91269173904</v>
      </c>
      <c r="R16" s="97">
        <v>1</v>
      </c>
      <c r="S16" s="193">
        <f>+IF(Tabla25879012013530[[#This Row],[Equipment]]="","",Q16*R16/10^6)</f>
        <v>0.87004791269173909</v>
      </c>
      <c r="T16" s="587">
        <f t="shared" ca="1" si="2"/>
        <v>1.4043212478683162</v>
      </c>
      <c r="U16" s="104"/>
      <c r="V16" s="83"/>
      <c r="W16" s="83"/>
      <c r="X16" s="83"/>
      <c r="Y16" s="83"/>
      <c r="Z16" s="83"/>
      <c r="AA16" s="83"/>
      <c r="AB16" s="83"/>
      <c r="AC16" s="83"/>
      <c r="AD16" s="83"/>
      <c r="AE16" s="83"/>
      <c r="AF16" s="83"/>
      <c r="AG16" s="83"/>
      <c r="AH16" s="83"/>
      <c r="AI16" s="83"/>
      <c r="AJ16" s="83"/>
      <c r="AK16" s="83"/>
      <c r="AL16" s="83"/>
      <c r="AM16" s="83"/>
      <c r="AN16" s="83"/>
      <c r="AO16" s="104"/>
      <c r="AP16" s="83"/>
      <c r="AQ16" s="215"/>
      <c r="AR16" s="371"/>
    </row>
    <row r="17" spans="1:44" ht="16.25" customHeight="1" x14ac:dyDescent="0.2">
      <c r="A17" s="83"/>
      <c r="B17" s="103"/>
      <c r="C17" s="99" t="s">
        <v>285</v>
      </c>
      <c r="D17" s="208" t="s">
        <v>177</v>
      </c>
      <c r="E17" s="208" t="s">
        <v>178</v>
      </c>
      <c r="F17" s="158">
        <f>+F18+Q48</f>
        <v>212.61938817230686</v>
      </c>
      <c r="G17" s="96">
        <v>31</v>
      </c>
      <c r="H17" s="96" t="s">
        <v>179</v>
      </c>
      <c r="I17" s="96" t="s">
        <v>182</v>
      </c>
      <c r="J17" s="96" t="str">
        <f>+IF(F17&gt;'Equipment Data'!$F$239,"yes","No")</f>
        <v>No</v>
      </c>
      <c r="K17" s="96">
        <v>0.67</v>
      </c>
      <c r="L17" s="152">
        <f>+L18+2*X51</f>
        <v>3.5126168390686412</v>
      </c>
      <c r="M17" s="156">
        <f>+IF(AND(D17="Vessel",E17="Vertical"),IF(F17&lt;'Equipment Data'!$F$239,10^('Equipment Data'!$B$239+'Equipment Data'!$C$239*LOG10(F17)+'Equipment Data'!$D$239*LOG10(F17)*LOG10(F17)),10^('Equipment Data'!$B$239+'Equipment Data'!$C$239*LOG10('Equipment Data'!$F$239)+'Equipment Data'!$D$239*LOG10('Equipment Data'!$F$239)*LOG10('Equipment Data'!$F$239))*(F17/'Equipment Data'!$F$239)^K17),"N/A")</f>
        <v>132798.9476520477</v>
      </c>
      <c r="N17" s="155">
        <f>+IF(L17="","Input Diameter in m",IF(G17&gt;0.5,IF(((G17*L17)/(2*(850-0.6*G17))+0.00315)/0.0063&lt;1,1,((G17*L17)/(2*(850-0.6*G17))+0.00315)/0.0063),1.25))</f>
        <v>10.894698749778332</v>
      </c>
      <c r="O17" s="96">
        <f>+IF(I17="CS",'Equipment Data'!$C$247,IF(I17="SS Clad",'Equipment Data'!$C$248,IF(I17="SS",'Equipment Data'!$C$249,IF(I17="Ni Clad",'Equipment Data'!$C$250,IF(I17="Ni",'Equipment Data'!$C$251,IF(I17="Ti Clad",'Equipment Data'!$C$252,IF(I17="Ti",'Equipment Data'!$C$253,"N/A")))))))</f>
        <v>1</v>
      </c>
      <c r="P17" s="153">
        <f>+'Equipment Data'!$C$244+'Equipment Data'!$D$244*N17*O17</f>
        <v>22.078351724596565</v>
      </c>
      <c r="Q17" s="153">
        <f>+M17*P17</f>
        <v>2931981.8749181964</v>
      </c>
      <c r="R17" s="97">
        <v>1</v>
      </c>
      <c r="S17" s="193">
        <f>+IF(Tabla25879012013530[[#This Row],[Equipment]]="","",Q17*R17/10^6)</f>
        <v>2.9319818749181965</v>
      </c>
      <c r="T17" s="587">
        <f t="shared" ca="1" si="2"/>
        <v>4.7324341398325167</v>
      </c>
      <c r="U17" s="104"/>
      <c r="V17" s="83"/>
      <c r="W17" s="83"/>
      <c r="X17" s="83"/>
      <c r="Y17" s="83"/>
      <c r="Z17" s="83"/>
      <c r="AA17" s="83"/>
      <c r="AB17" s="83"/>
      <c r="AC17" s="83"/>
      <c r="AD17" s="83"/>
      <c r="AE17" s="83"/>
      <c r="AF17" s="83"/>
      <c r="AG17" s="83"/>
      <c r="AH17" s="83"/>
      <c r="AI17" s="83"/>
      <c r="AJ17" s="83"/>
      <c r="AK17" s="83"/>
      <c r="AL17" s="83"/>
      <c r="AM17" s="83"/>
      <c r="AN17" s="83"/>
      <c r="AO17" s="104"/>
      <c r="AP17" s="83"/>
      <c r="AQ17" s="215"/>
      <c r="AR17" s="371"/>
    </row>
    <row r="18" spans="1:44" ht="16.25" customHeight="1" x14ac:dyDescent="0.2">
      <c r="A18" s="83"/>
      <c r="B18" s="103"/>
      <c r="C18" s="99" t="s">
        <v>286</v>
      </c>
      <c r="D18" s="208" t="s">
        <v>177</v>
      </c>
      <c r="E18" s="208" t="s">
        <v>178</v>
      </c>
      <c r="F18" s="158">
        <f>+X45</f>
        <v>153.66999999999999</v>
      </c>
      <c r="G18" s="96">
        <v>1</v>
      </c>
      <c r="H18" s="96" t="s">
        <v>179</v>
      </c>
      <c r="I18" s="96" t="s">
        <v>287</v>
      </c>
      <c r="J18" s="96" t="str">
        <f>+IF(F18&gt;'Equipment Data'!$F$239,"yes","No")</f>
        <v>No</v>
      </c>
      <c r="K18" s="96">
        <v>0.67</v>
      </c>
      <c r="L18" s="152">
        <f>+X49</f>
        <v>3.4126168390686411</v>
      </c>
      <c r="M18" s="156">
        <f>+IF(AND(D18="Vessel",E18="Vertical"),IF(F18&lt;'Equipment Data'!$F$239,10^('Equipment Data'!$B$239+'Equipment Data'!$C$239*LOG10(F18)+'Equipment Data'!$D$239*LOG10(F18)*LOG10(F18)),10^('Equipment Data'!$B$239+'Equipment Data'!$C$239*LOG10('Equipment Data'!$F$239)+'Equipment Data'!$D$239*LOG10('Equipment Data'!$F$239)*LOG10('Equipment Data'!$F$239))*(F18/'Equipment Data'!$F$239)^K18),"N/A")</f>
        <v>98080.5888480133</v>
      </c>
      <c r="N18" s="155">
        <f>+IF(L18="","Input Diameter in m",IF(G18&gt;0.5,IF(((G18*L18)/(2*(850-0.6*G18))+0.00315)/0.0063&lt;1,1,((G18*L18)/(2*(850-0.6*G18))+0.00315)/0.0063),1.25))</f>
        <v>1</v>
      </c>
      <c r="O18" s="96">
        <f>+IF(I18="CS",'Equipment Data'!$C$247,IF(I18="SS Clad",'Equipment Data'!$C$248,IF(I18="SS",'Equipment Data'!$C$249,IF(I18="Ni Clad",'Equipment Data'!$C$250,IF(I18="Ni",'Equipment Data'!$C$251,IF(I18="Ti Clad",'Equipment Data'!$C$252,IF(I18="Ti",'Equipment Data'!$C$253,"N/A")))))))</f>
        <v>3.62</v>
      </c>
      <c r="P18" s="153">
        <f>+'Equipment Data'!$C$244+'Equipment Data'!$D$244*N18*O18</f>
        <v>8.8384</v>
      </c>
      <c r="Q18" s="153">
        <f>+M18*P18</f>
        <v>866875.4764742807</v>
      </c>
      <c r="R18" s="97">
        <f>+X52</f>
        <v>1.5</v>
      </c>
      <c r="S18" s="193">
        <f>+IF(Tabla25879012013530[[#This Row],[Equipment]]="","",Q18*R18/10^6)</f>
        <v>1.3003132147114211</v>
      </c>
      <c r="T18" s="587">
        <f t="shared" ca="1" si="2"/>
        <v>2.0988010541325015</v>
      </c>
      <c r="U18" s="104"/>
      <c r="V18" s="83"/>
      <c r="W18" s="83"/>
      <c r="X18" s="83"/>
      <c r="Y18" s="83"/>
      <c r="Z18" s="83"/>
      <c r="AA18" s="83"/>
      <c r="AB18" s="83"/>
      <c r="AC18" s="83"/>
      <c r="AD18" s="83"/>
      <c r="AE18" s="83"/>
      <c r="AF18" s="83"/>
      <c r="AG18" s="83"/>
      <c r="AH18" s="83"/>
      <c r="AI18" s="83"/>
      <c r="AJ18" s="83"/>
      <c r="AK18" s="83"/>
      <c r="AL18" s="83"/>
      <c r="AM18" s="83"/>
      <c r="AN18" s="83"/>
      <c r="AO18" s="104"/>
      <c r="AP18" s="83"/>
      <c r="AQ18" s="215"/>
      <c r="AR18" s="371"/>
    </row>
    <row r="19" spans="1:44" ht="16.25" customHeight="1" x14ac:dyDescent="0.2">
      <c r="A19" s="83"/>
      <c r="B19" s="103"/>
      <c r="C19" s="99" t="s">
        <v>288</v>
      </c>
      <c r="D19" s="208" t="s">
        <v>177</v>
      </c>
      <c r="E19" s="208" t="s">
        <v>178</v>
      </c>
      <c r="F19" s="152">
        <f>+AI58+AJ58</f>
        <v>65.915251240833896</v>
      </c>
      <c r="G19" s="96">
        <v>30</v>
      </c>
      <c r="H19" s="96" t="s">
        <v>179</v>
      </c>
      <c r="I19" s="96" t="s">
        <v>287</v>
      </c>
      <c r="J19" s="96" t="str">
        <f>+IF(F19&gt;'Equipment Data'!$F$239,"yes","No")</f>
        <v>No</v>
      </c>
      <c r="K19" s="96">
        <v>0.67</v>
      </c>
      <c r="L19" s="152">
        <f>+AG58</f>
        <v>3.8742191236484231</v>
      </c>
      <c r="M19" s="156">
        <f>+IF(AND(D19="Vessel",E19="Vertical"),IF(F19&lt;'Equipment Data'!$F$239,10^('Equipment Data'!$B$239+'Equipment Data'!$C$239*LOG10(F19)+'Equipment Data'!$D$239*LOG10(F19)*LOG10(F19)),10^('Equipment Data'!$B$239+'Equipment Data'!$C$239*LOG10('Equipment Data'!$F$239)+'Equipment Data'!$D$239*LOG10('Equipment Data'!$F$239)*LOG10('Equipment Data'!$F$239))*(F19/'Equipment Data'!$F$239)^K19),"N/A")</f>
        <v>46619.821707361625</v>
      </c>
      <c r="N19" s="155">
        <f>+IF(L19="","Input Diameter in m",IF(G19&gt;0.5,IF(((G19*L19)/(2*(850-0.6*G19))+0.00315)/0.0063&lt;1,1,((G19*L19)/(2*(850-0.6*G19))+0.00315)/0.0063),1.25))</f>
        <v>11.586936594689854</v>
      </c>
      <c r="O19" s="96">
        <f>+IF(I19="CS",'Equipment Data'!$C$247,IF(I19="SS Clad",'Equipment Data'!$C$248,IF(I19="SS",'Equipment Data'!$C$249,IF(I19="Ni Clad",'Equipment Data'!$C$250,IF(I19="Ni",'Equipment Data'!$C$251,IF(I19="Ti Clad",'Equipment Data'!$C$252,IF(I19="Ti",'Equipment Data'!$C$253,"N/A")))))))</f>
        <v>3.62</v>
      </c>
      <c r="P19" s="153">
        <f>+'Equipment Data'!$C$244+'Equipment Data'!$D$244*N19*O19</f>
        <v>78.589373060454648</v>
      </c>
      <c r="Q19" s="153">
        <f>+M19*P19</f>
        <v>3663822.5601717243</v>
      </c>
      <c r="R19" s="97">
        <v>1</v>
      </c>
      <c r="S19" s="193">
        <f>+IF(Tabla25879012013530[[#This Row],[Equipment]]="","",Q19*R19/10^6)</f>
        <v>3.6638225601717243</v>
      </c>
      <c r="T19" s="587">
        <f t="shared" ca="1" si="2"/>
        <v>5.9136787694258857</v>
      </c>
      <c r="U19" s="104"/>
      <c r="V19" s="83"/>
      <c r="W19" s="83"/>
      <c r="X19" s="83"/>
      <c r="Y19" s="83"/>
      <c r="Z19" s="83"/>
      <c r="AA19" s="83"/>
      <c r="AB19" s="83"/>
      <c r="AC19" s="83"/>
      <c r="AD19" s="83"/>
      <c r="AE19" s="83"/>
      <c r="AF19" s="83"/>
      <c r="AG19" s="83"/>
      <c r="AH19" s="83"/>
      <c r="AI19" s="83"/>
      <c r="AJ19" s="83"/>
      <c r="AK19" s="83"/>
      <c r="AL19" s="83"/>
      <c r="AM19" s="83"/>
      <c r="AN19" s="83"/>
      <c r="AO19" s="104"/>
      <c r="AP19" s="83"/>
      <c r="AQ19" s="215"/>
      <c r="AR19" s="371"/>
    </row>
    <row r="20" spans="1:44" ht="16.25" customHeight="1" x14ac:dyDescent="0.2">
      <c r="A20" s="83"/>
      <c r="B20" s="103"/>
      <c r="C20" s="99"/>
      <c r="D20" s="208"/>
      <c r="E20" s="208"/>
      <c r="F20" s="96"/>
      <c r="G20" s="153"/>
      <c r="H20" s="96"/>
      <c r="I20" s="96"/>
      <c r="J20" s="96"/>
      <c r="K20" s="96"/>
      <c r="L20" s="96"/>
      <c r="M20" s="156"/>
      <c r="N20" s="152"/>
      <c r="O20" s="96"/>
      <c r="P20" s="152"/>
      <c r="Q20" s="153"/>
      <c r="R20" s="97"/>
      <c r="S20" s="193" t="str">
        <f>+IF(Tabla25879012013530[[#This Row],[Equipment]]="","",Q20*R20/10^6)</f>
        <v/>
      </c>
      <c r="T20" s="587" t="e">
        <f t="shared" ca="1" si="2"/>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15"/>
      <c r="AR20" s="371"/>
    </row>
    <row r="21" spans="1:44" ht="16.25" customHeight="1" x14ac:dyDescent="0.2">
      <c r="A21" s="83"/>
      <c r="B21" s="103"/>
      <c r="C21" s="99"/>
      <c r="D21" s="208"/>
      <c r="E21" s="208"/>
      <c r="F21" s="96"/>
      <c r="G21" s="96"/>
      <c r="H21" s="96"/>
      <c r="I21" s="96"/>
      <c r="J21" s="96"/>
      <c r="K21" s="96"/>
      <c r="L21" s="96"/>
      <c r="M21" s="156"/>
      <c r="N21" s="152"/>
      <c r="O21" s="96"/>
      <c r="P21" s="152"/>
      <c r="Q21" s="153"/>
      <c r="R21" s="97"/>
      <c r="S21" s="193" t="str">
        <f>+IF(Tabla25879012013530[[#This Row],[Equipment]]="","",Q21*R21/10^6)</f>
        <v/>
      </c>
      <c r="T21" s="587" t="e">
        <f t="shared" ca="1" si="2"/>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15"/>
      <c r="AR21" s="371"/>
    </row>
    <row r="22" spans="1:44" ht="16.25" customHeight="1" x14ac:dyDescent="0.2">
      <c r="A22" s="83"/>
      <c r="B22" s="103"/>
      <c r="C22" s="99"/>
      <c r="D22" s="208"/>
      <c r="E22" s="208"/>
      <c r="F22" s="96"/>
      <c r="G22" s="96"/>
      <c r="H22" s="96"/>
      <c r="I22" s="96"/>
      <c r="J22" s="96"/>
      <c r="K22" s="96"/>
      <c r="L22" s="96"/>
      <c r="M22" s="156"/>
      <c r="N22" s="152"/>
      <c r="O22" s="96"/>
      <c r="P22" s="152"/>
      <c r="Q22" s="153"/>
      <c r="R22" s="97"/>
      <c r="S22" s="193"/>
      <c r="T22" s="587">
        <f t="shared" ca="1" si="2"/>
        <v>0</v>
      </c>
      <c r="U22" s="104"/>
      <c r="V22" s="83"/>
      <c r="W22" s="83"/>
      <c r="X22" s="83"/>
      <c r="Y22" s="83"/>
      <c r="Z22" s="83"/>
      <c r="AA22" s="83"/>
      <c r="AB22" s="83"/>
      <c r="AC22" s="83"/>
      <c r="AD22" s="83"/>
      <c r="AE22" s="83"/>
      <c r="AF22" s="83"/>
      <c r="AG22" s="83"/>
      <c r="AH22" s="83"/>
      <c r="AI22" s="83"/>
      <c r="AJ22" s="83"/>
      <c r="AK22" s="83"/>
      <c r="AL22" s="83"/>
      <c r="AM22" s="83"/>
      <c r="AN22" s="83"/>
      <c r="AO22" s="104"/>
      <c r="AP22" s="83"/>
      <c r="AQ22" s="215"/>
      <c r="AR22" s="371"/>
    </row>
    <row r="23" spans="1:44" ht="16.25" customHeight="1" x14ac:dyDescent="0.2">
      <c r="A23" s="83"/>
      <c r="B23" s="103"/>
      <c r="C23" s="99" t="str">
        <f>+AB43</f>
        <v>C-201</v>
      </c>
      <c r="D23" s="208" t="s">
        <v>194</v>
      </c>
      <c r="E23" s="208" t="s">
        <v>195</v>
      </c>
      <c r="F23" s="158">
        <f>+AC43*1000/3600/AI43</f>
        <v>4107.1083470715985</v>
      </c>
      <c r="G23" s="153">
        <f>+AG43</f>
        <v>30</v>
      </c>
      <c r="H23" s="96" t="s">
        <v>196</v>
      </c>
      <c r="I23" s="96" t="s">
        <v>284</v>
      </c>
      <c r="J23" s="96" t="str">
        <f>+IF(F23&gt;'Equipment Data'!$L$126,"yes","No")</f>
        <v>yes</v>
      </c>
      <c r="K23" s="96">
        <v>0.67</v>
      </c>
      <c r="L23" s="96" t="s">
        <v>289</v>
      </c>
      <c r="M23" s="156">
        <f>+IF(AND(D23="Heat Exchanger",E23="Fixed tube, sheet, or U tube"),IF(F23&lt;'Equipment Data'!$L$126,10^('Equipment Data'!$C$126+'Equipment Data'!$D$126*LOG10(F23)+'Equipment Data'!$E$126*LOG10(F23)*LOG10(F23)),10^('Equipment Data'!$C$126+'Equipment Data'!$D$126*LOG10('Equipment Data'!$L$126)+'Equipment Data'!$E$126*LOG10('Equipment Data'!$L$126)*LOG10('Equipment Data'!$L$126))*(F23/'Equipment Data'!$L$126)^K23),"N/A")</f>
        <v>198321.23904915183</v>
      </c>
      <c r="N23" s="152">
        <f>+IF(L23="","Input: shell and tube / tube only",IF(L23="shell and tube",IF(G23-1&gt;5,10^('Equipment Data'!$F$126+'Equipment Data'!$G$126*LOG10(G23-1.01325)+'Equipment Data'!$H$126*LOG10(G23-1.01325)*LOG10(G23-1.01325)),1),IF(G23-1.01325&gt;5,10^('Equipment Data'!$F$127+'Equipment Data'!$G$127*LOG10(G23-1.01325)+'Equipment Data'!$H$127*LOG10(G23-1.01325)*LOG10(G23-1.01325)),1)))</f>
        <v>1.0363101376098447</v>
      </c>
      <c r="O23" s="96">
        <f>+IF(I23="CS/CS",'Equipment Data'!$C$149,IF(I23="CS/Cu",'Equipment Data'!$D$149,IF(I23="Cu/Cu",'Equipment Data'!$E$149,IF(I23="CS/SS",'Equipment Data'!$F$149,IF(I23="SS/SS",'Equipment Data'!$G$149,IF(I23="CS/Ni",'Equipment Data'!$H$149,IF(I23="Ni/Ni",'Equipment Data'!$I$149,IF(I23="CS/Ti",'Equipment Data'!$J$149,IF(I23="Ti/Ti",'Equipment Data'!$K$149,"N/A")))))))))</f>
        <v>2.68</v>
      </c>
      <c r="P23" s="152">
        <f>+'Equipment Data'!$I$126+'Equipment Data'!$J$126*N23*O23</f>
        <v>6.240336540198677</v>
      </c>
      <c r="Q23" s="153">
        <f t="shared" ref="Q23" si="3">+M23*P23</f>
        <v>1237591.2747358989</v>
      </c>
      <c r="R23" s="97">
        <v>1</v>
      </c>
      <c r="S23" s="193">
        <f>+IF(Tabla25879012013530[[#This Row],[Equipment]]="","",Q23*R23/10^6)</f>
        <v>1.237591274735899</v>
      </c>
      <c r="T23" s="587">
        <f t="shared" ca="1" si="2"/>
        <v>1.9975632352374006</v>
      </c>
      <c r="U23" s="104"/>
      <c r="V23" s="83"/>
      <c r="W23" s="83"/>
      <c r="X23" s="83"/>
      <c r="Y23" s="83"/>
      <c r="Z23" s="83"/>
      <c r="AA23" s="83"/>
      <c r="AB23" s="83"/>
      <c r="AC23" s="83"/>
      <c r="AD23" s="83"/>
      <c r="AE23" s="83"/>
      <c r="AF23" s="83"/>
      <c r="AG23" s="83"/>
      <c r="AH23" s="83"/>
      <c r="AI23" s="83"/>
      <c r="AJ23" s="83"/>
      <c r="AK23" s="83"/>
      <c r="AL23" s="83"/>
      <c r="AM23" s="83"/>
      <c r="AN23" s="83"/>
      <c r="AO23" s="104"/>
      <c r="AP23" s="83"/>
      <c r="AQ23" s="215"/>
      <c r="AR23" s="371"/>
    </row>
    <row r="24" spans="1:44" ht="16.25" customHeight="1" x14ac:dyDescent="0.2">
      <c r="A24" s="83"/>
      <c r="B24" s="103"/>
      <c r="C24" s="99" t="str">
        <f>+C18</f>
        <v>R-202r</v>
      </c>
      <c r="D24" s="208" t="s">
        <v>177</v>
      </c>
      <c r="E24" s="208" t="s">
        <v>178</v>
      </c>
      <c r="F24" s="158">
        <f>+Y45</f>
        <v>27.7</v>
      </c>
      <c r="G24" s="96">
        <v>1</v>
      </c>
      <c r="H24" s="96" t="s">
        <v>179</v>
      </c>
      <c r="I24" s="96" t="s">
        <v>287</v>
      </c>
      <c r="J24" s="96" t="str">
        <f>+IF(F24&gt;'Equipment Data'!$F$239,"yes","No")</f>
        <v>No</v>
      </c>
      <c r="K24" s="96">
        <v>0.67</v>
      </c>
      <c r="L24" s="152">
        <f>+Y49</f>
        <v>2.9577162505825636</v>
      </c>
      <c r="M24" s="156">
        <f>+IF(AND(D24="Vessel",E24="Vertical"),IF(F24&lt;'Equipment Data'!$F$239,10^('Equipment Data'!$B$239+'Equipment Data'!$C$239*LOG10(F24)+'Equipment Data'!$D$239*LOG10(F24)*LOG10(F24)),10^('Equipment Data'!$B$239+'Equipment Data'!$C$239*LOG10('Equipment Data'!$F$239)+'Equipment Data'!$D$239*LOG10('Equipment Data'!$F$239)*LOG10('Equipment Data'!$F$239))*(F24/'Equipment Data'!$F$239)^K24),"N/A")</f>
        <v>23325.152894015013</v>
      </c>
      <c r="N24" s="155">
        <f>+IF(L24="","Input Diameter in m",IF(G24&gt;0.5,IF(((G24*L24)/(2*(850-0.6*G24))+0.00315)/0.0063&lt;1,1,((G24*L24)/(2*(850-0.6*G24))+0.00315)/0.0063),1.25))</f>
        <v>1</v>
      </c>
      <c r="O24" s="96">
        <f>+IF(I24="CS",'Equipment Data'!$C$247,IF(I24="SS Clad",'Equipment Data'!$C$248,IF(I24="SS",'Equipment Data'!$C$249,IF(I24="Ni Clad",'Equipment Data'!$C$250,IF(I24="Ni",'Equipment Data'!$C$251,IF(I24="Ti Clad",'Equipment Data'!$C$252,IF(I24="Ti",'Equipment Data'!$C$253,"N/A")))))))</f>
        <v>3.62</v>
      </c>
      <c r="P24" s="153">
        <f>+'Equipment Data'!$C$244+'Equipment Data'!$D$244*N24*O24</f>
        <v>8.8384</v>
      </c>
      <c r="Q24" s="153">
        <f>+M24*P24</f>
        <v>206157.03133846229</v>
      </c>
      <c r="R24" s="97">
        <f>+X52</f>
        <v>1.5</v>
      </c>
      <c r="S24" s="193">
        <f>+IF(Tabla25879012013530[[#This Row],[Equipment]]="","",Q24*R24/10^6)</f>
        <v>0.30923554700769346</v>
      </c>
      <c r="T24" s="587">
        <f t="shared" ca="1" si="2"/>
        <v>0.4991288904027833</v>
      </c>
      <c r="U24" s="104"/>
      <c r="V24" s="83"/>
      <c r="W24" s="83"/>
      <c r="X24" s="83"/>
      <c r="Y24" s="83"/>
      <c r="Z24" s="83"/>
      <c r="AA24" s="83"/>
      <c r="AB24" s="83"/>
      <c r="AC24" s="83"/>
      <c r="AD24" s="83"/>
      <c r="AE24" s="83"/>
      <c r="AF24" s="83"/>
      <c r="AG24" s="83"/>
      <c r="AH24" s="83"/>
      <c r="AI24" s="83"/>
      <c r="AJ24" s="83"/>
      <c r="AK24" s="83"/>
      <c r="AL24" s="83"/>
      <c r="AM24" s="83"/>
      <c r="AN24" s="83"/>
      <c r="AO24" s="104"/>
      <c r="AP24" s="83"/>
      <c r="AQ24" s="215"/>
      <c r="AR24" s="371"/>
    </row>
    <row r="25" spans="1:44" ht="16.25" customHeight="1" x14ac:dyDescent="0.2">
      <c r="A25" s="83"/>
      <c r="B25" s="103"/>
      <c r="C25" s="99" t="str">
        <f>+C17</f>
        <v>R-201s</v>
      </c>
      <c r="D25" s="208" t="s">
        <v>177</v>
      </c>
      <c r="E25" s="208" t="s">
        <v>178</v>
      </c>
      <c r="F25" s="152">
        <f>+F24+Q49</f>
        <v>39.220468201565112</v>
      </c>
      <c r="G25" s="96">
        <f>+G17</f>
        <v>31</v>
      </c>
      <c r="H25" s="96" t="s">
        <v>179</v>
      </c>
      <c r="I25" s="96" t="s">
        <v>182</v>
      </c>
      <c r="J25" s="96" t="str">
        <f>+IF(F25&gt;'Equipment Data'!$F$239,"yes","No")</f>
        <v>No</v>
      </c>
      <c r="K25" s="96">
        <v>0.67</v>
      </c>
      <c r="L25" s="152">
        <f>+L24+2*Y51</f>
        <v>3.0577162505825637</v>
      </c>
      <c r="M25" s="156">
        <f>+IF(AND(D25="Vessel",E25="Vertical"),IF(F25&lt;'Equipment Data'!$F$239,10^('Equipment Data'!$B$239+'Equipment Data'!$C$239*LOG10(F25)+'Equipment Data'!$D$239*LOG10(F25)*LOG10(F25)),10^('Equipment Data'!$B$239+'Equipment Data'!$C$239*LOG10('Equipment Data'!$F$239)+'Equipment Data'!$D$239*LOG10('Equipment Data'!$F$239)*LOG10('Equipment Data'!$F$239))*(F25/'Equipment Data'!$F$239)^K25),"N/A")</f>
        <v>30535.811710439379</v>
      </c>
      <c r="N25" s="155">
        <f>+IF(L25="","Input Diameter in m",IF(G25&gt;0.5,IF(((G25*L25)/(2*(850-0.6*G25))+0.00315)/0.0063&lt;1,1,((G25*L25)/(2*(850-0.6*G25))+0.00315)/0.0063),1.25))</f>
        <v>9.5485358191059913</v>
      </c>
      <c r="O25" s="96">
        <f>+IF(I25="CS",'Equipment Data'!$C$247,IF(I25="SS Clad",'Equipment Data'!$C$248,IF(I25="SS",'Equipment Data'!$C$249,IF(I25="Ni Clad",'Equipment Data'!$C$250,IF(I25="Ni",'Equipment Data'!$C$251,IF(I25="Ti Clad",'Equipment Data'!$C$252,IF(I25="Ti",'Equipment Data'!$C$253,"N/A")))))))</f>
        <v>1</v>
      </c>
      <c r="P25" s="153">
        <f>+'Equipment Data'!$C$244+'Equipment Data'!$D$244*N25*O25</f>
        <v>19.628335190772905</v>
      </c>
      <c r="Q25" s="153">
        <f>+M25*P25</f>
        <v>599367.14757483266</v>
      </c>
      <c r="R25" s="97">
        <v>1</v>
      </c>
      <c r="S25" s="193">
        <f>+IF(Tabla25879012013530[[#This Row],[Equipment]]="","",Q25*R25/10^6)</f>
        <v>0.59936714757483267</v>
      </c>
      <c r="T25" s="587">
        <f t="shared" ca="1" si="2"/>
        <v>0.96742260780732525</v>
      </c>
      <c r="U25" s="104"/>
      <c r="V25" s="83"/>
      <c r="W25" s="83"/>
      <c r="X25" s="83"/>
      <c r="Y25" s="83"/>
      <c r="Z25" s="83"/>
      <c r="AA25" s="83"/>
      <c r="AB25" s="83"/>
      <c r="AC25" s="83"/>
      <c r="AD25" s="83"/>
      <c r="AE25" s="83"/>
      <c r="AF25" s="83"/>
      <c r="AG25" s="83"/>
      <c r="AH25" s="83"/>
      <c r="AI25" s="83"/>
      <c r="AJ25" s="83"/>
      <c r="AK25" s="83"/>
      <c r="AL25" s="83"/>
      <c r="AM25" s="83"/>
      <c r="AN25" s="83"/>
      <c r="AO25" s="104"/>
      <c r="AP25" s="83"/>
      <c r="AQ25" s="215"/>
      <c r="AR25" s="371"/>
    </row>
    <row r="26" spans="1:44" ht="16.25" customHeight="1" x14ac:dyDescent="0.2">
      <c r="A26" s="83"/>
      <c r="B26" s="103"/>
      <c r="C26" s="99"/>
      <c r="D26" s="208"/>
      <c r="E26" s="208"/>
      <c r="F26" s="96"/>
      <c r="G26" s="96"/>
      <c r="H26" s="96"/>
      <c r="I26" s="96"/>
      <c r="J26" s="96"/>
      <c r="K26" s="96"/>
      <c r="L26" s="96"/>
      <c r="M26" s="156"/>
      <c r="N26" s="155"/>
      <c r="O26" s="96"/>
      <c r="P26" s="153"/>
      <c r="Q26" s="153"/>
      <c r="R26" s="97"/>
      <c r="S26" s="193" t="str">
        <f>+IF(Tabla25879012013530[[#This Row],[Equipment]]="","",Q26*R26/10^6)</f>
        <v/>
      </c>
      <c r="T26" s="587" t="e">
        <f t="shared" ca="1" si="2"/>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15"/>
      <c r="AR26" s="371"/>
    </row>
    <row r="27" spans="1:44" ht="16.25" customHeight="1" x14ac:dyDescent="0.2">
      <c r="A27" s="83"/>
      <c r="B27" s="103"/>
      <c r="C27" s="99"/>
      <c r="D27" s="208"/>
      <c r="E27" s="208"/>
      <c r="F27" s="158"/>
      <c r="G27" s="158"/>
      <c r="H27" s="395" t="str">
        <f>IF(Tabla27889112113631[[#This Row],[Subtype]]="","",VLOOKUP(Tabla27889112113631[[#This Row],[Subtype]],'Unit-X00 Equipment'!$E$13:$H$107,4,FALSE))</f>
        <v/>
      </c>
      <c r="I27" s="96"/>
      <c r="J27" s="96"/>
      <c r="K27" s="96"/>
      <c r="L27" s="96"/>
      <c r="M27" s="234"/>
      <c r="N27" s="158"/>
      <c r="O27" s="158"/>
      <c r="P27" s="158"/>
      <c r="Q27" s="158"/>
      <c r="R27" s="97"/>
      <c r="S27" s="193" t="str">
        <f>+IF(Tabla25879012013530[[#This Row],[Equipment]]="","",Q27*R27/10^6)</f>
        <v/>
      </c>
      <c r="T27" s="587" t="e">
        <f t="shared" ca="1" si="2"/>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15"/>
      <c r="AR27" s="371"/>
    </row>
    <row r="28" spans="1:44" ht="16.25" customHeight="1" x14ac:dyDescent="0.2">
      <c r="A28" s="83"/>
      <c r="B28" s="103"/>
      <c r="C28" s="99"/>
      <c r="D28" s="208"/>
      <c r="E28" s="208"/>
      <c r="F28" s="158"/>
      <c r="G28" s="158"/>
      <c r="H28" s="395" t="str">
        <f>IF(Tabla27889112113631[[#This Row],[Subtype]]="","",VLOOKUP(Tabla27889112113631[[#This Row],[Subtype]],'Unit-X00 Equipment'!$E$13:$H$107,4,FALSE))</f>
        <v/>
      </c>
      <c r="I28" s="96"/>
      <c r="J28" s="96"/>
      <c r="K28" s="96"/>
      <c r="L28" s="96"/>
      <c r="M28" s="234"/>
      <c r="N28" s="158"/>
      <c r="O28" s="158"/>
      <c r="P28" s="158"/>
      <c r="Q28" s="158"/>
      <c r="R28" s="97"/>
      <c r="S28" s="193" t="str">
        <f>+IF(Tabla25879012013530[[#This Row],[Equipment]]="","",Q28*R28/10^6)</f>
        <v/>
      </c>
      <c r="T28" s="587" t="e">
        <f t="shared" ca="1" si="2"/>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15"/>
      <c r="AR28" s="371"/>
    </row>
    <row r="29" spans="1:44" ht="16.25" customHeight="1" x14ac:dyDescent="0.2">
      <c r="A29" s="83"/>
      <c r="B29" s="103"/>
      <c r="C29" s="99"/>
      <c r="D29" s="208"/>
      <c r="E29" s="208"/>
      <c r="F29" s="158"/>
      <c r="G29" s="158"/>
      <c r="H29" s="395" t="str">
        <f>IF(Tabla27889112113631[[#This Row],[Subtype]]="","",VLOOKUP(Tabla27889112113631[[#This Row],[Subtype]],'Unit-X00 Equipment'!$E$13:$H$107,4,FALSE))</f>
        <v/>
      </c>
      <c r="I29" s="96"/>
      <c r="J29" s="96"/>
      <c r="K29" s="96"/>
      <c r="L29" s="96"/>
      <c r="M29" s="234"/>
      <c r="N29" s="158"/>
      <c r="O29" s="158"/>
      <c r="P29" s="158"/>
      <c r="Q29" s="158"/>
      <c r="R29" s="97"/>
      <c r="S29" s="193" t="str">
        <f>+IF(Tabla25879012013530[[#This Row],[Equipment]]="","",Q29*R29/10^6)</f>
        <v/>
      </c>
      <c r="T29" s="587" t="e">
        <f t="shared" ca="1" si="2"/>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15"/>
      <c r="AR29" s="371"/>
    </row>
    <row r="30" spans="1:44" ht="16.25" customHeight="1" x14ac:dyDescent="0.2">
      <c r="A30" s="83"/>
      <c r="B30" s="103"/>
      <c r="C30" s="99"/>
      <c r="D30" s="208"/>
      <c r="E30" s="208"/>
      <c r="F30" s="158"/>
      <c r="G30" s="158"/>
      <c r="H30" s="395" t="str">
        <f>IF(Tabla27889112113631[[#This Row],[Subtype]]="","",VLOOKUP(Tabla27889112113631[[#This Row],[Subtype]],'Unit-X00 Equipment'!$E$13:$H$107,4,FALSE))</f>
        <v/>
      </c>
      <c r="I30" s="96"/>
      <c r="J30" s="96"/>
      <c r="K30" s="96"/>
      <c r="L30" s="96"/>
      <c r="M30" s="234"/>
      <c r="N30" s="158"/>
      <c r="O30" s="158"/>
      <c r="P30" s="158"/>
      <c r="Q30" s="158"/>
      <c r="R30" s="97"/>
      <c r="S30" s="193" t="str">
        <f>+IF(Tabla25879012013530[[#This Row],[Equipment]]="","",Q30*R30/10^6)</f>
        <v/>
      </c>
      <c r="T30" s="587" t="e">
        <f t="shared" ca="1" si="2"/>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15"/>
      <c r="AR30" s="371"/>
    </row>
    <row r="31" spans="1:44" ht="16.25" customHeight="1" x14ac:dyDescent="0.2">
      <c r="A31" s="83"/>
      <c r="B31" s="103"/>
      <c r="C31" s="99"/>
      <c r="D31" s="208"/>
      <c r="E31" s="208"/>
      <c r="F31" s="158"/>
      <c r="G31" s="158"/>
      <c r="H31" s="395" t="str">
        <f>IF(Tabla27889112113631[[#This Row],[Subtype]]="","",VLOOKUP(Tabla27889112113631[[#This Row],[Subtype]],'Unit-X00 Equipment'!$E$13:$H$107,4,FALSE))</f>
        <v/>
      </c>
      <c r="I31" s="96"/>
      <c r="J31" s="96"/>
      <c r="K31" s="96"/>
      <c r="L31" s="96"/>
      <c r="M31" s="234"/>
      <c r="N31" s="158"/>
      <c r="O31" s="158"/>
      <c r="P31" s="158"/>
      <c r="Q31" s="158"/>
      <c r="R31" s="97"/>
      <c r="S31" s="193" t="str">
        <f>+IF(Tabla25879012013530[[#This Row],[Equipment]]="","",Q31*R31/10^6)</f>
        <v/>
      </c>
      <c r="T31" s="587" t="e">
        <f t="shared" ca="1" si="2"/>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15"/>
      <c r="AR31" s="371"/>
    </row>
    <row r="32" spans="1:44" ht="16.25" customHeight="1" x14ac:dyDescent="0.2">
      <c r="A32" s="83"/>
      <c r="B32" s="103"/>
      <c r="C32" s="99"/>
      <c r="D32" s="208"/>
      <c r="E32" s="208"/>
      <c r="F32" s="158"/>
      <c r="G32" s="158"/>
      <c r="H32" s="395" t="str">
        <f>IF(Tabla27889112113631[[#This Row],[Subtype]]="","",VLOOKUP(Tabla27889112113631[[#This Row],[Subtype]],'Unit-X00 Equipment'!$E$13:$H$107,4,FALSE))</f>
        <v/>
      </c>
      <c r="I32" s="96"/>
      <c r="J32" s="96"/>
      <c r="K32" s="96"/>
      <c r="L32" s="96"/>
      <c r="M32" s="156"/>
      <c r="N32" s="96"/>
      <c r="O32" s="96"/>
      <c r="P32" s="152"/>
      <c r="Q32" s="153"/>
      <c r="R32" s="97"/>
      <c r="S32" s="193" t="str">
        <f>+IF(Tabla25879012013530[[#This Row],[Equipment]]="","",Q32*R32/10^6)</f>
        <v/>
      </c>
      <c r="T32" s="587" t="e">
        <f t="shared" ca="1" si="2"/>
        <v>#VALUE!</v>
      </c>
      <c r="U32" s="83"/>
      <c r="W32" s="83"/>
      <c r="X32" s="83"/>
      <c r="Y32" s="83"/>
      <c r="Z32" s="83"/>
      <c r="AA32" s="83"/>
      <c r="AB32" s="83"/>
      <c r="AC32" s="83"/>
      <c r="AD32" s="83"/>
      <c r="AE32" s="83"/>
      <c r="AF32" s="83"/>
      <c r="AG32" s="83"/>
      <c r="AH32" s="83"/>
      <c r="AI32" s="83"/>
      <c r="AJ32" s="83"/>
      <c r="AK32" s="83"/>
      <c r="AL32" s="83"/>
      <c r="AM32" s="83"/>
      <c r="AN32" s="83"/>
      <c r="AO32" s="83"/>
      <c r="AP32" s="83"/>
      <c r="AQ32" s="215"/>
      <c r="AR32" s="371"/>
    </row>
    <row r="33" spans="1:44" ht="16.25" customHeight="1" x14ac:dyDescent="0.2">
      <c r="A33" s="83"/>
      <c r="B33" s="103"/>
      <c r="C33" s="99"/>
      <c r="D33" s="208"/>
      <c r="E33" s="208"/>
      <c r="F33" s="158"/>
      <c r="G33" s="158"/>
      <c r="H33" s="395" t="str">
        <f>IF(Tabla27889112113631[[#This Row],[Subtype]]="","",VLOOKUP(Tabla27889112113631[[#This Row],[Subtype]],'Unit-X00 Equipment'!$E$13:$H$107,4,FALSE))</f>
        <v/>
      </c>
      <c r="I33" s="96"/>
      <c r="J33" s="96"/>
      <c r="K33" s="96"/>
      <c r="L33" s="96"/>
      <c r="M33" s="156"/>
      <c r="N33" s="96"/>
      <c r="O33" s="96"/>
      <c r="P33" s="158"/>
      <c r="Q33" s="153"/>
      <c r="R33" s="97"/>
      <c r="S33" s="193" t="str">
        <f>+IF(Tabla25879012013530[[#This Row],[Equipment]]="","",Q33*R33/10^6)</f>
        <v/>
      </c>
      <c r="T33" s="587" t="e">
        <f t="shared" ca="1" si="2"/>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15"/>
      <c r="AR33" s="371"/>
    </row>
    <row r="34" spans="1:44" ht="16.25" customHeight="1" x14ac:dyDescent="0.2">
      <c r="A34" s="83"/>
      <c r="B34" s="103"/>
      <c r="C34" s="363"/>
      <c r="D34" s="208"/>
      <c r="E34" s="208"/>
      <c r="F34" s="158"/>
      <c r="G34" s="158"/>
      <c r="H34" s="395" t="str">
        <f>IF(Tabla27889112113631[[#This Row],[Subtype]]="","",VLOOKUP(Tabla27889112113631[[#This Row],[Subtype]],'Unit-X00 Equipment'!$E$13:$H$107,4,FALSE))</f>
        <v/>
      </c>
      <c r="I34" s="96"/>
      <c r="J34" s="96"/>
      <c r="K34" s="96"/>
      <c r="L34" s="96"/>
      <c r="M34" s="156"/>
      <c r="N34" s="96"/>
      <c r="O34" s="96"/>
      <c r="P34" s="96"/>
      <c r="Q34" s="153"/>
      <c r="R34" s="97"/>
      <c r="S34" s="193" t="str">
        <f>+IF(Tabla25879012013530[[#This Row],[Equipment]]="","",Q34*R34/10^6)</f>
        <v/>
      </c>
      <c r="T34" s="587" t="e">
        <f t="shared" ca="1" si="2"/>
        <v>#VALUE!</v>
      </c>
      <c r="U34" s="83"/>
      <c r="V34" s="112"/>
      <c r="W34" s="914" t="str">
        <f>+E6&amp;" Calculations"</f>
        <v>WGS Calculations</v>
      </c>
      <c r="X34" s="915"/>
      <c r="Y34" s="915"/>
      <c r="Z34" s="915"/>
      <c r="AA34" s="915"/>
      <c r="AB34" s="915"/>
      <c r="AC34" s="915"/>
      <c r="AD34" s="915"/>
      <c r="AE34" s="915"/>
      <c r="AF34" s="915"/>
      <c r="AG34" s="915"/>
      <c r="AH34" s="915"/>
      <c r="AI34" s="915"/>
      <c r="AJ34" s="915"/>
      <c r="AK34" s="915"/>
      <c r="AL34" s="915"/>
      <c r="AM34" s="915"/>
      <c r="AN34" s="916"/>
      <c r="AO34" s="104"/>
      <c r="AP34" s="83"/>
      <c r="AQ34" s="215"/>
      <c r="AR34" s="371"/>
    </row>
    <row r="35" spans="1:44" ht="16.25" customHeight="1" x14ac:dyDescent="0.2">
      <c r="A35" s="83"/>
      <c r="B35" s="103"/>
      <c r="C35" s="363"/>
      <c r="D35" s="208"/>
      <c r="E35" s="208"/>
      <c r="F35" s="158"/>
      <c r="G35" s="158"/>
      <c r="H35" s="395" t="str">
        <f>IF(Tabla27889112113631[[#This Row],[Subtype]]="","",VLOOKUP(Tabla27889112113631[[#This Row],[Subtype]],'Unit-X00 Equipment'!$E$13:$H$107,4,FALSE))</f>
        <v/>
      </c>
      <c r="I35" s="96"/>
      <c r="J35" s="96"/>
      <c r="K35" s="96"/>
      <c r="L35" s="96"/>
      <c r="M35" s="156"/>
      <c r="N35" s="96"/>
      <c r="O35" s="96"/>
      <c r="P35" s="96"/>
      <c r="Q35" s="153"/>
      <c r="R35" s="97"/>
      <c r="S35" s="193" t="str">
        <f>+IF(Tabla25879012013530[[#This Row],[Equipment]]="","",Q35*R35/10^6)</f>
        <v/>
      </c>
      <c r="T35" s="587" t="e">
        <f t="shared" ca="1" si="2"/>
        <v>#VALUE!</v>
      </c>
      <c r="U35" s="83"/>
      <c r="V35" s="311"/>
      <c r="W35" s="395"/>
      <c r="X35" s="395"/>
      <c r="Y35" s="395"/>
      <c r="Z35" s="395"/>
      <c r="AA35" s="395"/>
      <c r="AB35" s="96"/>
      <c r="AC35" s="395"/>
      <c r="AD35" s="395"/>
      <c r="AE35" s="395"/>
      <c r="AF35" s="395"/>
      <c r="AG35" s="395"/>
      <c r="AH35" s="395"/>
      <c r="AI35" s="395"/>
      <c r="AJ35" s="395"/>
      <c r="AK35" s="395"/>
      <c r="AL35" s="395"/>
      <c r="AM35" s="395"/>
      <c r="AN35" s="395"/>
      <c r="AO35" s="104"/>
      <c r="AP35" s="83"/>
      <c r="AQ35" s="215"/>
      <c r="AR35" s="371"/>
    </row>
    <row r="36" spans="1:44" ht="16.25" customHeight="1" x14ac:dyDescent="0.2">
      <c r="A36" s="83"/>
      <c r="B36" s="103"/>
      <c r="C36" s="363"/>
      <c r="D36" s="208"/>
      <c r="E36" s="208"/>
      <c r="F36" s="158"/>
      <c r="G36" s="158"/>
      <c r="H36" s="395" t="str">
        <f>IF(Tabla27889112113631[[#This Row],[Subtype]]="","",VLOOKUP(Tabla27889112113631[[#This Row],[Subtype]],'Unit-X00 Equipment'!$E$13:$H$107,4,FALSE))</f>
        <v/>
      </c>
      <c r="I36" s="96"/>
      <c r="J36" s="96"/>
      <c r="K36" s="96"/>
      <c r="L36" s="96"/>
      <c r="M36" s="156"/>
      <c r="N36" s="96"/>
      <c r="O36" s="96"/>
      <c r="P36" s="96"/>
      <c r="Q36" s="153"/>
      <c r="R36" s="97"/>
      <c r="S36" s="193" t="str">
        <f>+IF(Tabla25879012013530[[#This Row],[Equipment]]="","",Q36*R36/10^6)</f>
        <v/>
      </c>
      <c r="T36" s="587" t="e">
        <f t="shared" ca="1" si="2"/>
        <v>#VALUE!</v>
      </c>
      <c r="U36" s="83"/>
      <c r="V36" s="311"/>
      <c r="W36" s="985" t="s">
        <v>290</v>
      </c>
      <c r="X36" s="986"/>
      <c r="Y36" s="987"/>
      <c r="Z36" s="667"/>
      <c r="AA36" s="668"/>
      <c r="AB36" s="874" t="s">
        <v>194</v>
      </c>
      <c r="AC36" s="875"/>
      <c r="AD36" s="876"/>
      <c r="AE36" s="309" t="s">
        <v>200</v>
      </c>
      <c r="AF36" s="310"/>
      <c r="AG36" s="309" t="s">
        <v>201</v>
      </c>
      <c r="AH36" s="310"/>
      <c r="AI36" s="316" t="s">
        <v>202</v>
      </c>
      <c r="AL36" s="667"/>
      <c r="AM36" s="667"/>
      <c r="AN36" s="667"/>
      <c r="AO36" s="104"/>
      <c r="AP36" s="83"/>
      <c r="AQ36" s="215"/>
      <c r="AR36" s="371"/>
    </row>
    <row r="37" spans="1:44" ht="16.25" customHeight="1" x14ac:dyDescent="0.2">
      <c r="A37" s="83"/>
      <c r="B37" s="103"/>
      <c r="C37" s="363"/>
      <c r="D37" s="208"/>
      <c r="E37" s="208"/>
      <c r="F37" s="158"/>
      <c r="G37" s="158"/>
      <c r="H37" s="395" t="str">
        <f>IF(Tabla27889112113631[[#This Row],[Subtype]]="","",VLOOKUP(Tabla27889112113631[[#This Row],[Subtype]],'Unit-X00 Equipment'!$E$13:$H$107,4,FALSE))</f>
        <v/>
      </c>
      <c r="I37" s="96"/>
      <c r="J37" s="96"/>
      <c r="K37" s="96"/>
      <c r="L37" s="96"/>
      <c r="M37" s="156"/>
      <c r="N37" s="96"/>
      <c r="O37" s="96"/>
      <c r="P37" s="96"/>
      <c r="Q37" s="153"/>
      <c r="R37" s="97"/>
      <c r="S37" s="193" t="str">
        <f>+IF(Tabla25879012013530[[#This Row],[Equipment]]="","",Q37*R37/10^6)</f>
        <v/>
      </c>
      <c r="T37" s="587" t="e">
        <f t="shared" ca="1" si="2"/>
        <v>#VALUE!</v>
      </c>
      <c r="U37" s="83"/>
      <c r="V37" s="311"/>
      <c r="W37" s="669" t="s">
        <v>291</v>
      </c>
      <c r="X37" s="670">
        <v>16100</v>
      </c>
      <c r="Y37" s="640" t="s">
        <v>292</v>
      </c>
      <c r="Z37" s="395"/>
      <c r="AA37" s="395"/>
      <c r="AB37" s="316" t="s">
        <v>203</v>
      </c>
      <c r="AC37" s="316" t="s">
        <v>204</v>
      </c>
      <c r="AD37" s="316" t="s">
        <v>205</v>
      </c>
      <c r="AE37" s="641" t="s">
        <v>206</v>
      </c>
      <c r="AF37" s="641" t="s">
        <v>207</v>
      </c>
      <c r="AG37" s="642" t="s">
        <v>206</v>
      </c>
      <c r="AH37" s="641" t="s">
        <v>207</v>
      </c>
      <c r="AI37" s="166" t="s">
        <v>208</v>
      </c>
      <c r="AL37" s="210"/>
      <c r="AM37" s="210"/>
      <c r="AN37" s="210"/>
      <c r="AO37" s="104"/>
      <c r="AP37" s="83"/>
      <c r="AQ37" s="215"/>
      <c r="AR37" s="371"/>
    </row>
    <row r="38" spans="1:44" ht="16.25" customHeight="1" x14ac:dyDescent="0.2">
      <c r="A38" s="83"/>
      <c r="B38" s="103"/>
      <c r="C38" s="363"/>
      <c r="D38" s="208"/>
      <c r="E38" s="208"/>
      <c r="F38" s="158"/>
      <c r="G38" s="158"/>
      <c r="H38" s="395" t="str">
        <f>IF(Tabla27889112113631[[#This Row],[Subtype]]="","",VLOOKUP(Tabla27889112113631[[#This Row],[Subtype]],'Unit-X00 Equipment'!$E$13:$H$107,4,FALSE))</f>
        <v/>
      </c>
      <c r="I38" s="96"/>
      <c r="J38" s="96"/>
      <c r="K38" s="96"/>
      <c r="L38" s="96"/>
      <c r="M38" s="156"/>
      <c r="N38" s="96"/>
      <c r="O38" s="96"/>
      <c r="P38" s="96"/>
      <c r="Q38" s="153"/>
      <c r="R38" s="97"/>
      <c r="S38" s="193" t="str">
        <f>+IF(Tabla25879012013530[[#This Row],[Equipment]]="","",Q38*R38/10^6)</f>
        <v/>
      </c>
      <c r="T38" s="587" t="e">
        <f t="shared" ca="1" si="2"/>
        <v>#VALUE!</v>
      </c>
      <c r="U38" s="83"/>
      <c r="V38" s="311"/>
      <c r="W38" s="311" t="s">
        <v>293</v>
      </c>
      <c r="X38" s="395">
        <v>2000</v>
      </c>
      <c r="Y38" s="548" t="s">
        <v>292</v>
      </c>
      <c r="Z38" s="395"/>
      <c r="AA38" s="395"/>
      <c r="AB38" s="316" t="s">
        <v>294</v>
      </c>
      <c r="AC38" s="96">
        <v>1040375.9112401</v>
      </c>
      <c r="AD38" s="309" t="s">
        <v>295</v>
      </c>
      <c r="AE38" s="669" t="s">
        <v>211</v>
      </c>
      <c r="AF38" s="673">
        <f>IF(AE38="Ph. Ch.",$AD$53,IF(AE38="Liquid",$AD$52,$AD$50*AE38^$AD$51))</f>
        <v>5000</v>
      </c>
      <c r="AG38" s="670">
        <v>32</v>
      </c>
      <c r="AH38" s="674">
        <f>IF(AG38="Ph. Ch.",$AD$53,IF(AG38="Liquid",$AD$52,$AD$50*AG38^$AD$51))</f>
        <v>452.54833995939038</v>
      </c>
      <c r="AI38" s="675">
        <f>1/(1/AF38+1/AH38)</f>
        <v>414.98792100829024</v>
      </c>
      <c r="AL38" s="672"/>
      <c r="AM38" s="672"/>
      <c r="AN38" s="210"/>
      <c r="AO38" s="84"/>
      <c r="AP38" s="83"/>
      <c r="AQ38" s="215"/>
      <c r="AR38" s="371"/>
    </row>
    <row r="39" spans="1:44" ht="16.25" customHeight="1" x14ac:dyDescent="0.2">
      <c r="A39" s="83"/>
      <c r="B39" s="103"/>
      <c r="C39" s="92"/>
      <c r="D39" s="209"/>
      <c r="E39" s="209"/>
      <c r="F39" s="588"/>
      <c r="G39" s="588"/>
      <c r="H39" s="395" t="str">
        <f>IF(Tabla27889112113631[[#This Row],[Subtype]]="","",VLOOKUP(Tabla27889112113631[[#This Row],[Subtype]],'Unit-X00 Equipment'!$E$13:$H$107,4,FALSE))</f>
        <v/>
      </c>
      <c r="M39" s="235"/>
      <c r="Q39" s="236"/>
      <c r="R39" s="84"/>
      <c r="S39" s="193" t="str">
        <f>+IF(Tabla25879012013530[[#This Row],[Equipment]]="","",Q39*R39/10^6)</f>
        <v/>
      </c>
      <c r="T39" s="587" t="e">
        <f t="shared" ca="1" si="2"/>
        <v>#VALUE!</v>
      </c>
      <c r="U39" s="83"/>
      <c r="V39" s="311"/>
      <c r="W39" s="312" t="s">
        <v>296</v>
      </c>
      <c r="X39" s="652">
        <v>4500</v>
      </c>
      <c r="Y39" s="654" t="s">
        <v>268</v>
      </c>
      <c r="Z39" s="395"/>
      <c r="AA39" s="395"/>
      <c r="AB39" s="316" t="s">
        <v>297</v>
      </c>
      <c r="AC39" s="316">
        <v>8005337.6920836102</v>
      </c>
      <c r="AD39" s="309" t="s">
        <v>213</v>
      </c>
      <c r="AE39" s="311" t="str">
        <f>+AE40</f>
        <v>Liquid</v>
      </c>
      <c r="AF39" s="385">
        <f>IF(AE39="Ph. Ch.",$AD$53,IF(AE39="Liquid",$AD$52,$AD$50*AE39^$AD$51))</f>
        <v>1500</v>
      </c>
      <c r="AG39" s="395">
        <v>32</v>
      </c>
      <c r="AH39" s="655">
        <f>IF(AG39="Ph. Ch.",$AD$53,IF(AG39="Liquid",$AD$52,$AD$50*AG39^$AD$51))</f>
        <v>452.54833995939038</v>
      </c>
      <c r="AI39" s="662">
        <f>1/(1/AF39+1/AH39)</f>
        <v>347.65977161579718</v>
      </c>
      <c r="AK39" s="606"/>
      <c r="AL39" s="606"/>
      <c r="AM39" s="606"/>
      <c r="AN39" s="395"/>
      <c r="AO39" s="104"/>
      <c r="AP39" s="83"/>
      <c r="AQ39" s="215"/>
      <c r="AR39" s="371"/>
    </row>
    <row r="40" spans="1:44" ht="16.25" customHeight="1" x14ac:dyDescent="0.2">
      <c r="A40" s="83"/>
      <c r="B40" s="103"/>
      <c r="C40" s="92"/>
      <c r="D40" s="209"/>
      <c r="E40" s="209"/>
      <c r="F40" s="588"/>
      <c r="G40" s="588"/>
      <c r="H40" s="395" t="str">
        <f>IF(Tabla27889112113631[[#This Row],[Subtype]]="","",VLOOKUP(Tabla27889112113631[[#This Row],[Subtype]],'Unit-X00 Equipment'!$E$13:$H$107,4,FALSE))</f>
        <v/>
      </c>
      <c r="M40" s="235"/>
      <c r="Q40" s="236"/>
      <c r="R40" s="84"/>
      <c r="S40" s="193" t="str">
        <f>+IF(Tabla25879012013530[[#This Row],[Equipment]]="","",Q40*R40/10^6)</f>
        <v/>
      </c>
      <c r="T40" s="587" t="e">
        <f t="shared" ca="1" si="2"/>
        <v>#VALUE!</v>
      </c>
      <c r="U40" s="83"/>
      <c r="V40" s="311"/>
      <c r="W40" s="196"/>
      <c r="X40" s="196"/>
      <c r="Y40" s="196"/>
      <c r="Z40" s="395"/>
      <c r="AA40" s="395"/>
      <c r="AB40" s="316" t="s">
        <v>298</v>
      </c>
      <c r="AC40" s="316">
        <v>3096712.7735708999</v>
      </c>
      <c r="AD40" s="309" t="str">
        <f>+AD38</f>
        <v>evap-gas</v>
      </c>
      <c r="AE40" s="311" t="s">
        <v>265</v>
      </c>
      <c r="AF40" s="385">
        <f>IF(AE40="Ph. Ch.",$AD$53,IF(AE40="Liquid",$AD$52,$AD$50*AE40^$AD$51))</f>
        <v>1500</v>
      </c>
      <c r="AG40" s="395">
        <f>+AG39</f>
        <v>32</v>
      </c>
      <c r="AH40" s="655">
        <f>IF(AG40="Ph. Ch.",$AD$53,IF(AG40="Liquid",$AD$52,$AD$50*AG40^$AD$51))</f>
        <v>452.54833995939038</v>
      </c>
      <c r="AI40" s="662">
        <f>1/(1/AF40+1/AH40)</f>
        <v>347.65977161579718</v>
      </c>
      <c r="AL40" s="395"/>
      <c r="AM40" s="385"/>
      <c r="AN40" s="655"/>
      <c r="AO40" s="104"/>
      <c r="AP40" s="83"/>
      <c r="AQ40" s="215"/>
      <c r="AR40" s="371"/>
    </row>
    <row r="41" spans="1:44" ht="16.25" customHeight="1" x14ac:dyDescent="0.2">
      <c r="A41" s="83"/>
      <c r="B41" s="103"/>
      <c r="C41" s="99"/>
      <c r="D41" s="208"/>
      <c r="E41" s="208"/>
      <c r="F41" s="158"/>
      <c r="G41" s="158"/>
      <c r="H41" s="395" t="str">
        <f>IF(Tabla27889112113631[[#This Row],[Subtype]]="","",VLOOKUP(Tabla27889112113631[[#This Row],[Subtype]],'Unit-X00 Equipment'!$E$13:$H$107,4,FALSE))</f>
        <v/>
      </c>
      <c r="I41" s="96"/>
      <c r="J41" s="96"/>
      <c r="K41" s="96"/>
      <c r="L41" s="96"/>
      <c r="M41" s="156"/>
      <c r="N41" s="96"/>
      <c r="O41" s="96"/>
      <c r="P41" s="152"/>
      <c r="Q41" s="153"/>
      <c r="R41" s="97"/>
      <c r="S41" s="193" t="str">
        <f>+IF(Tabla25879012013530[[#This Row],[Equipment]]="","",Q41*R41/10^6)</f>
        <v/>
      </c>
      <c r="T41" s="587" t="e">
        <f t="shared" ca="1" si="2"/>
        <v>#VALUE!</v>
      </c>
      <c r="U41" s="83"/>
      <c r="V41" s="311"/>
      <c r="W41" s="196"/>
      <c r="X41" s="196"/>
      <c r="Y41" s="196"/>
      <c r="Z41" s="395"/>
      <c r="AA41" s="395"/>
      <c r="AB41" s="316" t="s">
        <v>299</v>
      </c>
      <c r="AC41" s="316">
        <v>938859.73656104004</v>
      </c>
      <c r="AD41" s="309" t="s">
        <v>300</v>
      </c>
      <c r="AE41" s="311">
        <v>33</v>
      </c>
      <c r="AF41" s="385">
        <f>IF(AE41="Ph. Ch.",$AD$53,IF(AE41="Liquid",$AD$52,$AD$50*AE41^$AD$51))</f>
        <v>462.40204833587438</v>
      </c>
      <c r="AG41" s="655">
        <v>32</v>
      </c>
      <c r="AH41" s="655">
        <f>IF(AG41="Ph. Ch.",$AD$53,IF(AG41="Liquid",$AD$52,$AD$50*AG41^$AD$51))</f>
        <v>452.54833995939038</v>
      </c>
      <c r="AI41" s="662">
        <f>1/(1/AF41+1/AH41)</f>
        <v>228.71106679140664</v>
      </c>
      <c r="AL41" s="395"/>
      <c r="AM41" s="395"/>
      <c r="AN41" s="655"/>
      <c r="AO41" s="104"/>
      <c r="AP41" s="83"/>
      <c r="AQ41" s="215"/>
      <c r="AR41" s="371"/>
    </row>
    <row r="42" spans="1:44" ht="16.25" customHeight="1" x14ac:dyDescent="0.2">
      <c r="A42" s="83"/>
      <c r="B42" s="103"/>
      <c r="C42" s="99"/>
      <c r="D42" s="208"/>
      <c r="E42" s="208"/>
      <c r="F42" s="158"/>
      <c r="G42" s="158"/>
      <c r="H42" s="395" t="str">
        <f>IF(Tabla27889112113631[[#This Row],[Subtype]]="","",VLOOKUP(Tabla27889112113631[[#This Row],[Subtype]],'Unit-X00 Equipment'!$E$13:$H$107,4,FALSE))</f>
        <v/>
      </c>
      <c r="I42" s="96"/>
      <c r="J42" s="96"/>
      <c r="K42" s="96"/>
      <c r="L42" s="96"/>
      <c r="M42" s="156"/>
      <c r="N42" s="96"/>
      <c r="O42" s="96"/>
      <c r="P42" s="158"/>
      <c r="Q42" s="153"/>
      <c r="R42" s="97"/>
      <c r="S42" s="193" t="str">
        <f>+IF(Tabla25879012013530[[#This Row],[Equipment]]="","",Q42*R42/10^6)</f>
        <v/>
      </c>
      <c r="T42" s="587" t="e">
        <f t="shared" ca="1" si="2"/>
        <v>#VALUE!</v>
      </c>
      <c r="U42" s="83"/>
      <c r="V42" s="311"/>
      <c r="W42" s="196"/>
      <c r="X42" s="196"/>
      <c r="Y42" s="196"/>
      <c r="Z42" s="395"/>
      <c r="AA42" s="395"/>
      <c r="AB42" s="316"/>
      <c r="AC42" s="316"/>
      <c r="AD42" s="309"/>
      <c r="AE42" s="311"/>
      <c r="AF42" s="385"/>
      <c r="AG42" s="655"/>
      <c r="AH42" s="655"/>
      <c r="AI42" s="662"/>
      <c r="AL42" s="395"/>
      <c r="AM42" s="395"/>
      <c r="AN42" s="655"/>
      <c r="AO42" s="104"/>
      <c r="AP42" s="83"/>
      <c r="AQ42" s="215"/>
      <c r="AR42" s="371"/>
    </row>
    <row r="43" spans="1:44" ht="16.25" customHeight="1" x14ac:dyDescent="0.2">
      <c r="A43" s="83"/>
      <c r="B43" s="103"/>
      <c r="C43" s="363"/>
      <c r="D43" s="208"/>
      <c r="E43" s="208"/>
      <c r="F43" s="158"/>
      <c r="G43" s="158"/>
      <c r="H43" s="395" t="str">
        <f>IF(Tabla27889112113631[[#This Row],[Subtype]]="","",VLOOKUP(Tabla27889112113631[[#This Row],[Subtype]],'Unit-X00 Equipment'!$E$13:$H$107,4,FALSE))</f>
        <v/>
      </c>
      <c r="I43" s="96"/>
      <c r="J43" s="96"/>
      <c r="K43" s="96"/>
      <c r="L43" s="96"/>
      <c r="M43" s="283"/>
      <c r="N43" s="275"/>
      <c r="O43" s="275"/>
      <c r="P43" s="275"/>
      <c r="Q43" s="284"/>
      <c r="R43" s="98"/>
      <c r="S43" s="193" t="str">
        <f>+IF(Tabla25879012013530[[#This Row],[Equipment]]="","",Q43*R43/10^6)</f>
        <v/>
      </c>
      <c r="T43" s="587" t="e">
        <f t="shared" ca="1" si="2"/>
        <v>#VALUE!</v>
      </c>
      <c r="U43" s="83"/>
      <c r="V43" s="311"/>
      <c r="W43" s="874" t="s">
        <v>301</v>
      </c>
      <c r="X43" s="876"/>
      <c r="Y43" s="724"/>
      <c r="Z43" s="395"/>
      <c r="AA43" s="395"/>
      <c r="AB43" s="316" t="s">
        <v>302</v>
      </c>
      <c r="AC43" s="316">
        <v>4964118.4508894496</v>
      </c>
      <c r="AD43" s="309" t="s">
        <v>300</v>
      </c>
      <c r="AE43" s="312" t="s">
        <v>265</v>
      </c>
      <c r="AF43" s="677">
        <f t="shared" ref="AF43" si="4">IF(AE43="Ph. Ch.",$AD$53,IF(AE43="Liquid",$AD$52,$AD$50*AE43^$AD$51))</f>
        <v>1500</v>
      </c>
      <c r="AG43" s="678">
        <v>30</v>
      </c>
      <c r="AH43" s="678">
        <f t="shared" ref="AH43" si="5">IF(AG43="Ph. Ch.",$AD$53,IF(AG43="Liquid",$AD$52,$AD$50*AG43^$AD$51))</f>
        <v>432.55851900520582</v>
      </c>
      <c r="AI43" s="679">
        <f t="shared" ref="AI43" si="6">1/(1/AF43+1/AH43)</f>
        <v>335.74030081210748</v>
      </c>
      <c r="AL43" s="395"/>
      <c r="AM43" s="395"/>
      <c r="AN43" s="655"/>
      <c r="AO43" s="104"/>
      <c r="AP43" s="83"/>
      <c r="AQ43" s="215"/>
      <c r="AR43" s="371"/>
    </row>
    <row r="44" spans="1:44" ht="16.25" customHeight="1" x14ac:dyDescent="0.2">
      <c r="A44" s="83"/>
      <c r="B44" s="103"/>
      <c r="C44" s="364"/>
      <c r="D44" s="918" t="s">
        <v>220</v>
      </c>
      <c r="E44" s="918"/>
      <c r="F44" s="918"/>
      <c r="G44" s="918"/>
      <c r="H44" s="918"/>
      <c r="I44" s="918"/>
      <c r="J44" s="918"/>
      <c r="K44" s="918"/>
      <c r="L44" s="918"/>
      <c r="M44" s="947"/>
      <c r="N44" s="947"/>
      <c r="O44" s="947"/>
      <c r="P44" s="947"/>
      <c r="Q44" s="947"/>
      <c r="R44" s="947"/>
      <c r="S44" s="180"/>
      <c r="T44" s="104"/>
      <c r="U44" s="83"/>
      <c r="V44" s="311"/>
      <c r="W44" s="309" t="s">
        <v>303</v>
      </c>
      <c r="X44" s="316" t="s">
        <v>304</v>
      </c>
      <c r="Y44" s="316" t="s">
        <v>305</v>
      </c>
      <c r="Z44" s="395"/>
      <c r="AA44" s="395"/>
      <c r="AB44" s="395"/>
      <c r="AC44" s="395"/>
      <c r="AD44" s="395"/>
      <c r="AE44" s="395"/>
      <c r="AF44" s="385"/>
      <c r="AG44" s="655"/>
      <c r="AH44" s="655"/>
      <c r="AI44" s="655"/>
      <c r="AL44" s="395"/>
      <c r="AM44" s="395"/>
      <c r="AN44" s="655"/>
      <c r="AO44" s="104"/>
      <c r="AP44" s="83"/>
      <c r="AQ44" s="215"/>
      <c r="AR44" s="371"/>
    </row>
    <row r="45" spans="1:44" ht="16.25" customHeight="1" x14ac:dyDescent="0.2">
      <c r="A45" s="83"/>
      <c r="B45" s="103"/>
      <c r="C45" s="421" t="s">
        <v>223</v>
      </c>
      <c r="D45" s="415" t="s">
        <v>224</v>
      </c>
      <c r="E45" s="415" t="s">
        <v>225</v>
      </c>
      <c r="F45" s="571" t="s">
        <v>226</v>
      </c>
      <c r="G45" s="571" t="s">
        <v>50</v>
      </c>
      <c r="H45" s="571" t="s">
        <v>227</v>
      </c>
      <c r="I45" s="415" t="s">
        <v>228</v>
      </c>
      <c r="J45" s="415" t="s">
        <v>75</v>
      </c>
      <c r="K45" s="415" t="s">
        <v>155</v>
      </c>
      <c r="L45" s="415" t="s">
        <v>157</v>
      </c>
      <c r="M45" s="422" t="s">
        <v>229</v>
      </c>
      <c r="N45" s="423" t="s">
        <v>230</v>
      </c>
      <c r="O45" s="419" t="s">
        <v>231</v>
      </c>
      <c r="P45" s="415" t="s">
        <v>151</v>
      </c>
      <c r="Q45" s="415" t="s">
        <v>148</v>
      </c>
      <c r="R45" s="420" t="s">
        <v>144</v>
      </c>
      <c r="S45" s="420" t="s">
        <v>232</v>
      </c>
      <c r="T45" s="104"/>
      <c r="U45" s="83"/>
      <c r="V45" s="311"/>
      <c r="W45" s="311" t="s">
        <v>306</v>
      </c>
      <c r="X45" s="712">
        <v>153.66999999999999</v>
      </c>
      <c r="Y45" s="712">
        <v>27.7</v>
      </c>
      <c r="Z45" s="395"/>
      <c r="AA45" s="395"/>
      <c r="AJ45" s="395"/>
      <c r="AK45" s="395"/>
      <c r="AL45" s="395"/>
      <c r="AM45" s="395"/>
      <c r="AN45" s="655"/>
      <c r="AO45" s="104"/>
      <c r="AP45" s="83"/>
      <c r="AQ45" s="215"/>
      <c r="AR45" s="371"/>
    </row>
    <row r="46" spans="1:44" ht="16.25" customHeight="1" x14ac:dyDescent="0.2">
      <c r="A46" s="83"/>
      <c r="B46" s="103"/>
      <c r="C46" s="273" t="s">
        <v>307</v>
      </c>
      <c r="D46" s="276" t="s">
        <v>308</v>
      </c>
      <c r="E46" s="277"/>
      <c r="F46" s="277" t="s">
        <v>236</v>
      </c>
      <c r="G46" s="277">
        <v>2020</v>
      </c>
      <c r="H46" s="277" t="s">
        <v>237</v>
      </c>
      <c r="I46" s="277" t="s">
        <v>238</v>
      </c>
      <c r="J46" s="244" t="s">
        <v>179</v>
      </c>
      <c r="K46" s="277">
        <v>1</v>
      </c>
      <c r="L46" s="277">
        <v>1</v>
      </c>
      <c r="M46" s="276">
        <v>1</v>
      </c>
      <c r="N46" s="277">
        <v>1</v>
      </c>
      <c r="O46" s="277">
        <f>+X37/10^6</f>
        <v>1.61E-2</v>
      </c>
      <c r="P46" s="277">
        <v>1</v>
      </c>
      <c r="Q46" s="198">
        <f>+F18*(1-X47)</f>
        <v>107.56899999999999</v>
      </c>
      <c r="R46" s="193">
        <f t="shared" ref="R46:R50" si="7">IF(ISBLANK(Q46),"",(P46/M46)^K46*O46*((Q46/P46)/(N46/M46))^L46)</f>
        <v>1.7318608999999998</v>
      </c>
      <c r="S46" s="193" cm="1">
        <f t="array" aca="1" ref="S46" ca="1">IF(ISBLANK(Q46),"",IF(R46&gt;0,R46*INDIRECT(ADDRESS(MATCH(G46,'Cost Conversion'!$B$3:$B$48,0)+2,4,1,1,"Cost conversion"))*INDIRECT(ADDRESS(MATCH(H46,'Cost Conversion'!$F$3:$F$22,0)+2,8,1,1,"Cost conversion"))/IF(F46="$",'Cost Conversion'!$L$2,1),0))</f>
        <v>1.7525946722365793</v>
      </c>
      <c r="T46" s="104"/>
      <c r="U46" s="83"/>
      <c r="V46" s="311"/>
      <c r="W46" s="311" t="s">
        <v>309</v>
      </c>
      <c r="X46" s="676">
        <v>0.3</v>
      </c>
      <c r="Y46" s="676">
        <v>0.3</v>
      </c>
      <c r="Z46" s="395"/>
      <c r="AA46" s="395"/>
      <c r="AJ46" s="395"/>
      <c r="AK46" s="395"/>
      <c r="AL46" s="395"/>
      <c r="AM46" s="395"/>
      <c r="AN46" s="655"/>
      <c r="AO46" s="104"/>
      <c r="AP46" s="83"/>
      <c r="AQ46" s="215"/>
      <c r="AR46" s="371"/>
    </row>
    <row r="47" spans="1:44" ht="16.25" customHeight="1" x14ac:dyDescent="0.2">
      <c r="A47" s="83"/>
      <c r="B47" s="103"/>
      <c r="C47" s="273" t="s">
        <v>310</v>
      </c>
      <c r="D47" s="273" t="str">
        <f>+D46</f>
        <v>Catalyst</v>
      </c>
      <c r="E47" s="96"/>
      <c r="F47" s="96" t="s">
        <v>236</v>
      </c>
      <c r="G47" s="96">
        <v>2020</v>
      </c>
      <c r="H47" s="96" t="s">
        <v>237</v>
      </c>
      <c r="I47" s="118" t="str">
        <f>+I46</f>
        <v>Volume</v>
      </c>
      <c r="J47" s="118" t="str">
        <f>+J46</f>
        <v>m3</v>
      </c>
      <c r="K47" s="96">
        <v>1</v>
      </c>
      <c r="L47" s="96">
        <v>1</v>
      </c>
      <c r="M47" s="273">
        <v>1</v>
      </c>
      <c r="N47" s="96">
        <v>1</v>
      </c>
      <c r="O47" s="96">
        <f>+O46</f>
        <v>1.61E-2</v>
      </c>
      <c r="P47" s="96">
        <v>1</v>
      </c>
      <c r="Q47" s="152">
        <f>+Y45*(1-Y47)</f>
        <v>13.85</v>
      </c>
      <c r="R47" s="193">
        <f t="shared" si="7"/>
        <v>0.22298499999999999</v>
      </c>
      <c r="S47" s="193" cm="1">
        <f t="array" aca="1" ref="S47" ca="1">IF(ISBLANK(Q47),"",IF(R47&gt;0,R47*INDIRECT(ADDRESS(MATCH(G47,'Cost Conversion'!$B$3:$B$48,0)+2,4,1,1,"Cost conversion"))*INDIRECT(ADDRESS(MATCH(H47,'Cost Conversion'!$F$3:$F$22,0)+2,8,1,1,"Cost conversion"))/IF(F47="$",'Cost Conversion'!$L$2,1),0))</f>
        <v>0.22565456786320062</v>
      </c>
      <c r="T47" s="104"/>
      <c r="U47" s="83"/>
      <c r="V47" s="311"/>
      <c r="W47" s="311" t="s">
        <v>311</v>
      </c>
      <c r="X47" s="150">
        <v>0.3</v>
      </c>
      <c r="Y47" s="150">
        <v>0.5</v>
      </c>
      <c r="Z47" s="395"/>
      <c r="AA47" s="395"/>
      <c r="AE47" s="395"/>
      <c r="AF47" s="395"/>
      <c r="AG47" s="395"/>
      <c r="AH47" s="395"/>
      <c r="AI47" s="395"/>
      <c r="AJ47" s="395"/>
      <c r="AK47" s="395"/>
      <c r="AL47" s="395"/>
      <c r="AM47" s="395"/>
      <c r="AN47" s="395"/>
      <c r="AO47" s="104"/>
      <c r="AP47" s="83"/>
      <c r="AQ47" s="215"/>
      <c r="AR47" s="371"/>
    </row>
    <row r="48" spans="1:44" ht="16.25" customHeight="1" x14ac:dyDescent="0.2">
      <c r="A48" s="83"/>
      <c r="B48" s="103"/>
      <c r="C48" s="273" t="s">
        <v>312</v>
      </c>
      <c r="D48" s="273" t="s">
        <v>235</v>
      </c>
      <c r="E48" s="96"/>
      <c r="F48" s="96" t="s">
        <v>236</v>
      </c>
      <c r="G48" s="96">
        <v>2020</v>
      </c>
      <c r="H48" s="96" t="s">
        <v>237</v>
      </c>
      <c r="I48" s="96" t="s">
        <v>238</v>
      </c>
      <c r="J48" s="96" t="s">
        <v>179</v>
      </c>
      <c r="K48" s="96">
        <v>1</v>
      </c>
      <c r="L48" s="96">
        <v>1</v>
      </c>
      <c r="M48" s="273">
        <v>1</v>
      </c>
      <c r="N48" s="96">
        <v>1</v>
      </c>
      <c r="O48" s="96">
        <f>+X38/10^6</f>
        <v>2E-3</v>
      </c>
      <c r="P48" s="96">
        <v>1</v>
      </c>
      <c r="Q48" s="152">
        <f>+(X49+2*X51)^2*PI()/4*(X49*X48+2*X51)-F18</f>
        <v>58.949388172306868</v>
      </c>
      <c r="R48" s="193">
        <f t="shared" si="7"/>
        <v>0.11789877634461374</v>
      </c>
      <c r="S48" s="193" cm="1">
        <f t="array" aca="1" ref="S48" ca="1">IF(ISBLANK(Q48),"",IF(R48&gt;0,R48*INDIRECT(ADDRESS(MATCH(G48,'Cost Conversion'!$B$3:$B$48,0)+2,4,1,1,"Cost conversion"))*INDIRECT(ADDRESS(MATCH(H48,'Cost Conversion'!$F$3:$F$22,0)+2,8,1,1,"Cost conversion"))/IF(F48="$",'Cost Conversion'!$L$2,1),0))</f>
        <v>0.11931025597077809</v>
      </c>
      <c r="T48" s="104"/>
      <c r="U48" s="83"/>
      <c r="V48" s="103"/>
      <c r="W48" s="311" t="s">
        <v>313</v>
      </c>
      <c r="X48" s="712">
        <v>6.4</v>
      </c>
      <c r="Y48" s="712">
        <v>1.772</v>
      </c>
      <c r="Z48" s="210"/>
      <c r="AA48" s="210"/>
      <c r="AE48" s="210"/>
      <c r="AF48" s="657"/>
      <c r="AG48" s="230" t="s">
        <v>252</v>
      </c>
      <c r="AH48" s="230" t="s">
        <v>2</v>
      </c>
      <c r="AI48" s="963" t="s">
        <v>82</v>
      </c>
      <c r="AJ48" s="964"/>
      <c r="AK48" s="964"/>
      <c r="AL48" s="964"/>
      <c r="AM48" s="964"/>
      <c r="AN48" s="965"/>
      <c r="AO48" s="104"/>
      <c r="AP48" s="83"/>
      <c r="AQ48" s="215"/>
      <c r="AR48" s="371"/>
    </row>
    <row r="49" spans="1:57" ht="16.25" customHeight="1" x14ac:dyDescent="0.2">
      <c r="A49" s="83"/>
      <c r="B49" s="103"/>
      <c r="C49" s="273" t="s">
        <v>314</v>
      </c>
      <c r="D49" s="273" t="str">
        <f>+D48</f>
        <v>Insulation</v>
      </c>
      <c r="E49" s="96"/>
      <c r="F49" s="96" t="s">
        <v>236</v>
      </c>
      <c r="G49" s="96">
        <v>2020</v>
      </c>
      <c r="H49" s="96" t="s">
        <v>237</v>
      </c>
      <c r="I49" s="96" t="str">
        <f>+I48</f>
        <v>Volume</v>
      </c>
      <c r="J49" s="96" t="str">
        <f>+J48</f>
        <v>m3</v>
      </c>
      <c r="K49" s="96">
        <v>1</v>
      </c>
      <c r="L49" s="96">
        <v>1</v>
      </c>
      <c r="M49" s="273">
        <v>1</v>
      </c>
      <c r="N49" s="96">
        <v>1</v>
      </c>
      <c r="O49" s="96">
        <f>+O48</f>
        <v>2E-3</v>
      </c>
      <c r="P49" s="96">
        <v>1</v>
      </c>
      <c r="Q49" s="152">
        <f>+(Y49+2*Y51)^2*PI()/4*(Y49*Y48+2*Y51)-F24</f>
        <v>11.520468201565112</v>
      </c>
      <c r="R49" s="193">
        <f t="shared" si="7"/>
        <v>2.3040936403130225E-2</v>
      </c>
      <c r="S49" s="193" cm="1">
        <f t="array" aca="1" ref="S49" ca="1">IF(ISBLANK(Q49),"",IF(R49&gt;0,R49*INDIRECT(ADDRESS(MATCH(G49,'Cost Conversion'!$B$3:$B$48,0)+2,4,1,1,"Cost conversion"))*INDIRECT(ADDRESS(MATCH(H49,'Cost Conversion'!$F$3:$F$22,0)+2,8,1,1,"Cost conversion"))/IF(F49="$",'Cost Conversion'!$L$2,1),0))</f>
        <v>2.33167816095784E-2</v>
      </c>
      <c r="T49" s="104"/>
      <c r="U49" s="83"/>
      <c r="V49" s="103"/>
      <c r="W49" s="311" t="s">
        <v>315</v>
      </c>
      <c r="X49" s="240">
        <f>+(X45*(1+X46)*4/(PI()*X48))^(1/3)</f>
        <v>3.4126168390686411</v>
      </c>
      <c r="Y49" s="240">
        <f>+(Y45*(1+Y46)*4/(PI()*Y48))^(1/3)</f>
        <v>2.9577162505825636</v>
      </c>
      <c r="Z49" s="210"/>
      <c r="AA49" s="210"/>
      <c r="AB49" s="966" t="s">
        <v>250</v>
      </c>
      <c r="AC49" s="967"/>
      <c r="AD49" s="316" t="s">
        <v>251</v>
      </c>
      <c r="AE49" s="210"/>
      <c r="AF49" s="657"/>
      <c r="AG49" s="658"/>
      <c r="AH49" s="659"/>
      <c r="AI49" s="948"/>
      <c r="AJ49" s="949"/>
      <c r="AK49" s="949"/>
      <c r="AL49" s="949"/>
      <c r="AM49" s="949"/>
      <c r="AN49" s="950"/>
      <c r="AO49" s="104"/>
      <c r="AP49" s="83"/>
      <c r="AQ49" s="215"/>
      <c r="AR49" s="371"/>
    </row>
    <row r="50" spans="1:57" ht="16.25" customHeight="1" x14ac:dyDescent="0.2">
      <c r="A50" s="83"/>
      <c r="B50" s="103"/>
      <c r="C50" s="192"/>
      <c r="D50" s="273"/>
      <c r="E50" s="96"/>
      <c r="F50" s="96"/>
      <c r="G50" s="96"/>
      <c r="H50" s="96"/>
      <c r="I50" s="96"/>
      <c r="J50" s="96"/>
      <c r="K50" s="96"/>
      <c r="L50" s="96"/>
      <c r="M50" s="274"/>
      <c r="N50" s="275"/>
      <c r="O50" s="275"/>
      <c r="P50" s="275"/>
      <c r="Q50" s="275"/>
      <c r="R50" s="193" t="str">
        <f t="shared" si="7"/>
        <v/>
      </c>
      <c r="S50" s="193" t="str" cm="1">
        <f t="array" aca="1" ref="S50" ca="1">IF(ISBLANK(Q50),"",IF(R50&gt;0,R50*INDIRECT(ADDRESS(MATCH(G50,'Cost Conversion'!$B$3:$B$48,0)+2,4,1,1,"Cost conversion"))*INDIRECT(ADDRESS(MATCH(H50,'Cost Conversion'!$F$3:$F$22,0)+2,8,1,1,"Cost conversion"))/IF(F50="$",'Cost Conversion'!$L$2,1),0))</f>
        <v/>
      </c>
      <c r="T50" s="104"/>
      <c r="U50" s="83"/>
      <c r="V50" s="103"/>
      <c r="W50" s="311" t="s">
        <v>316</v>
      </c>
      <c r="X50" s="150">
        <v>1.2</v>
      </c>
      <c r="Y50" s="150">
        <v>1.5</v>
      </c>
      <c r="Z50" s="210"/>
      <c r="AA50" s="210"/>
      <c r="AB50" s="968" t="s">
        <v>255</v>
      </c>
      <c r="AC50" s="969"/>
      <c r="AD50" s="661">
        <v>40</v>
      </c>
      <c r="AE50" s="210"/>
      <c r="AF50" s="657"/>
      <c r="AG50" s="488"/>
      <c r="AH50" s="663"/>
      <c r="AI50" s="951"/>
      <c r="AJ50" s="952"/>
      <c r="AK50" s="952"/>
      <c r="AL50" s="952"/>
      <c r="AM50" s="952"/>
      <c r="AN50" s="953"/>
      <c r="AO50" s="104"/>
      <c r="AP50" s="83"/>
      <c r="AQ50" s="215"/>
      <c r="AR50" s="371"/>
    </row>
    <row r="51" spans="1:57" ht="16.25" customHeight="1" x14ac:dyDescent="0.2">
      <c r="A51" s="83"/>
      <c r="B51" s="103"/>
      <c r="C51" s="200"/>
      <c r="D51" s="274"/>
      <c r="E51" s="275"/>
      <c r="F51" s="275"/>
      <c r="G51" s="275"/>
      <c r="H51" s="275"/>
      <c r="I51" s="275"/>
      <c r="J51" s="275"/>
      <c r="K51" s="275"/>
      <c r="L51" s="98"/>
      <c r="M51" s="425" t="s">
        <v>272</v>
      </c>
      <c r="N51" s="418" t="s">
        <v>226</v>
      </c>
      <c r="O51" s="570" t="s">
        <v>50</v>
      </c>
      <c r="P51" s="943" t="s">
        <v>47</v>
      </c>
      <c r="Q51" s="944"/>
      <c r="R51" s="420" t="s">
        <v>273</v>
      </c>
      <c r="S51" s="426" t="s">
        <v>274</v>
      </c>
      <c r="T51" s="104"/>
      <c r="U51" s="83"/>
      <c r="V51" s="103"/>
      <c r="W51" s="311" t="s">
        <v>317</v>
      </c>
      <c r="X51" s="150">
        <v>0.05</v>
      </c>
      <c r="Y51" s="150">
        <v>0.05</v>
      </c>
      <c r="Z51" s="210"/>
      <c r="AA51" s="210"/>
      <c r="AB51" s="892" t="s">
        <v>261</v>
      </c>
      <c r="AC51" s="894"/>
      <c r="AD51" s="661">
        <v>0.7</v>
      </c>
      <c r="AE51" s="210"/>
      <c r="AF51" s="657"/>
      <c r="AG51" s="488"/>
      <c r="AH51" s="663"/>
      <c r="AI51" s="951"/>
      <c r="AJ51" s="952"/>
      <c r="AK51" s="952"/>
      <c r="AL51" s="952"/>
      <c r="AM51" s="952"/>
      <c r="AN51" s="953"/>
      <c r="AO51" s="104"/>
      <c r="AP51" s="83"/>
      <c r="AQ51" s="215"/>
      <c r="AR51" s="371"/>
    </row>
    <row r="52" spans="1:57" ht="16.25" customHeight="1" x14ac:dyDescent="0.2">
      <c r="A52" s="83"/>
      <c r="B52" s="103"/>
      <c r="C52" s="577"/>
      <c r="D52" s="365"/>
      <c r="E52" s="365"/>
      <c r="F52" s="365"/>
      <c r="G52" s="365"/>
      <c r="H52" s="365"/>
      <c r="I52" s="365"/>
      <c r="J52" s="365"/>
      <c r="K52" s="365"/>
      <c r="L52" s="573"/>
      <c r="M52" s="502" t="s">
        <v>276</v>
      </c>
      <c r="N52" s="409" t="s">
        <v>236</v>
      </c>
      <c r="O52" s="475">
        <v>2001</v>
      </c>
      <c r="P52" s="871" t="s">
        <v>237</v>
      </c>
      <c r="Q52" s="873"/>
      <c r="R52" s="427">
        <f>+IF(SUM(S13:S43)&gt;0,IF(G3="Equipment",SUM(S13:S43),"NaN"),"")</f>
        <v>14.625654862043937</v>
      </c>
      <c r="S52" s="428" cm="1">
        <f t="array" aca="1" ref="S52" ca="1">+IF(R52="","",R52*INDIRECT(ADDRESS(MATCH(O52,'Cost Conversion'!$B$3:$B$48,0)+2,4,1,1,"Cost conversion"))*INDIRECT(ADDRESS(MATCH(P52,'Cost Conversion'!$F$3:$F$22,0)+2,8,1,1,"Cost conversion"))/IF(N52="$",'Cost Conversion'!$L$2,1))</f>
        <v>23.606881399454522</v>
      </c>
      <c r="T52" s="104"/>
      <c r="U52" s="83"/>
      <c r="V52" s="103"/>
      <c r="W52" s="312" t="s">
        <v>318</v>
      </c>
      <c r="X52" s="173">
        <v>1.5</v>
      </c>
      <c r="Y52" s="173">
        <v>1.5</v>
      </c>
      <c r="Z52" s="210"/>
      <c r="AA52" s="210"/>
      <c r="AB52" s="892" t="s">
        <v>265</v>
      </c>
      <c r="AC52" s="894"/>
      <c r="AD52" s="661">
        <v>1500</v>
      </c>
      <c r="AE52" s="210"/>
      <c r="AF52" s="657"/>
      <c r="AG52" s="488"/>
      <c r="AH52" s="663"/>
      <c r="AI52" s="951"/>
      <c r="AJ52" s="952"/>
      <c r="AK52" s="952"/>
      <c r="AL52" s="952"/>
      <c r="AM52" s="952"/>
      <c r="AN52" s="953"/>
      <c r="AO52" s="104"/>
      <c r="AP52" s="83"/>
      <c r="AQ52" s="215"/>
      <c r="AR52" s="371"/>
    </row>
    <row r="53" spans="1:57" ht="16.25" customHeight="1" x14ac:dyDescent="0.2">
      <c r="A53" s="83"/>
      <c r="B53" s="103"/>
      <c r="C53" s="574"/>
      <c r="D53" s="575"/>
      <c r="E53" s="575"/>
      <c r="F53" s="575"/>
      <c r="G53" s="575"/>
      <c r="H53" s="575"/>
      <c r="I53" s="575"/>
      <c r="J53" s="575"/>
      <c r="K53" s="575"/>
      <c r="L53" s="576"/>
      <c r="M53" s="409" t="s">
        <v>278</v>
      </c>
      <c r="N53" s="127"/>
      <c r="O53" s="133"/>
      <c r="P53" s="871"/>
      <c r="Q53" s="873"/>
      <c r="R53" s="427" t="s">
        <v>187</v>
      </c>
      <c r="S53" s="428">
        <f ca="1">+IF(SUM(S46:S50)&gt;0,SUM(S46:S50),"")</f>
        <v>2.1208762776801362</v>
      </c>
      <c r="T53" s="104"/>
      <c r="U53" s="83"/>
      <c r="V53" s="103"/>
      <c r="W53" s="210"/>
      <c r="X53" s="210"/>
      <c r="Y53" s="210"/>
      <c r="Z53" s="210"/>
      <c r="AA53" s="210"/>
      <c r="AB53" s="945" t="s">
        <v>269</v>
      </c>
      <c r="AC53" s="946"/>
      <c r="AD53" s="533">
        <v>5000</v>
      </c>
      <c r="AE53" s="210"/>
      <c r="AF53" s="657"/>
      <c r="AG53" s="490"/>
      <c r="AH53" s="666"/>
      <c r="AI53" s="954"/>
      <c r="AJ53" s="955"/>
      <c r="AK53" s="955"/>
      <c r="AL53" s="955"/>
      <c r="AM53" s="955"/>
      <c r="AN53" s="956"/>
      <c r="AO53" s="104"/>
      <c r="AP53" s="83"/>
      <c r="AQ53" s="215"/>
      <c r="AR53" s="371"/>
    </row>
    <row r="54" spans="1:57" ht="16.25" customHeight="1" x14ac:dyDescent="0.2">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15"/>
      <c r="AR54" s="371"/>
    </row>
    <row r="55" spans="1:57" ht="16.25" customHeight="1" x14ac:dyDescent="0.2">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15"/>
      <c r="AR55" s="371"/>
    </row>
    <row r="56" spans="1:57" ht="16.25" customHeight="1" x14ac:dyDescent="0.2">
      <c r="A56" s="83"/>
      <c r="B56" s="917" t="str">
        <f>+"BEC Distribution: "&amp;E6</f>
        <v>BEC Distribution: WGS</v>
      </c>
      <c r="C56" s="918"/>
      <c r="D56" s="918"/>
      <c r="E56" s="918"/>
      <c r="F56" s="918"/>
      <c r="G56" s="919"/>
      <c r="H56" s="917" t="str">
        <f>+"Estimate Benchmark : "&amp;E6</f>
        <v>Estimate Benchmark : WGS</v>
      </c>
      <c r="I56" s="918"/>
      <c r="J56" s="918"/>
      <c r="K56" s="918"/>
      <c r="L56" s="918"/>
      <c r="M56" s="918"/>
      <c r="N56" s="919"/>
      <c r="O56" s="83"/>
      <c r="P56" s="83"/>
      <c r="Q56" s="83"/>
      <c r="R56" s="83"/>
      <c r="S56" s="83"/>
      <c r="T56" s="83"/>
      <c r="U56" s="83"/>
      <c r="V56" s="83"/>
      <c r="W56" s="83"/>
      <c r="X56" s="83"/>
      <c r="Y56" s="83"/>
      <c r="Z56" s="83"/>
      <c r="AA56" s="83"/>
      <c r="AB56" s="877" t="s">
        <v>319</v>
      </c>
      <c r="AC56" s="878"/>
      <c r="AD56" s="878"/>
      <c r="AE56" s="878"/>
      <c r="AF56" s="878"/>
      <c r="AG56" s="878"/>
      <c r="AH56" s="878"/>
      <c r="AI56" s="878"/>
      <c r="AJ56" s="878"/>
      <c r="AK56" s="879"/>
      <c r="AL56" s="83"/>
      <c r="AM56" s="83"/>
      <c r="AN56" s="83"/>
      <c r="AO56" s="83"/>
      <c r="AP56" s="83"/>
      <c r="AQ56" s="215"/>
      <c r="AR56" s="371"/>
    </row>
    <row r="57" spans="1:57" ht="16.25" customHeight="1" x14ac:dyDescent="0.2">
      <c r="A57" s="83"/>
      <c r="B57" s="100"/>
      <c r="C57" s="101"/>
      <c r="D57" s="101"/>
      <c r="E57" s="101"/>
      <c r="F57" s="101"/>
      <c r="G57" s="102"/>
      <c r="H57" s="100"/>
      <c r="I57" s="101"/>
      <c r="J57" s="101"/>
      <c r="K57" s="101"/>
      <c r="L57" s="101"/>
      <c r="M57" s="101"/>
      <c r="N57" s="102"/>
      <c r="O57" s="161"/>
      <c r="P57" s="376"/>
      <c r="Q57" s="376"/>
      <c r="R57" s="215"/>
      <c r="S57" s="372"/>
      <c r="T57" s="215"/>
      <c r="U57" s="215"/>
      <c r="V57" s="215"/>
      <c r="W57" s="215"/>
      <c r="X57" s="215"/>
      <c r="Y57" s="215"/>
      <c r="Z57" s="215"/>
      <c r="AA57" s="215"/>
      <c r="AB57" s="316" t="s">
        <v>303</v>
      </c>
      <c r="AC57" s="316" t="s">
        <v>320</v>
      </c>
      <c r="AD57" s="316" t="s">
        <v>321</v>
      </c>
      <c r="AE57" s="316" t="s">
        <v>322</v>
      </c>
      <c r="AF57" s="316" t="s">
        <v>323</v>
      </c>
      <c r="AG57" s="316" t="s">
        <v>324</v>
      </c>
      <c r="AH57" s="316" t="s">
        <v>325</v>
      </c>
      <c r="AI57" s="249" t="s">
        <v>326</v>
      </c>
      <c r="AJ57" s="651" t="s">
        <v>327</v>
      </c>
      <c r="AK57" s="671" t="s">
        <v>328</v>
      </c>
      <c r="AL57" s="215"/>
      <c r="AM57" s="215"/>
      <c r="AN57" s="215"/>
      <c r="AO57" s="215"/>
      <c r="AP57" s="215"/>
      <c r="AQ57" s="215"/>
      <c r="AR57" s="371"/>
      <c r="AS57" s="372"/>
      <c r="AT57" s="372"/>
      <c r="AU57" s="372"/>
      <c r="AV57" s="372"/>
      <c r="AW57" s="372"/>
      <c r="AX57" s="372"/>
      <c r="AY57" s="372"/>
      <c r="AZ57" s="372"/>
      <c r="BA57" s="372"/>
      <c r="BB57" s="372"/>
      <c r="BC57" s="372"/>
      <c r="BD57" s="372"/>
      <c r="BE57" s="372"/>
    </row>
    <row r="58" spans="1:57" ht="16.25" customHeight="1" x14ac:dyDescent="0.2">
      <c r="A58" s="83"/>
      <c r="B58" s="103"/>
      <c r="C58" s="83"/>
      <c r="D58" s="83"/>
      <c r="E58" s="83"/>
      <c r="F58" s="83"/>
      <c r="G58" s="104"/>
      <c r="H58" s="103"/>
      <c r="I58" s="83"/>
      <c r="J58" s="83"/>
      <c r="K58" s="83"/>
      <c r="L58" s="83"/>
      <c r="M58" s="83"/>
      <c r="N58" s="104"/>
      <c r="O58" s="164"/>
      <c r="P58" s="376"/>
      <c r="Q58" s="376"/>
      <c r="R58" s="215"/>
      <c r="S58" s="372"/>
      <c r="T58" s="215"/>
      <c r="U58" s="215"/>
      <c r="V58" s="215"/>
      <c r="W58" s="215"/>
      <c r="X58" s="215"/>
      <c r="Y58" s="215"/>
      <c r="Z58" s="215"/>
      <c r="AA58" s="215"/>
      <c r="AB58" s="316" t="s">
        <v>329</v>
      </c>
      <c r="AC58" s="648">
        <f>12560.8576151146/3600</f>
        <v>3.4891271153096115</v>
      </c>
      <c r="AD58" s="648">
        <f>121.46430731227/3600</f>
        <v>3.3740085364519445E-2</v>
      </c>
      <c r="AE58" s="648">
        <v>1009.412646416</v>
      </c>
      <c r="AF58" s="648">
        <v>14.1152225940855</v>
      </c>
      <c r="AG58" s="249">
        <f>+(AH58*4/PI())^0.5</f>
        <v>3.8742191236484231</v>
      </c>
      <c r="AH58" s="648">
        <f>+AC58/(0.035*(AE58/AF58)^0.5)</f>
        <v>11.78849171006952</v>
      </c>
      <c r="AI58" s="648">
        <f>+AH58*(4*AH58/PI())^0.5</f>
        <v>45.671200022122235</v>
      </c>
      <c r="AJ58" s="648">
        <f>600*AD58</f>
        <v>20.244051218711668</v>
      </c>
      <c r="AK58" s="671">
        <v>31</v>
      </c>
      <c r="AL58" s="215"/>
      <c r="AM58" s="215"/>
      <c r="AN58" s="215"/>
      <c r="AO58" s="215"/>
      <c r="AP58" s="215"/>
      <c r="AQ58" s="215"/>
      <c r="AR58" s="371"/>
      <c r="AS58" s="372"/>
      <c r="AT58" s="372"/>
      <c r="AU58" s="372"/>
      <c r="AV58" s="372"/>
      <c r="AW58" s="372"/>
      <c r="AX58" s="372"/>
      <c r="AY58" s="372"/>
      <c r="AZ58" s="372"/>
      <c r="BA58" s="372"/>
      <c r="BB58" s="372"/>
      <c r="BC58" s="372"/>
      <c r="BD58" s="372"/>
      <c r="BE58" s="372"/>
    </row>
    <row r="59" spans="1:57" ht="16.25" customHeight="1" x14ac:dyDescent="0.2">
      <c r="A59" s="83"/>
      <c r="B59" s="103"/>
      <c r="C59" s="83"/>
      <c r="D59" s="83"/>
      <c r="E59" s="83"/>
      <c r="F59" s="83"/>
      <c r="G59" s="104"/>
      <c r="H59" s="103"/>
      <c r="I59" s="83"/>
      <c r="J59" s="83"/>
      <c r="K59" s="83"/>
      <c r="L59" s="83"/>
      <c r="M59" s="83"/>
      <c r="N59" s="104"/>
      <c r="O59" s="160"/>
      <c r="P59" s="215"/>
      <c r="Q59" s="215"/>
      <c r="R59" s="215"/>
      <c r="S59" s="215"/>
      <c r="T59" s="215"/>
      <c r="U59" s="215"/>
      <c r="V59" s="215"/>
      <c r="W59" s="215"/>
      <c r="X59" s="215"/>
      <c r="Y59" s="215"/>
      <c r="Z59" s="215"/>
      <c r="AA59" s="215"/>
      <c r="AB59" s="215"/>
      <c r="AC59" s="215"/>
      <c r="AD59" s="215"/>
      <c r="AE59" s="215"/>
      <c r="AF59" s="215"/>
      <c r="AG59" s="215"/>
      <c r="AH59" s="215"/>
      <c r="AI59" s="215"/>
      <c r="AJ59" s="215"/>
      <c r="AK59" s="215"/>
      <c r="AL59" s="215"/>
      <c r="AM59" s="215"/>
      <c r="AN59" s="215"/>
      <c r="AO59" s="215"/>
      <c r="AP59" s="215"/>
      <c r="AQ59" s="215"/>
      <c r="AR59" s="371"/>
      <c r="AS59" s="372"/>
      <c r="AT59" s="372"/>
      <c r="AU59" s="372"/>
      <c r="AV59" s="372"/>
      <c r="AW59" s="372"/>
      <c r="AX59" s="372"/>
      <c r="AY59" s="372"/>
      <c r="AZ59" s="372"/>
      <c r="BA59" s="372"/>
      <c r="BB59" s="372"/>
      <c r="BC59" s="372"/>
      <c r="BD59" s="372"/>
      <c r="BE59" s="372"/>
    </row>
    <row r="60" spans="1:57" ht="16.25" customHeight="1" x14ac:dyDescent="0.2">
      <c r="A60" s="83"/>
      <c r="B60" s="103"/>
      <c r="C60" s="83"/>
      <c r="D60" s="83"/>
      <c r="E60" s="83"/>
      <c r="F60" s="83"/>
      <c r="G60" s="104"/>
      <c r="H60" s="103"/>
      <c r="I60" s="83"/>
      <c r="J60" s="83"/>
      <c r="K60" s="83"/>
      <c r="L60" s="83"/>
      <c r="M60" s="83"/>
      <c r="N60" s="104"/>
      <c r="O60" s="83"/>
      <c r="P60" s="215"/>
      <c r="Q60" s="215"/>
      <c r="R60" s="215"/>
      <c r="S60" s="215"/>
      <c r="T60" s="215"/>
      <c r="U60" s="215"/>
      <c r="V60" s="372"/>
      <c r="W60" s="215"/>
      <c r="X60" s="215"/>
      <c r="Y60" s="215"/>
      <c r="Z60" s="215"/>
      <c r="AA60" s="215"/>
      <c r="AB60" s="991"/>
      <c r="AC60" s="991"/>
      <c r="AD60" s="991"/>
      <c r="AE60" s="991"/>
      <c r="AF60" s="991"/>
      <c r="AG60" s="991"/>
      <c r="AH60" s="991"/>
      <c r="AI60" s="991"/>
      <c r="AJ60" s="991"/>
      <c r="AK60" s="991"/>
      <c r="AL60" s="215"/>
      <c r="AM60" s="215"/>
      <c r="AN60" s="215"/>
      <c r="AO60" s="215"/>
      <c r="AP60" s="215"/>
      <c r="AQ60" s="215"/>
      <c r="AR60" s="371"/>
      <c r="AS60" s="372"/>
      <c r="AT60" s="372"/>
      <c r="AU60" s="372"/>
      <c r="AV60" s="372"/>
      <c r="AW60" s="372"/>
      <c r="AX60" s="372"/>
      <c r="AY60" s="372"/>
      <c r="AZ60" s="372"/>
      <c r="BA60" s="372"/>
      <c r="BB60" s="372"/>
      <c r="BC60" s="372"/>
      <c r="BD60" s="372"/>
      <c r="BE60" s="372"/>
    </row>
    <row r="61" spans="1:57" ht="16.25" customHeight="1" x14ac:dyDescent="0.2">
      <c r="A61" s="83"/>
      <c r="B61" s="103"/>
      <c r="C61" s="83"/>
      <c r="D61" s="83"/>
      <c r="E61" s="83"/>
      <c r="F61" s="83"/>
      <c r="G61" s="104"/>
      <c r="H61" s="103"/>
      <c r="I61" s="83"/>
      <c r="J61" s="83"/>
      <c r="K61" s="83"/>
      <c r="L61" s="83"/>
      <c r="M61" s="83"/>
      <c r="N61" s="104"/>
      <c r="O61" s="83"/>
      <c r="P61" s="215"/>
      <c r="Q61" s="215"/>
      <c r="R61" s="215"/>
      <c r="S61" s="215"/>
      <c r="T61" s="215"/>
      <c r="U61" s="215"/>
      <c r="V61" s="215"/>
      <c r="W61" s="215"/>
      <c r="X61" s="215"/>
      <c r="Y61" s="215"/>
      <c r="Z61" s="215"/>
      <c r="AA61" s="215"/>
      <c r="AB61" s="395"/>
      <c r="AC61" s="395"/>
      <c r="AD61" s="395"/>
      <c r="AE61" s="395"/>
      <c r="AF61" s="395"/>
      <c r="AG61" s="395"/>
      <c r="AH61" s="395"/>
      <c r="AI61" s="152"/>
      <c r="AJ61" s="385"/>
      <c r="AK61" s="189"/>
      <c r="AL61" s="215"/>
      <c r="AM61" s="215"/>
      <c r="AN61" s="215"/>
      <c r="AO61" s="215"/>
      <c r="AP61" s="215"/>
      <c r="AQ61" s="215"/>
      <c r="AR61" s="371"/>
      <c r="AS61" s="372"/>
      <c r="AT61" s="372"/>
      <c r="AU61" s="372"/>
      <c r="AV61" s="372"/>
      <c r="AW61" s="372"/>
      <c r="AX61" s="372"/>
      <c r="AY61" s="372"/>
      <c r="AZ61" s="372"/>
      <c r="BA61" s="372"/>
      <c r="BB61" s="372"/>
      <c r="BC61" s="372"/>
      <c r="BD61" s="372"/>
      <c r="BE61" s="372"/>
    </row>
    <row r="62" spans="1:57" ht="16.25" customHeight="1" x14ac:dyDescent="0.2">
      <c r="A62" s="83"/>
      <c r="B62" s="103"/>
      <c r="C62" s="83"/>
      <c r="D62" s="83"/>
      <c r="E62" s="83"/>
      <c r="F62" s="83"/>
      <c r="G62" s="104"/>
      <c r="H62" s="103"/>
      <c r="I62" s="83"/>
      <c r="J62" s="83"/>
      <c r="K62" s="83"/>
      <c r="L62" s="83"/>
      <c r="M62" s="83"/>
      <c r="N62" s="104"/>
      <c r="O62" s="83"/>
      <c r="P62" s="215"/>
      <c r="Q62" s="215"/>
      <c r="R62" s="215"/>
      <c r="S62" s="215"/>
      <c r="T62" s="376"/>
      <c r="U62" s="215"/>
      <c r="V62" s="215"/>
      <c r="W62" s="215"/>
      <c r="X62" s="215"/>
      <c r="Y62" s="215"/>
      <c r="Z62" s="215"/>
      <c r="AA62" s="215"/>
      <c r="AB62" s="395"/>
      <c r="AC62" s="216"/>
      <c r="AD62" s="216"/>
      <c r="AE62" s="216"/>
      <c r="AF62" s="216"/>
      <c r="AG62" s="152"/>
      <c r="AH62" s="216"/>
      <c r="AI62" s="216"/>
      <c r="AJ62" s="216"/>
      <c r="AK62" s="189"/>
      <c r="AL62" s="215"/>
      <c r="AM62" s="215"/>
      <c r="AN62" s="215"/>
      <c r="AO62" s="215"/>
      <c r="AP62" s="215"/>
      <c r="AQ62" s="215"/>
      <c r="AR62" s="371"/>
      <c r="AS62" s="372"/>
      <c r="AT62" s="372"/>
      <c r="AU62" s="372"/>
      <c r="AV62" s="372"/>
      <c r="AW62" s="372"/>
      <c r="AX62" s="372"/>
      <c r="AY62" s="372"/>
      <c r="AZ62" s="372"/>
      <c r="BA62" s="372"/>
      <c r="BB62" s="372"/>
      <c r="BC62" s="372"/>
      <c r="BD62" s="372"/>
      <c r="BE62" s="372"/>
    </row>
    <row r="63" spans="1:57" ht="16.25" customHeight="1" x14ac:dyDescent="0.2">
      <c r="A63" s="83"/>
      <c r="B63" s="103"/>
      <c r="C63" s="83"/>
      <c r="D63" s="83"/>
      <c r="E63" s="83"/>
      <c r="F63" s="83"/>
      <c r="G63" s="104"/>
      <c r="H63" s="103"/>
      <c r="I63" s="83"/>
      <c r="J63" s="83"/>
      <c r="K63" s="83"/>
      <c r="L63" s="83"/>
      <c r="M63" s="83"/>
      <c r="N63" s="104"/>
      <c r="O63" s="83"/>
      <c r="P63" s="215"/>
      <c r="Q63" s="215"/>
      <c r="R63" s="215"/>
      <c r="S63" s="215"/>
      <c r="T63" s="376"/>
      <c r="U63" s="215"/>
      <c r="V63" s="215"/>
      <c r="W63" s="215"/>
      <c r="X63" s="215"/>
      <c r="Y63" s="215"/>
      <c r="Z63" s="215"/>
      <c r="AA63" s="215"/>
      <c r="AB63" s="215"/>
      <c r="AC63" s="215"/>
      <c r="AD63" s="215"/>
      <c r="AE63" s="215"/>
      <c r="AF63" s="215"/>
      <c r="AG63" s="215"/>
      <c r="AH63" s="215"/>
      <c r="AI63" s="215"/>
      <c r="AJ63" s="215"/>
      <c r="AK63" s="215"/>
      <c r="AL63" s="215"/>
      <c r="AM63" s="215"/>
      <c r="AN63" s="215"/>
      <c r="AO63" s="215"/>
      <c r="AP63" s="215"/>
      <c r="AQ63" s="215"/>
      <c r="AR63" s="371"/>
      <c r="AS63" s="372"/>
      <c r="AT63" s="372"/>
      <c r="AU63" s="372"/>
      <c r="AV63" s="372"/>
      <c r="AW63" s="372"/>
      <c r="AX63" s="372"/>
      <c r="AY63" s="372"/>
      <c r="AZ63" s="372"/>
      <c r="BA63" s="372"/>
      <c r="BB63" s="372"/>
      <c r="BC63" s="372"/>
      <c r="BD63" s="372"/>
      <c r="BE63" s="372"/>
    </row>
    <row r="64" spans="1:57" ht="16.25" customHeight="1" x14ac:dyDescent="0.2">
      <c r="A64" s="83"/>
      <c r="B64" s="103"/>
      <c r="C64" s="83"/>
      <c r="D64" s="83"/>
      <c r="E64" s="83"/>
      <c r="F64" s="83"/>
      <c r="G64" s="104"/>
      <c r="H64" s="103"/>
      <c r="I64" s="83"/>
      <c r="J64" s="83"/>
      <c r="K64" s="83"/>
      <c r="L64" s="83"/>
      <c r="M64" s="83"/>
      <c r="N64" s="104"/>
      <c r="O64" s="83"/>
      <c r="P64" s="215"/>
      <c r="Q64" s="215"/>
      <c r="R64" s="215"/>
      <c r="S64" s="215"/>
      <c r="T64" s="215"/>
      <c r="U64" s="215"/>
      <c r="V64" s="215"/>
      <c r="W64" s="215"/>
      <c r="X64" s="215"/>
      <c r="Y64" s="215"/>
      <c r="Z64" s="215"/>
      <c r="AA64" s="215"/>
      <c r="AB64" s="215"/>
      <c r="AC64" s="215"/>
      <c r="AD64" s="215"/>
      <c r="AE64" s="215"/>
      <c r="AF64" s="215"/>
      <c r="AG64" s="215"/>
      <c r="AH64" s="215"/>
      <c r="AI64" s="215"/>
      <c r="AJ64" s="215"/>
      <c r="AK64" s="215"/>
      <c r="AL64" s="215"/>
      <c r="AM64" s="215"/>
      <c r="AN64" s="215"/>
      <c r="AO64" s="215"/>
      <c r="AP64" s="215"/>
      <c r="AQ64" s="215"/>
      <c r="AR64" s="371"/>
      <c r="AS64" s="372"/>
      <c r="AT64" s="372"/>
      <c r="AU64" s="372"/>
      <c r="AV64" s="372"/>
      <c r="AW64" s="372"/>
      <c r="AX64" s="372"/>
      <c r="AY64" s="372"/>
      <c r="AZ64" s="372"/>
      <c r="BA64" s="372"/>
      <c r="BB64" s="372"/>
      <c r="BC64" s="372"/>
      <c r="BD64" s="372"/>
      <c r="BE64" s="372"/>
    </row>
    <row r="65" spans="1:57" ht="16.25" customHeight="1" x14ac:dyDescent="0.2">
      <c r="A65" s="83"/>
      <c r="B65" s="103"/>
      <c r="C65" s="83"/>
      <c r="D65" s="83"/>
      <c r="E65" s="83"/>
      <c r="F65" s="83"/>
      <c r="G65" s="104"/>
      <c r="H65" s="103"/>
      <c r="I65" s="83"/>
      <c r="J65" s="83"/>
      <c r="K65" s="83"/>
      <c r="L65" s="83"/>
      <c r="M65" s="83"/>
      <c r="N65" s="104"/>
      <c r="O65" s="83"/>
      <c r="P65" s="215"/>
      <c r="Q65" s="215"/>
      <c r="R65" s="215"/>
      <c r="S65" s="215"/>
      <c r="T65" s="215"/>
      <c r="U65" s="215"/>
      <c r="V65" s="215"/>
      <c r="W65" s="215"/>
      <c r="X65" s="215"/>
      <c r="Y65" s="215"/>
      <c r="Z65" s="215"/>
      <c r="AA65" s="215"/>
      <c r="AB65" s="215"/>
      <c r="AC65" s="215"/>
      <c r="AD65" s="215"/>
      <c r="AE65" s="215"/>
      <c r="AF65" s="215"/>
      <c r="AG65" s="215"/>
      <c r="AH65" s="215"/>
      <c r="AI65" s="215"/>
      <c r="AJ65" s="215"/>
      <c r="AK65" s="215"/>
      <c r="AL65" s="215"/>
      <c r="AM65" s="215"/>
      <c r="AN65" s="215"/>
      <c r="AO65" s="215"/>
      <c r="AP65" s="215"/>
      <c r="AQ65" s="215"/>
      <c r="AR65" s="371"/>
      <c r="AS65" s="372"/>
      <c r="AT65" s="372"/>
      <c r="AU65" s="372"/>
      <c r="AV65" s="372"/>
      <c r="AW65" s="372"/>
      <c r="AX65" s="372"/>
      <c r="AY65" s="372"/>
      <c r="AZ65" s="372"/>
      <c r="BA65" s="372"/>
      <c r="BB65" s="372"/>
      <c r="BC65" s="372"/>
      <c r="BD65" s="372"/>
      <c r="BE65" s="372"/>
    </row>
    <row r="66" spans="1:57" ht="16.25" customHeight="1" x14ac:dyDescent="0.2">
      <c r="A66" s="83"/>
      <c r="B66" s="103"/>
      <c r="C66" s="83"/>
      <c r="D66" s="83"/>
      <c r="E66" s="83"/>
      <c r="F66" s="83"/>
      <c r="G66" s="104"/>
      <c r="H66" s="103"/>
      <c r="I66" s="83"/>
      <c r="J66" s="83"/>
      <c r="K66" s="83"/>
      <c r="L66" s="83"/>
      <c r="M66" s="83"/>
      <c r="N66" s="104"/>
      <c r="O66" s="83"/>
      <c r="P66" s="215"/>
      <c r="Q66" s="215"/>
      <c r="R66" s="215"/>
      <c r="S66" s="215"/>
      <c r="T66" s="215"/>
      <c r="U66" s="215"/>
      <c r="V66" s="215"/>
      <c r="W66" s="215"/>
      <c r="X66" s="215"/>
      <c r="Y66" s="215"/>
      <c r="Z66" s="215"/>
      <c r="AA66" s="215"/>
      <c r="AB66" s="215"/>
      <c r="AC66" s="215"/>
      <c r="AD66" s="215"/>
      <c r="AE66" s="215"/>
      <c r="AF66" s="215"/>
      <c r="AG66" s="215"/>
      <c r="AH66" s="215"/>
      <c r="AI66" s="215"/>
      <c r="AJ66" s="215"/>
      <c r="AK66" s="215"/>
      <c r="AL66" s="215"/>
      <c r="AM66" s="215"/>
      <c r="AN66" s="215"/>
      <c r="AO66" s="215"/>
      <c r="AP66" s="215"/>
      <c r="AQ66" s="215"/>
      <c r="AR66" s="371"/>
      <c r="AS66" s="372"/>
      <c r="AT66" s="372"/>
      <c r="AU66" s="372"/>
      <c r="AV66" s="372"/>
      <c r="AW66" s="372"/>
      <c r="AX66" s="372"/>
      <c r="AY66" s="372"/>
      <c r="AZ66" s="372"/>
      <c r="BA66" s="372"/>
      <c r="BB66" s="372"/>
      <c r="BC66" s="372"/>
      <c r="BD66" s="372"/>
      <c r="BE66" s="372"/>
    </row>
    <row r="67" spans="1:57" ht="16.25" customHeight="1" x14ac:dyDescent="0.2">
      <c r="A67" s="83"/>
      <c r="B67" s="103"/>
      <c r="C67" s="83"/>
      <c r="D67" s="83"/>
      <c r="E67" s="83"/>
      <c r="F67" s="83"/>
      <c r="G67" s="104"/>
      <c r="H67" s="103"/>
      <c r="I67" s="83"/>
      <c r="J67" s="83"/>
      <c r="K67" s="83"/>
      <c r="L67" s="83"/>
      <c r="M67" s="83"/>
      <c r="N67" s="104"/>
      <c r="O67" s="83"/>
      <c r="P67" s="215"/>
      <c r="Q67" s="215"/>
      <c r="R67" s="215"/>
      <c r="S67" s="215"/>
      <c r="T67" s="215"/>
      <c r="U67" s="215"/>
      <c r="V67" s="215"/>
      <c r="W67" s="215"/>
      <c r="X67" s="215"/>
      <c r="Y67" s="215"/>
      <c r="Z67" s="215"/>
      <c r="AA67" s="215"/>
      <c r="AB67" s="215"/>
      <c r="AC67" s="215"/>
      <c r="AD67" s="215"/>
      <c r="AE67" s="215"/>
      <c r="AF67" s="215"/>
      <c r="AG67" s="215"/>
      <c r="AH67" s="215"/>
      <c r="AI67" s="215"/>
      <c r="AJ67" s="215"/>
      <c r="AK67" s="215"/>
      <c r="AL67" s="215"/>
      <c r="AM67" s="215"/>
      <c r="AN67" s="215"/>
      <c r="AO67" s="215"/>
      <c r="AP67" s="215"/>
      <c r="AQ67" s="215"/>
      <c r="AR67" s="371"/>
      <c r="AS67" s="372"/>
      <c r="AT67" s="372"/>
      <c r="AU67" s="372"/>
      <c r="AV67" s="372"/>
      <c r="AW67" s="372"/>
      <c r="AX67" s="372"/>
      <c r="AY67" s="372"/>
      <c r="AZ67" s="372"/>
      <c r="BA67" s="372"/>
      <c r="BB67" s="372"/>
      <c r="BC67" s="372"/>
      <c r="BD67" s="372"/>
      <c r="BE67" s="372"/>
    </row>
    <row r="68" spans="1:57" ht="16.25" customHeight="1" x14ac:dyDescent="0.2">
      <c r="A68" s="83"/>
      <c r="B68" s="103"/>
      <c r="C68" s="83"/>
      <c r="D68" s="83"/>
      <c r="E68" s="83"/>
      <c r="F68" s="83"/>
      <c r="G68" s="104"/>
      <c r="H68" s="103"/>
      <c r="I68" s="83"/>
      <c r="J68" s="83"/>
      <c r="K68" s="83"/>
      <c r="L68" s="83"/>
      <c r="M68" s="83"/>
      <c r="N68" s="104"/>
      <c r="O68" s="161"/>
      <c r="P68" s="376"/>
      <c r="Q68" s="376"/>
      <c r="R68" s="376"/>
      <c r="S68" s="376"/>
      <c r="T68" s="376"/>
      <c r="U68" s="377"/>
      <c r="V68" s="371"/>
      <c r="W68" s="371"/>
      <c r="X68" s="371"/>
      <c r="Y68" s="215"/>
      <c r="Z68" s="215"/>
      <c r="AA68" s="215"/>
      <c r="AB68" s="215"/>
      <c r="AC68" s="215"/>
      <c r="AD68" s="215"/>
      <c r="AE68" s="215"/>
      <c r="AF68" s="215"/>
      <c r="AG68" s="215"/>
      <c r="AH68" s="215"/>
      <c r="AI68" s="215"/>
      <c r="AJ68" s="215"/>
      <c r="AK68" s="215"/>
      <c r="AL68" s="215"/>
      <c r="AM68" s="215"/>
      <c r="AN68" s="215"/>
      <c r="AO68" s="215"/>
      <c r="AP68" s="215"/>
      <c r="AQ68" s="215"/>
      <c r="AR68" s="371"/>
      <c r="AS68" s="372"/>
      <c r="AT68" s="372"/>
      <c r="AU68" s="372"/>
      <c r="AV68" s="372"/>
      <c r="AW68" s="372"/>
      <c r="AX68" s="372"/>
      <c r="AY68" s="372"/>
      <c r="AZ68" s="372"/>
      <c r="BA68" s="372"/>
      <c r="BB68" s="372"/>
      <c r="BC68" s="372"/>
      <c r="BD68" s="372"/>
      <c r="BE68" s="372"/>
    </row>
    <row r="69" spans="1:57" ht="16.25" customHeight="1" x14ac:dyDescent="0.2">
      <c r="A69" s="83"/>
      <c r="B69" s="103"/>
      <c r="C69" s="83"/>
      <c r="D69" s="83"/>
      <c r="E69" s="83"/>
      <c r="F69" s="83"/>
      <c r="G69" s="104"/>
      <c r="H69" s="103"/>
      <c r="I69" s="83"/>
      <c r="J69" s="83"/>
      <c r="K69" s="83"/>
      <c r="L69" s="83"/>
      <c r="M69" s="83"/>
      <c r="N69" s="104"/>
      <c r="O69" s="161"/>
      <c r="P69" s="376"/>
      <c r="Q69" s="376"/>
      <c r="R69" s="376"/>
      <c r="S69" s="376"/>
      <c r="T69" s="376"/>
      <c r="U69" s="376"/>
      <c r="V69" s="376"/>
      <c r="W69" s="376"/>
      <c r="X69" s="376"/>
      <c r="Y69" s="215"/>
      <c r="Z69" s="215"/>
      <c r="AA69" s="215"/>
      <c r="AB69" s="215"/>
      <c r="AC69" s="215"/>
      <c r="AD69" s="215"/>
      <c r="AE69" s="215"/>
      <c r="AF69" s="215"/>
      <c r="AG69" s="215"/>
      <c r="AH69" s="215"/>
      <c r="AI69" s="215"/>
      <c r="AJ69" s="215"/>
      <c r="AK69" s="215"/>
      <c r="AL69" s="215"/>
      <c r="AM69" s="215"/>
      <c r="AN69" s="215"/>
      <c r="AO69" s="215"/>
      <c r="AP69" s="215"/>
      <c r="AQ69" s="215"/>
      <c r="AR69" s="371"/>
      <c r="AS69" s="372"/>
      <c r="AT69" s="372"/>
      <c r="AU69" s="372"/>
      <c r="AV69" s="372"/>
      <c r="AW69" s="372"/>
      <c r="AX69" s="372"/>
      <c r="AY69" s="372"/>
      <c r="AZ69" s="372"/>
      <c r="BA69" s="372"/>
      <c r="BB69" s="372"/>
      <c r="BC69" s="372"/>
      <c r="BD69" s="372"/>
      <c r="BE69" s="372"/>
    </row>
    <row r="70" spans="1:57" ht="16.25" customHeight="1" x14ac:dyDescent="0.2">
      <c r="A70" s="83"/>
      <c r="B70" s="103"/>
      <c r="C70" s="83"/>
      <c r="D70" s="83"/>
      <c r="E70" s="83"/>
      <c r="F70" s="83"/>
      <c r="G70" s="104"/>
      <c r="H70" s="103"/>
      <c r="I70" s="83"/>
      <c r="J70" s="83"/>
      <c r="K70" s="83"/>
      <c r="L70" s="83"/>
      <c r="M70" s="83"/>
      <c r="N70" s="104"/>
      <c r="O70" s="161"/>
      <c r="P70" s="374"/>
      <c r="Q70" s="376"/>
      <c r="R70" s="377"/>
      <c r="S70" s="377"/>
      <c r="T70" s="377"/>
      <c r="U70" s="377"/>
      <c r="V70" s="377"/>
      <c r="W70" s="376"/>
      <c r="X70" s="376"/>
      <c r="Y70" s="215"/>
      <c r="Z70" s="215"/>
      <c r="AA70" s="215"/>
      <c r="AB70" s="215"/>
      <c r="AC70" s="215"/>
      <c r="AD70" s="215"/>
      <c r="AE70" s="215"/>
      <c r="AF70" s="215"/>
      <c r="AG70" s="215"/>
      <c r="AH70" s="215"/>
      <c r="AI70" s="215"/>
      <c r="AJ70" s="215"/>
      <c r="AK70" s="215"/>
      <c r="AL70" s="215"/>
      <c r="AM70" s="215"/>
      <c r="AN70" s="215"/>
      <c r="AO70" s="215"/>
      <c r="AP70" s="215"/>
      <c r="AQ70" s="215"/>
      <c r="AR70" s="371"/>
      <c r="AS70" s="372"/>
      <c r="AT70" s="372"/>
      <c r="AU70" s="372"/>
      <c r="AV70" s="372"/>
      <c r="AW70" s="372"/>
      <c r="AX70" s="372"/>
      <c r="AY70" s="372"/>
      <c r="AZ70" s="372"/>
      <c r="BA70" s="372"/>
      <c r="BB70" s="372"/>
      <c r="BC70" s="372"/>
      <c r="BD70" s="372"/>
      <c r="BE70" s="372"/>
    </row>
    <row r="71" spans="1:57" ht="16.25" customHeight="1" x14ac:dyDescent="0.2">
      <c r="A71" s="83"/>
      <c r="B71" s="103"/>
      <c r="C71" s="83"/>
      <c r="D71" s="83"/>
      <c r="E71" s="83"/>
      <c r="F71" s="83"/>
      <c r="G71" s="104"/>
      <c r="H71" s="103"/>
      <c r="I71" s="83"/>
      <c r="J71" s="83"/>
      <c r="K71" s="83"/>
      <c r="L71" s="83"/>
      <c r="M71" s="83"/>
      <c r="N71" s="104"/>
      <c r="O71" s="83"/>
      <c r="P71" s="215"/>
      <c r="Q71" s="215"/>
      <c r="R71" s="215"/>
      <c r="S71" s="215"/>
      <c r="T71" s="215"/>
      <c r="U71" s="215"/>
      <c r="V71" s="215"/>
      <c r="W71" s="215"/>
      <c r="X71" s="215"/>
      <c r="Y71" s="215"/>
      <c r="Z71" s="215"/>
      <c r="AA71" s="215"/>
      <c r="AB71" s="215"/>
      <c r="AC71" s="215"/>
      <c r="AD71" s="215"/>
      <c r="AE71" s="215"/>
      <c r="AF71" s="215"/>
      <c r="AG71" s="215"/>
      <c r="AH71" s="215"/>
      <c r="AI71" s="215"/>
      <c r="AJ71" s="215"/>
      <c r="AK71" s="215"/>
      <c r="AL71" s="215"/>
      <c r="AM71" s="215"/>
      <c r="AN71" s="215"/>
      <c r="AO71" s="215"/>
      <c r="AP71" s="215"/>
      <c r="AQ71" s="215"/>
      <c r="AR71" s="371"/>
      <c r="AS71" s="372"/>
      <c r="AT71" s="372"/>
      <c r="AU71" s="372"/>
      <c r="AV71" s="372"/>
      <c r="AW71" s="372"/>
      <c r="AX71" s="372"/>
      <c r="AY71" s="372"/>
      <c r="AZ71" s="372"/>
      <c r="BA71" s="372"/>
      <c r="BB71" s="372"/>
      <c r="BC71" s="372"/>
      <c r="BD71" s="372"/>
      <c r="BE71" s="372"/>
    </row>
    <row r="72" spans="1:57" ht="16.25" customHeight="1" x14ac:dyDescent="0.2">
      <c r="A72" s="83"/>
      <c r="B72" s="103"/>
      <c r="C72" s="83"/>
      <c r="D72" s="83"/>
      <c r="E72" s="83"/>
      <c r="F72" s="83"/>
      <c r="G72" s="104"/>
      <c r="H72" s="103"/>
      <c r="I72" s="83"/>
      <c r="J72" s="83"/>
      <c r="K72" s="83"/>
      <c r="L72" s="83"/>
      <c r="M72" s="83"/>
      <c r="N72" s="104"/>
      <c r="O72" s="162"/>
      <c r="P72" s="371"/>
      <c r="Q72" s="371"/>
      <c r="R72" s="371"/>
      <c r="S72" s="371"/>
      <c r="T72" s="215"/>
      <c r="U72" s="215"/>
      <c r="V72" s="215"/>
      <c r="W72" s="215"/>
      <c r="X72" s="215"/>
      <c r="Y72" s="215"/>
      <c r="Z72" s="215"/>
      <c r="AA72" s="215"/>
      <c r="AB72" s="215"/>
      <c r="AC72" s="215"/>
      <c r="AD72" s="215"/>
      <c r="AE72" s="215"/>
      <c r="AF72" s="215"/>
      <c r="AG72" s="215"/>
      <c r="AH72" s="215"/>
      <c r="AI72" s="215"/>
      <c r="AJ72" s="215"/>
      <c r="AK72" s="215"/>
      <c r="AL72" s="215"/>
      <c r="AM72" s="215"/>
      <c r="AN72" s="215"/>
      <c r="AO72" s="215"/>
      <c r="AP72" s="215"/>
      <c r="AQ72" s="215"/>
      <c r="AR72" s="371"/>
      <c r="AS72" s="372"/>
      <c r="AT72" s="372"/>
      <c r="AU72" s="372"/>
      <c r="AV72" s="372"/>
      <c r="AW72" s="372"/>
      <c r="AX72" s="372"/>
      <c r="AY72" s="372"/>
      <c r="AZ72" s="372"/>
      <c r="BA72" s="372"/>
      <c r="BB72" s="372"/>
      <c r="BC72" s="372"/>
      <c r="BD72" s="372"/>
      <c r="BE72" s="372"/>
    </row>
    <row r="73" spans="1:57" ht="16.25" customHeight="1" x14ac:dyDescent="0.2">
      <c r="A73" s="83"/>
      <c r="B73" s="103"/>
      <c r="C73" s="83"/>
      <c r="D73" s="83"/>
      <c r="E73" s="83"/>
      <c r="F73" s="83"/>
      <c r="G73" s="104"/>
      <c r="H73" s="103"/>
      <c r="I73" s="83"/>
      <c r="J73" s="83"/>
      <c r="K73" s="83"/>
      <c r="L73" s="83"/>
      <c r="M73" s="83"/>
      <c r="N73" s="104"/>
      <c r="O73" s="162"/>
      <c r="P73" s="371"/>
      <c r="Q73" s="371"/>
      <c r="R73" s="371"/>
      <c r="S73" s="371"/>
      <c r="T73" s="215"/>
      <c r="U73" s="215"/>
      <c r="V73" s="215"/>
      <c r="W73" s="215"/>
      <c r="X73" s="215"/>
      <c r="Y73" s="215"/>
      <c r="Z73" s="215"/>
      <c r="AA73" s="215"/>
      <c r="AB73" s="215"/>
      <c r="AC73" s="215"/>
      <c r="AD73" s="215"/>
      <c r="AE73" s="215"/>
      <c r="AF73" s="215"/>
      <c r="AG73" s="215"/>
      <c r="AH73" s="215"/>
      <c r="AI73" s="215"/>
      <c r="AJ73" s="215"/>
      <c r="AK73" s="215"/>
      <c r="AL73" s="215"/>
      <c r="AM73" s="215"/>
      <c r="AN73" s="215"/>
      <c r="AO73" s="215"/>
      <c r="AP73" s="215"/>
      <c r="AQ73" s="215"/>
      <c r="AR73" s="371"/>
      <c r="AS73" s="372"/>
      <c r="AT73" s="372"/>
      <c r="AU73" s="372"/>
      <c r="AV73" s="372"/>
      <c r="AW73" s="372"/>
      <c r="AX73" s="372"/>
      <c r="AY73" s="372"/>
      <c r="AZ73" s="372"/>
      <c r="BA73" s="372"/>
      <c r="BB73" s="372"/>
      <c r="BC73" s="372"/>
      <c r="BD73" s="372"/>
      <c r="BE73" s="372"/>
    </row>
    <row r="74" spans="1:57" ht="16.25" customHeight="1" x14ac:dyDescent="0.2">
      <c r="A74" s="83"/>
      <c r="B74" s="103"/>
      <c r="C74" s="83"/>
      <c r="D74" s="83"/>
      <c r="E74" s="83"/>
      <c r="F74" s="83"/>
      <c r="G74" s="104"/>
      <c r="H74" s="103"/>
      <c r="I74" s="83"/>
      <c r="J74" s="83"/>
      <c r="K74" s="83"/>
      <c r="L74" s="83"/>
      <c r="M74" s="83"/>
      <c r="N74" s="104"/>
      <c r="O74" s="161"/>
      <c r="P74" s="376"/>
      <c r="Q74" s="376"/>
      <c r="R74" s="376"/>
      <c r="S74" s="376"/>
      <c r="T74" s="215"/>
      <c r="U74" s="215"/>
      <c r="V74" s="215"/>
      <c r="W74" s="215"/>
      <c r="X74" s="215"/>
      <c r="Y74" s="215"/>
      <c r="Z74" s="215"/>
      <c r="AA74" s="215"/>
      <c r="AB74" s="215"/>
      <c r="AC74" s="215"/>
      <c r="AD74" s="215"/>
      <c r="AE74" s="215"/>
      <c r="AF74" s="215"/>
      <c r="AG74" s="215"/>
      <c r="AH74" s="215"/>
      <c r="AI74" s="215"/>
      <c r="AJ74" s="215"/>
      <c r="AK74" s="215"/>
      <c r="AL74" s="215"/>
      <c r="AM74" s="215"/>
      <c r="AN74" s="215"/>
      <c r="AO74" s="215"/>
      <c r="AP74" s="215"/>
      <c r="AQ74" s="215"/>
      <c r="AR74" s="371"/>
      <c r="AS74" s="372"/>
      <c r="AT74" s="372"/>
      <c r="AU74" s="372"/>
      <c r="AV74" s="372"/>
      <c r="AW74" s="372"/>
      <c r="AX74" s="372"/>
      <c r="AY74" s="372"/>
      <c r="AZ74" s="372"/>
      <c r="BA74" s="372"/>
      <c r="BB74" s="372"/>
      <c r="BC74" s="372"/>
      <c r="BD74" s="372"/>
      <c r="BE74" s="372"/>
    </row>
    <row r="75" spans="1:57" ht="16.25" customHeight="1" x14ac:dyDescent="0.2">
      <c r="A75" s="83"/>
      <c r="B75" s="103"/>
      <c r="C75" s="83"/>
      <c r="D75" s="83"/>
      <c r="E75" s="83"/>
      <c r="F75" s="83"/>
      <c r="G75" s="104"/>
      <c r="H75" s="103"/>
      <c r="I75" s="83"/>
      <c r="J75" s="83"/>
      <c r="K75" s="83"/>
      <c r="L75" s="83"/>
      <c r="M75" s="83"/>
      <c r="N75" s="104"/>
      <c r="O75" s="163"/>
      <c r="P75" s="373"/>
      <c r="Q75" s="377"/>
      <c r="R75" s="376"/>
      <c r="S75" s="376"/>
      <c r="T75" s="215"/>
      <c r="U75" s="215"/>
      <c r="V75" s="215"/>
      <c r="W75" s="215"/>
      <c r="X75" s="215"/>
      <c r="Y75" s="215"/>
      <c r="Z75" s="215"/>
      <c r="AA75" s="215"/>
      <c r="AB75" s="215"/>
      <c r="AC75" s="215"/>
      <c r="AD75" s="215"/>
      <c r="AE75" s="215"/>
      <c r="AF75" s="215"/>
      <c r="AG75" s="215"/>
      <c r="AH75" s="215"/>
      <c r="AI75" s="215"/>
      <c r="AJ75" s="215"/>
      <c r="AK75" s="215"/>
      <c r="AL75" s="215"/>
      <c r="AM75" s="215"/>
      <c r="AN75" s="215"/>
      <c r="AO75" s="215"/>
      <c r="AP75" s="215"/>
      <c r="AQ75" s="215"/>
      <c r="AR75" s="371"/>
      <c r="AS75" s="372"/>
      <c r="AT75" s="372"/>
      <c r="AU75" s="372"/>
      <c r="AV75" s="372"/>
      <c r="AW75" s="372"/>
      <c r="AX75" s="372"/>
      <c r="AY75" s="372"/>
      <c r="AZ75" s="372"/>
      <c r="BA75" s="372"/>
      <c r="BB75" s="372"/>
      <c r="BC75" s="372"/>
      <c r="BD75" s="372"/>
      <c r="BE75" s="372"/>
    </row>
    <row r="76" spans="1:57" ht="16.25" customHeight="1" x14ac:dyDescent="0.2">
      <c r="A76" s="83"/>
      <c r="B76" s="103"/>
      <c r="C76" s="83"/>
      <c r="D76" s="83"/>
      <c r="E76" s="83"/>
      <c r="F76" s="83"/>
      <c r="G76" s="104"/>
      <c r="H76" s="103"/>
      <c r="I76" s="83"/>
      <c r="J76" s="83"/>
      <c r="K76" s="83"/>
      <c r="L76" s="83"/>
      <c r="M76" s="83"/>
      <c r="N76" s="104"/>
      <c r="O76" s="162"/>
      <c r="P76" s="371"/>
      <c r="Q76" s="371"/>
      <c r="R76" s="371"/>
      <c r="S76" s="371"/>
      <c r="T76" s="215"/>
      <c r="U76" s="215"/>
      <c r="V76" s="215"/>
      <c r="W76" s="215"/>
      <c r="X76" s="215"/>
      <c r="Y76" s="215"/>
      <c r="Z76" s="215"/>
      <c r="AA76" s="215"/>
      <c r="AB76" s="215"/>
      <c r="AC76" s="215"/>
      <c r="AD76" s="215"/>
      <c r="AE76" s="215"/>
      <c r="AF76" s="215"/>
      <c r="AG76" s="215"/>
      <c r="AH76" s="215"/>
      <c r="AI76" s="215"/>
      <c r="AJ76" s="215"/>
      <c r="AK76" s="215"/>
      <c r="AL76" s="215"/>
      <c r="AM76" s="215"/>
      <c r="AN76" s="215"/>
      <c r="AO76" s="215"/>
      <c r="AP76" s="215"/>
      <c r="AQ76" s="215"/>
      <c r="AR76" s="371"/>
      <c r="AS76" s="372"/>
      <c r="AT76" s="372"/>
      <c r="AU76" s="372"/>
      <c r="AV76" s="372"/>
      <c r="AW76" s="372"/>
      <c r="AX76" s="372"/>
      <c r="AY76" s="372"/>
      <c r="AZ76" s="372"/>
      <c r="BA76" s="372"/>
      <c r="BB76" s="372"/>
      <c r="BC76" s="372"/>
      <c r="BD76" s="372"/>
      <c r="BE76" s="372"/>
    </row>
    <row r="77" spans="1:57" ht="16.25" customHeight="1" x14ac:dyDescent="0.2">
      <c r="A77" s="83"/>
      <c r="B77" s="103"/>
      <c r="C77" s="83"/>
      <c r="D77" s="83"/>
      <c r="E77" s="83"/>
      <c r="F77" s="83"/>
      <c r="G77" s="104"/>
      <c r="H77" s="103"/>
      <c r="I77" s="83"/>
      <c r="J77" s="83"/>
      <c r="K77" s="83"/>
      <c r="L77" s="83"/>
      <c r="M77" s="83"/>
      <c r="N77" s="104"/>
      <c r="O77" s="162"/>
      <c r="P77" s="371"/>
      <c r="Q77" s="371"/>
      <c r="R77" s="371"/>
      <c r="S77" s="371"/>
      <c r="T77" s="215"/>
      <c r="U77" s="215"/>
      <c r="V77" s="215"/>
      <c r="W77" s="215"/>
      <c r="X77" s="215"/>
      <c r="Y77" s="215"/>
      <c r="Z77" s="215"/>
      <c r="AA77" s="215"/>
      <c r="AB77" s="215"/>
      <c r="AC77" s="215"/>
      <c r="AD77" s="215"/>
      <c r="AE77" s="215"/>
      <c r="AF77" s="215"/>
      <c r="AG77" s="215"/>
      <c r="AH77" s="215"/>
      <c r="AI77" s="215"/>
      <c r="AJ77" s="215"/>
      <c r="AK77" s="215"/>
      <c r="AL77" s="215"/>
      <c r="AM77" s="215"/>
      <c r="AN77" s="215"/>
      <c r="AO77" s="215"/>
      <c r="AP77" s="215"/>
      <c r="AQ77" s="215"/>
      <c r="AR77" s="371"/>
      <c r="AS77" s="372"/>
      <c r="AT77" s="372"/>
      <c r="AU77" s="372"/>
      <c r="AV77" s="372"/>
      <c r="AW77" s="372"/>
      <c r="AX77" s="372"/>
      <c r="AY77" s="372"/>
      <c r="AZ77" s="372"/>
      <c r="BA77" s="372"/>
      <c r="BB77" s="372"/>
      <c r="BC77" s="372"/>
      <c r="BD77" s="372"/>
      <c r="BE77" s="372"/>
    </row>
    <row r="78" spans="1:57" ht="16.25" customHeight="1" x14ac:dyDescent="0.2">
      <c r="A78" s="83"/>
      <c r="B78" s="103"/>
      <c r="C78" s="83"/>
      <c r="D78" s="83"/>
      <c r="E78" s="83"/>
      <c r="F78" s="83"/>
      <c r="G78" s="104"/>
      <c r="H78" s="103"/>
      <c r="I78" s="83"/>
      <c r="J78" s="83"/>
      <c r="K78" s="83"/>
      <c r="L78" s="83"/>
      <c r="M78" s="83"/>
      <c r="N78" s="104"/>
      <c r="O78" s="162"/>
      <c r="P78" s="371"/>
      <c r="Q78" s="371"/>
      <c r="R78" s="371"/>
      <c r="S78" s="371"/>
      <c r="T78" s="215"/>
      <c r="U78" s="215"/>
      <c r="V78" s="215"/>
      <c r="W78" s="215"/>
      <c r="X78" s="215"/>
      <c r="Y78" s="215"/>
      <c r="Z78" s="215"/>
      <c r="AA78" s="215"/>
      <c r="AB78" s="215"/>
      <c r="AC78" s="215"/>
      <c r="AD78" s="215"/>
      <c r="AE78" s="215"/>
      <c r="AF78" s="215"/>
      <c r="AG78" s="215"/>
      <c r="AH78" s="215"/>
      <c r="AI78" s="215"/>
      <c r="AJ78" s="215"/>
      <c r="AK78" s="215"/>
      <c r="AL78" s="215"/>
      <c r="AM78" s="215"/>
      <c r="AN78" s="215"/>
      <c r="AO78" s="215"/>
      <c r="AP78" s="215"/>
      <c r="AQ78" s="215"/>
      <c r="AR78" s="371"/>
      <c r="AS78" s="372"/>
      <c r="AT78" s="372"/>
      <c r="AU78" s="372"/>
      <c r="AV78" s="372"/>
      <c r="AW78" s="372"/>
      <c r="AX78" s="372"/>
      <c r="AY78" s="372"/>
      <c r="AZ78" s="372"/>
      <c r="BA78" s="372"/>
      <c r="BB78" s="372"/>
      <c r="BC78" s="372"/>
      <c r="BD78" s="372"/>
      <c r="BE78" s="372"/>
    </row>
    <row r="79" spans="1:57" ht="16.25" customHeight="1" x14ac:dyDescent="0.2">
      <c r="A79" s="83"/>
      <c r="B79" s="103"/>
      <c r="C79" s="83"/>
      <c r="D79" s="83"/>
      <c r="E79" s="83"/>
      <c r="F79" s="83"/>
      <c r="G79" s="104"/>
      <c r="H79" s="103"/>
      <c r="I79" s="83"/>
      <c r="J79" s="83"/>
      <c r="K79" s="83"/>
      <c r="L79" s="83"/>
      <c r="M79" s="83"/>
      <c r="N79" s="104"/>
      <c r="O79" s="162"/>
      <c r="P79" s="371"/>
      <c r="Q79" s="371"/>
      <c r="R79" s="371"/>
      <c r="S79" s="371"/>
      <c r="T79" s="215"/>
      <c r="U79" s="215"/>
      <c r="V79" s="215"/>
      <c r="W79" s="215"/>
      <c r="X79" s="215"/>
      <c r="Y79" s="215"/>
      <c r="Z79" s="215"/>
      <c r="AA79" s="215"/>
      <c r="AB79" s="215"/>
      <c r="AC79" s="215"/>
      <c r="AD79" s="215"/>
      <c r="AE79" s="215"/>
      <c r="AF79" s="215"/>
      <c r="AG79" s="215"/>
      <c r="AH79" s="215"/>
      <c r="AI79" s="215"/>
      <c r="AJ79" s="215"/>
      <c r="AK79" s="215"/>
      <c r="AL79" s="215"/>
      <c r="AM79" s="215"/>
      <c r="AN79" s="215"/>
      <c r="AO79" s="215"/>
      <c r="AP79" s="215"/>
      <c r="AQ79" s="215"/>
      <c r="AR79" s="371"/>
      <c r="AS79" s="372"/>
      <c r="AT79" s="372"/>
      <c r="AU79" s="372"/>
      <c r="AV79" s="372"/>
      <c r="AW79" s="372"/>
      <c r="AX79" s="372"/>
      <c r="AY79" s="372"/>
      <c r="AZ79" s="372"/>
      <c r="BA79" s="372"/>
      <c r="BB79" s="372"/>
      <c r="BC79" s="372"/>
      <c r="BD79" s="372"/>
      <c r="BE79" s="372"/>
    </row>
    <row r="80" spans="1:57" ht="16.25" customHeight="1" x14ac:dyDescent="0.2">
      <c r="A80" s="83"/>
      <c r="B80" s="933" t="s">
        <v>281</v>
      </c>
      <c r="C80" s="934"/>
      <c r="D80" s="934"/>
      <c r="E80" s="934"/>
      <c r="F80" s="934"/>
      <c r="G80" s="935"/>
      <c r="H80" s="116" t="s">
        <v>252</v>
      </c>
      <c r="I80" s="117" t="s">
        <v>2</v>
      </c>
      <c r="J80" s="939" t="s">
        <v>82</v>
      </c>
      <c r="K80" s="940"/>
      <c r="L80" s="940"/>
      <c r="M80" s="940"/>
      <c r="N80" s="941"/>
      <c r="O80" s="162"/>
      <c r="P80" s="371"/>
      <c r="Q80" s="371"/>
      <c r="R80" s="371"/>
      <c r="S80" s="371"/>
      <c r="T80" s="215"/>
      <c r="U80" s="215"/>
      <c r="V80" s="215"/>
      <c r="W80" s="215"/>
      <c r="X80" s="215"/>
      <c r="Y80" s="215"/>
      <c r="Z80" s="215"/>
      <c r="AA80" s="215"/>
      <c r="AB80" s="215"/>
      <c r="AC80" s="215"/>
      <c r="AD80" s="215"/>
      <c r="AE80" s="215"/>
      <c r="AF80" s="215"/>
      <c r="AG80" s="215"/>
      <c r="AH80" s="215"/>
      <c r="AI80" s="215"/>
      <c r="AJ80" s="215"/>
      <c r="AK80" s="215"/>
      <c r="AL80" s="215"/>
      <c r="AM80" s="215"/>
      <c r="AN80" s="215"/>
      <c r="AO80" s="215"/>
      <c r="AP80" s="215"/>
      <c r="AQ80" s="215"/>
      <c r="AR80" s="371"/>
      <c r="AS80" s="372"/>
      <c r="AT80" s="372"/>
      <c r="AU80" s="372"/>
      <c r="AV80" s="372"/>
      <c r="AW80" s="372"/>
      <c r="AX80" s="372"/>
      <c r="AY80" s="372"/>
      <c r="AZ80" s="372"/>
      <c r="BA80" s="372"/>
      <c r="BB80" s="372"/>
      <c r="BC80" s="372"/>
      <c r="BD80" s="372"/>
      <c r="BE80" s="372"/>
    </row>
    <row r="81" spans="1:57" ht="16.25" customHeight="1" x14ac:dyDescent="0.2">
      <c r="A81" s="83"/>
      <c r="B81" s="936"/>
      <c r="C81" s="937"/>
      <c r="D81" s="937"/>
      <c r="E81" s="937"/>
      <c r="F81" s="937"/>
      <c r="G81" s="938"/>
      <c r="H81" s="493"/>
      <c r="I81" s="110"/>
      <c r="J81" s="988"/>
      <c r="K81" s="989"/>
      <c r="L81" s="989"/>
      <c r="M81" s="989"/>
      <c r="N81" s="990"/>
      <c r="O81" s="83"/>
      <c r="P81" s="215"/>
      <c r="Q81" s="215"/>
      <c r="R81" s="215"/>
      <c r="S81" s="215"/>
      <c r="T81" s="215"/>
      <c r="U81" s="215"/>
      <c r="V81" s="215"/>
      <c r="W81" s="215"/>
      <c r="X81" s="215"/>
      <c r="Y81" s="215"/>
      <c r="Z81" s="215"/>
      <c r="AA81" s="215"/>
      <c r="AB81" s="215"/>
      <c r="AC81" s="215"/>
      <c r="AD81" s="215"/>
      <c r="AE81" s="215"/>
      <c r="AF81" s="215"/>
      <c r="AG81" s="215"/>
      <c r="AH81" s="215"/>
      <c r="AI81" s="215"/>
      <c r="AJ81" s="215"/>
      <c r="AK81" s="215"/>
      <c r="AL81" s="215"/>
      <c r="AM81" s="215"/>
      <c r="AN81" s="215"/>
      <c r="AO81" s="215"/>
      <c r="AP81" s="215"/>
      <c r="AQ81" s="215"/>
      <c r="AR81" s="371"/>
      <c r="AS81" s="372"/>
      <c r="AT81" s="372"/>
      <c r="AU81" s="372"/>
      <c r="AV81" s="372"/>
      <c r="AW81" s="372"/>
      <c r="AX81" s="372"/>
      <c r="AY81" s="372"/>
      <c r="AZ81" s="372"/>
      <c r="BA81" s="372"/>
      <c r="BB81" s="372"/>
      <c r="BC81" s="372"/>
      <c r="BD81" s="372"/>
      <c r="BE81" s="372"/>
    </row>
    <row r="82" spans="1:57" ht="16.25" customHeight="1" x14ac:dyDescent="0.2">
      <c r="A82" s="83"/>
      <c r="B82" s="83"/>
      <c r="C82" s="83"/>
      <c r="D82" s="83"/>
      <c r="E82" s="83"/>
      <c r="F82" s="83"/>
      <c r="G82" s="83"/>
      <c r="H82" s="83"/>
      <c r="I82" s="83"/>
      <c r="J82" s="83"/>
      <c r="K82" s="83"/>
      <c r="L82" s="83"/>
      <c r="M82" s="162"/>
      <c r="N82" s="165"/>
      <c r="O82" s="83"/>
      <c r="P82" s="215"/>
      <c r="Q82" s="215"/>
      <c r="R82" s="215"/>
      <c r="S82" s="215"/>
      <c r="T82" s="215"/>
      <c r="U82" s="215"/>
      <c r="V82" s="215"/>
      <c r="W82" s="215"/>
      <c r="X82" s="215"/>
      <c r="Y82" s="215"/>
      <c r="Z82" s="215"/>
      <c r="AA82" s="215"/>
      <c r="AB82" s="215"/>
      <c r="AC82" s="215"/>
      <c r="AD82" s="215"/>
      <c r="AE82" s="215"/>
      <c r="AF82" s="215"/>
      <c r="AG82" s="215"/>
      <c r="AH82" s="215"/>
      <c r="AI82" s="215"/>
      <c r="AJ82" s="215"/>
      <c r="AK82" s="215"/>
      <c r="AL82" s="215"/>
      <c r="AM82" s="215"/>
      <c r="AN82" s="215"/>
      <c r="AO82" s="215"/>
      <c r="AP82" s="215"/>
      <c r="AQ82" s="215"/>
      <c r="AR82" s="371"/>
      <c r="AS82" s="372"/>
      <c r="AT82" s="372"/>
      <c r="AU82" s="372"/>
      <c r="AV82" s="372"/>
      <c r="AW82" s="372"/>
      <c r="AX82" s="372"/>
      <c r="AY82" s="372"/>
      <c r="AZ82" s="372"/>
      <c r="BA82" s="372"/>
      <c r="BB82" s="372"/>
      <c r="BC82" s="372"/>
      <c r="BD82" s="372"/>
      <c r="BE82" s="372"/>
    </row>
    <row r="83" spans="1:57" x14ac:dyDescent="0.2">
      <c r="A83" s="83"/>
      <c r="B83" s="83"/>
      <c r="C83" s="83"/>
      <c r="D83" s="83"/>
      <c r="E83" s="83"/>
      <c r="F83" s="83"/>
      <c r="G83" s="83"/>
      <c r="H83" s="83"/>
      <c r="I83" s="83"/>
      <c r="J83" s="83"/>
      <c r="K83" s="83"/>
      <c r="L83" s="83"/>
      <c r="M83" s="162"/>
      <c r="N83" s="165"/>
      <c r="O83" s="83"/>
      <c r="P83" s="215"/>
      <c r="Q83" s="215"/>
      <c r="R83" s="215"/>
      <c r="S83" s="215"/>
      <c r="T83" s="215"/>
      <c r="U83" s="215"/>
      <c r="V83" s="215"/>
      <c r="W83" s="215"/>
      <c r="X83" s="215"/>
      <c r="Y83" s="215"/>
      <c r="Z83" s="215"/>
      <c r="AA83" s="215"/>
      <c r="AB83" s="215"/>
      <c r="AC83" s="215"/>
      <c r="AD83" s="215"/>
      <c r="AE83" s="215"/>
      <c r="AF83" s="215"/>
      <c r="AG83" s="215"/>
      <c r="AH83" s="215"/>
      <c r="AI83" s="215"/>
      <c r="AJ83" s="215"/>
      <c r="AK83" s="215"/>
      <c r="AL83" s="215"/>
      <c r="AM83" s="215"/>
      <c r="AN83" s="215"/>
      <c r="AO83" s="215"/>
      <c r="AP83" s="215"/>
      <c r="AQ83" s="215"/>
      <c r="AR83" s="371"/>
      <c r="AS83" s="372"/>
      <c r="AT83" s="372"/>
      <c r="AU83" s="372"/>
      <c r="AV83" s="372"/>
      <c r="AW83" s="372"/>
      <c r="AX83" s="372"/>
      <c r="AY83" s="372"/>
      <c r="AZ83" s="372"/>
      <c r="BA83" s="372"/>
      <c r="BB83" s="372"/>
      <c r="BC83" s="372"/>
      <c r="BD83" s="372"/>
      <c r="BE83" s="372"/>
    </row>
    <row r="84" spans="1:57" x14ac:dyDescent="0.2">
      <c r="P84" s="372"/>
      <c r="Q84" s="372"/>
      <c r="R84" s="372"/>
      <c r="S84" s="372"/>
      <c r="T84" s="372"/>
      <c r="U84" s="372"/>
      <c r="V84" s="372"/>
      <c r="W84" s="372"/>
      <c r="X84" s="372"/>
      <c r="Y84" s="372"/>
      <c r="Z84" s="372"/>
      <c r="AA84" s="372"/>
      <c r="AB84" s="372"/>
      <c r="AC84" s="372"/>
      <c r="AD84" s="372"/>
      <c r="AE84" s="372"/>
      <c r="AF84" s="372"/>
      <c r="AG84" s="372"/>
      <c r="AH84" s="372"/>
      <c r="AI84" s="372"/>
      <c r="AJ84" s="372"/>
      <c r="AK84" s="372"/>
      <c r="AL84" s="372"/>
      <c r="AM84" s="372"/>
      <c r="AN84" s="372"/>
      <c r="AO84" s="372"/>
      <c r="AP84" s="372"/>
      <c r="AS84" s="372"/>
      <c r="AT84" s="372"/>
      <c r="AU84" s="372"/>
      <c r="AV84" s="372"/>
      <c r="AW84" s="372"/>
      <c r="AX84" s="372"/>
      <c r="AY84" s="372"/>
      <c r="AZ84" s="372"/>
      <c r="BA84" s="372"/>
      <c r="BB84" s="372"/>
      <c r="BC84" s="372"/>
      <c r="BD84" s="372"/>
      <c r="BE84" s="372"/>
    </row>
    <row r="85" spans="1:57" x14ac:dyDescent="0.2">
      <c r="P85" s="372"/>
      <c r="Q85" s="372"/>
      <c r="R85" s="372"/>
      <c r="S85" s="372"/>
      <c r="T85" s="372"/>
      <c r="U85" s="372"/>
      <c r="V85" s="372"/>
      <c r="W85" s="372"/>
      <c r="X85" s="372"/>
      <c r="Y85" s="372"/>
      <c r="Z85" s="372"/>
      <c r="AA85" s="372"/>
      <c r="AB85" s="372"/>
      <c r="AC85" s="372"/>
      <c r="AD85" s="372"/>
      <c r="AE85" s="372"/>
      <c r="AF85" s="372"/>
      <c r="AG85" s="372"/>
      <c r="AH85" s="372"/>
      <c r="AI85" s="372"/>
      <c r="AJ85" s="372"/>
      <c r="AK85" s="372"/>
      <c r="AL85" s="372"/>
      <c r="AM85" s="372"/>
      <c r="AN85" s="372"/>
      <c r="AO85" s="372"/>
      <c r="AP85" s="372"/>
      <c r="AS85" s="372"/>
      <c r="AT85" s="372"/>
      <c r="AU85" s="372"/>
      <c r="AV85" s="372"/>
      <c r="AW85" s="372"/>
      <c r="AX85" s="372"/>
      <c r="AY85" s="372"/>
      <c r="AZ85" s="372"/>
      <c r="BA85" s="372"/>
      <c r="BB85" s="372"/>
      <c r="BC85" s="372"/>
      <c r="BD85" s="372"/>
      <c r="BE85" s="372"/>
    </row>
    <row r="86" spans="1:57" x14ac:dyDescent="0.2">
      <c r="P86" s="372"/>
      <c r="Q86" s="372"/>
      <c r="R86" s="372"/>
      <c r="S86" s="372"/>
      <c r="T86" s="372"/>
      <c r="U86" s="372"/>
      <c r="V86" s="372"/>
      <c r="W86" s="372"/>
      <c r="X86" s="372"/>
      <c r="Y86" s="372"/>
      <c r="Z86" s="372"/>
      <c r="AA86" s="372"/>
      <c r="AB86" s="372"/>
      <c r="AC86" s="372"/>
      <c r="AD86" s="372"/>
      <c r="AE86" s="372"/>
      <c r="AF86" s="372"/>
      <c r="AG86" s="372"/>
      <c r="AH86" s="372"/>
      <c r="AI86" s="372"/>
      <c r="AJ86" s="372"/>
      <c r="AK86" s="372"/>
      <c r="AL86" s="372"/>
      <c r="AM86" s="372"/>
      <c r="AN86" s="372"/>
      <c r="AO86" s="372"/>
      <c r="AP86" s="372"/>
      <c r="AS86" s="372"/>
      <c r="AT86" s="372"/>
      <c r="AU86" s="372"/>
      <c r="AV86" s="372"/>
      <c r="AW86" s="372"/>
      <c r="AX86" s="372"/>
      <c r="AY86" s="372"/>
      <c r="AZ86" s="372"/>
      <c r="BA86" s="372"/>
      <c r="BB86" s="372"/>
      <c r="BC86" s="372"/>
      <c r="BD86" s="372"/>
      <c r="BE86" s="372"/>
    </row>
    <row r="87" spans="1:57" x14ac:dyDescent="0.2">
      <c r="P87" s="372"/>
      <c r="Q87" s="372"/>
      <c r="R87" s="372"/>
      <c r="S87" s="372"/>
      <c r="T87" s="372"/>
      <c r="U87" s="372"/>
      <c r="V87" s="372"/>
      <c r="W87" s="372"/>
      <c r="X87" s="372"/>
      <c r="Y87" s="372"/>
      <c r="Z87" s="372"/>
      <c r="AA87" s="372"/>
      <c r="AB87" s="372"/>
      <c r="AC87" s="372"/>
      <c r="AD87" s="372"/>
      <c r="AE87" s="372"/>
      <c r="AF87" s="372"/>
      <c r="AG87" s="372"/>
      <c r="AH87" s="372"/>
      <c r="AI87" s="372"/>
      <c r="AJ87" s="372"/>
      <c r="AK87" s="372"/>
      <c r="AL87" s="372"/>
      <c r="AM87" s="372"/>
      <c r="AN87" s="372"/>
      <c r="AO87" s="372"/>
      <c r="AP87" s="372"/>
      <c r="AS87" s="372"/>
      <c r="AT87" s="372"/>
      <c r="AU87" s="372"/>
      <c r="AV87" s="372"/>
      <c r="AW87" s="372"/>
      <c r="AX87" s="372"/>
      <c r="AY87" s="372"/>
      <c r="AZ87" s="372"/>
      <c r="BA87" s="372"/>
      <c r="BB87" s="372"/>
      <c r="BC87" s="372"/>
      <c r="BD87" s="372"/>
      <c r="BE87" s="372"/>
    </row>
    <row r="88" spans="1:57" x14ac:dyDescent="0.2">
      <c r="P88" s="372"/>
      <c r="Q88" s="372"/>
      <c r="R88" s="372"/>
      <c r="S88" s="372"/>
      <c r="T88" s="372"/>
      <c r="U88" s="372"/>
      <c r="V88" s="372"/>
      <c r="W88" s="372"/>
      <c r="X88" s="372"/>
      <c r="Y88" s="372"/>
      <c r="Z88" s="372"/>
      <c r="AA88" s="372"/>
      <c r="AB88" s="372"/>
      <c r="AC88" s="372"/>
      <c r="AD88" s="372"/>
      <c r="AE88" s="372"/>
      <c r="AF88" s="372"/>
      <c r="AG88" s="372"/>
      <c r="AH88" s="372"/>
      <c r="AI88" s="372"/>
      <c r="AJ88" s="372"/>
      <c r="AK88" s="372"/>
      <c r="AL88" s="372"/>
      <c r="AM88" s="372"/>
      <c r="AN88" s="372"/>
      <c r="AO88" s="372"/>
      <c r="AP88" s="372"/>
      <c r="AS88" s="372"/>
      <c r="AT88" s="372"/>
      <c r="AU88" s="372"/>
      <c r="AV88" s="372"/>
      <c r="AW88" s="372"/>
      <c r="AX88" s="372"/>
      <c r="AY88" s="372"/>
      <c r="AZ88" s="372"/>
      <c r="BA88" s="372"/>
      <c r="BB88" s="372"/>
      <c r="BC88" s="372"/>
      <c r="BD88" s="372"/>
      <c r="BE88" s="372"/>
    </row>
    <row r="89" spans="1:57" x14ac:dyDescent="0.2">
      <c r="P89" s="372"/>
      <c r="Q89" s="372"/>
      <c r="R89" s="372"/>
      <c r="S89" s="372"/>
      <c r="T89" s="372"/>
      <c r="U89" s="372"/>
      <c r="V89" s="372"/>
      <c r="W89" s="372"/>
      <c r="X89" s="372"/>
      <c r="Y89" s="372"/>
      <c r="Z89" s="372"/>
      <c r="AA89" s="372"/>
      <c r="AB89" s="372"/>
      <c r="AC89" s="372"/>
      <c r="AD89" s="372"/>
      <c r="AE89" s="372"/>
      <c r="AF89" s="372"/>
      <c r="AG89" s="372"/>
      <c r="AH89" s="372"/>
      <c r="AI89" s="372"/>
      <c r="AJ89" s="372"/>
      <c r="AK89" s="372"/>
      <c r="AL89" s="372"/>
      <c r="AM89" s="372"/>
      <c r="AN89" s="372"/>
      <c r="AO89" s="372"/>
      <c r="AP89" s="372"/>
      <c r="AS89" s="372"/>
      <c r="AT89" s="372"/>
      <c r="AU89" s="372"/>
      <c r="AV89" s="372"/>
      <c r="AW89" s="372"/>
      <c r="AX89" s="372"/>
      <c r="AY89" s="372"/>
      <c r="AZ89" s="372"/>
      <c r="BA89" s="372"/>
      <c r="BB89" s="372"/>
      <c r="BC89" s="372"/>
      <c r="BD89" s="372"/>
      <c r="BE89" s="372"/>
    </row>
    <row r="90" spans="1:57" x14ac:dyDescent="0.2">
      <c r="P90" s="372"/>
      <c r="Q90" s="372"/>
      <c r="R90" s="372"/>
      <c r="S90" s="372"/>
      <c r="T90" s="372"/>
      <c r="U90" s="372"/>
      <c r="V90" s="372"/>
      <c r="W90" s="372"/>
      <c r="X90" s="372"/>
      <c r="Y90" s="372"/>
      <c r="Z90" s="372"/>
      <c r="AA90" s="372"/>
      <c r="AB90" s="372"/>
      <c r="AC90" s="372"/>
      <c r="AD90" s="372"/>
      <c r="AE90" s="372"/>
      <c r="AF90" s="372"/>
      <c r="AG90" s="372"/>
      <c r="AH90" s="372"/>
      <c r="AI90" s="372"/>
      <c r="AJ90" s="372"/>
      <c r="AK90" s="372"/>
      <c r="AL90" s="372"/>
      <c r="AM90" s="372"/>
      <c r="AN90" s="372"/>
      <c r="AO90" s="372"/>
      <c r="AP90" s="372"/>
      <c r="AS90" s="372"/>
      <c r="AT90" s="372"/>
      <c r="AU90" s="372"/>
      <c r="AV90" s="372"/>
      <c r="AW90" s="372"/>
      <c r="AX90" s="372"/>
      <c r="AY90" s="372"/>
      <c r="AZ90" s="372"/>
      <c r="BA90" s="372"/>
      <c r="BB90" s="372"/>
      <c r="BC90" s="372"/>
      <c r="BD90" s="372"/>
      <c r="BE90" s="372"/>
    </row>
    <row r="91" spans="1:57" x14ac:dyDescent="0.2">
      <c r="P91" s="372"/>
      <c r="Q91" s="372"/>
      <c r="R91" s="372"/>
      <c r="S91" s="372"/>
      <c r="T91" s="372"/>
      <c r="U91" s="372"/>
      <c r="V91" s="372"/>
      <c r="W91" s="372"/>
      <c r="X91" s="372"/>
      <c r="Y91" s="372"/>
      <c r="Z91" s="372"/>
      <c r="AA91" s="372"/>
      <c r="AB91" s="372"/>
      <c r="AC91" s="372"/>
      <c r="AD91" s="372"/>
      <c r="AE91" s="372"/>
      <c r="AF91" s="372"/>
      <c r="AG91" s="372"/>
      <c r="AH91" s="372"/>
      <c r="AI91" s="372"/>
      <c r="AJ91" s="372"/>
      <c r="AK91" s="372"/>
      <c r="AL91" s="372"/>
      <c r="AM91" s="372"/>
      <c r="AN91" s="372"/>
      <c r="AO91" s="372"/>
      <c r="AP91" s="372"/>
      <c r="AS91" s="372"/>
      <c r="AT91" s="372"/>
      <c r="AU91" s="372"/>
      <c r="AV91" s="372"/>
      <c r="AW91" s="372"/>
      <c r="AX91" s="372"/>
      <c r="AY91" s="372"/>
      <c r="AZ91" s="372"/>
      <c r="BA91" s="372"/>
      <c r="BB91" s="372"/>
      <c r="BC91" s="372"/>
      <c r="BD91" s="372"/>
      <c r="BE91" s="372"/>
    </row>
    <row r="92" spans="1:57" x14ac:dyDescent="0.2">
      <c r="P92" s="372"/>
      <c r="Q92" s="372"/>
      <c r="R92" s="372"/>
      <c r="S92" s="372"/>
      <c r="T92" s="372"/>
      <c r="U92" s="372"/>
      <c r="V92" s="372"/>
      <c r="W92" s="372"/>
      <c r="X92" s="372"/>
      <c r="Y92" s="372"/>
      <c r="Z92" s="372"/>
      <c r="AA92" s="372"/>
      <c r="AB92" s="372"/>
      <c r="AC92" s="372"/>
      <c r="AD92" s="372"/>
      <c r="AE92" s="372"/>
      <c r="AF92" s="372"/>
      <c r="AG92" s="372"/>
      <c r="AH92" s="372"/>
      <c r="AI92" s="372"/>
      <c r="AJ92" s="372"/>
      <c r="AK92" s="372"/>
      <c r="AL92" s="372"/>
      <c r="AM92" s="372"/>
      <c r="AN92" s="372"/>
      <c r="AO92" s="372"/>
      <c r="AP92" s="372"/>
      <c r="AS92" s="372"/>
      <c r="AT92" s="372"/>
      <c r="AU92" s="372"/>
      <c r="AV92" s="372"/>
      <c r="AW92" s="372"/>
      <c r="AX92" s="372"/>
      <c r="AY92" s="372"/>
      <c r="AZ92" s="372"/>
      <c r="BA92" s="372"/>
      <c r="BB92" s="372"/>
      <c r="BC92" s="372"/>
      <c r="BD92" s="372"/>
      <c r="BE92" s="372"/>
    </row>
    <row r="93" spans="1:57" x14ac:dyDescent="0.2">
      <c r="P93" s="372"/>
      <c r="Q93" s="372"/>
      <c r="R93" s="372"/>
      <c r="S93" s="372"/>
      <c r="T93" s="372"/>
      <c r="U93" s="372"/>
      <c r="V93" s="372"/>
      <c r="W93" s="372"/>
      <c r="X93" s="372"/>
      <c r="Y93" s="372"/>
      <c r="Z93" s="372"/>
      <c r="AA93" s="372"/>
      <c r="AB93" s="372"/>
      <c r="AC93" s="372"/>
      <c r="AD93" s="372"/>
      <c r="AE93" s="372"/>
      <c r="AF93" s="372"/>
      <c r="AG93" s="372"/>
      <c r="AH93" s="372"/>
      <c r="AI93" s="372"/>
      <c r="AJ93" s="372"/>
      <c r="AK93" s="372"/>
      <c r="AL93" s="372"/>
      <c r="AM93" s="372"/>
      <c r="AN93" s="372"/>
      <c r="AO93" s="372"/>
      <c r="AP93" s="372"/>
      <c r="AS93" s="372"/>
      <c r="AT93" s="372"/>
      <c r="AU93" s="372"/>
      <c r="AV93" s="372"/>
      <c r="AW93" s="372"/>
      <c r="AX93" s="372"/>
      <c r="AY93" s="372"/>
      <c r="AZ93" s="372"/>
      <c r="BA93" s="372"/>
      <c r="BB93" s="372"/>
      <c r="BC93" s="372"/>
      <c r="BD93" s="372"/>
      <c r="BE93" s="372"/>
    </row>
    <row r="94" spans="1:57" x14ac:dyDescent="0.2">
      <c r="P94" s="372"/>
      <c r="Q94" s="372"/>
      <c r="R94" s="372"/>
      <c r="S94" s="372"/>
      <c r="T94" s="372"/>
      <c r="U94" s="372"/>
      <c r="V94" s="372"/>
      <c r="W94" s="372"/>
      <c r="X94" s="372"/>
      <c r="Y94" s="372"/>
      <c r="Z94" s="372"/>
      <c r="AA94" s="372"/>
      <c r="AB94" s="372"/>
      <c r="AC94" s="372"/>
      <c r="AD94" s="372"/>
      <c r="AE94" s="372"/>
      <c r="AF94" s="372"/>
      <c r="AG94" s="372"/>
      <c r="AH94" s="372"/>
      <c r="AI94" s="372"/>
      <c r="AJ94" s="372"/>
      <c r="AK94" s="372"/>
      <c r="AL94" s="372"/>
      <c r="AM94" s="372"/>
      <c r="AN94" s="372"/>
      <c r="AO94" s="372"/>
      <c r="AP94" s="372"/>
      <c r="AS94" s="372"/>
      <c r="AT94" s="372"/>
      <c r="AU94" s="372"/>
      <c r="AV94" s="372"/>
      <c r="AW94" s="372"/>
      <c r="AX94" s="372"/>
      <c r="AY94" s="372"/>
      <c r="AZ94" s="372"/>
      <c r="BA94" s="372"/>
      <c r="BB94" s="372"/>
      <c r="BC94" s="372"/>
      <c r="BD94" s="372"/>
      <c r="BE94" s="372"/>
    </row>
    <row r="95" spans="1:57" x14ac:dyDescent="0.2">
      <c r="P95" s="372"/>
      <c r="Q95" s="372"/>
      <c r="R95" s="372"/>
      <c r="S95" s="372"/>
      <c r="T95" s="372"/>
      <c r="U95" s="372"/>
      <c r="V95" s="372"/>
      <c r="W95" s="372"/>
      <c r="X95" s="372"/>
      <c r="Y95" s="372"/>
      <c r="Z95" s="372"/>
      <c r="AA95" s="372"/>
      <c r="AB95" s="372"/>
      <c r="AC95" s="372"/>
      <c r="AD95" s="372"/>
      <c r="AE95" s="372"/>
      <c r="AF95" s="372"/>
      <c r="AG95" s="372"/>
      <c r="AH95" s="372"/>
      <c r="AI95" s="372"/>
      <c r="AJ95" s="372"/>
      <c r="AK95" s="372"/>
      <c r="AL95" s="372"/>
      <c r="AM95" s="372"/>
      <c r="AN95" s="372"/>
      <c r="AO95" s="372"/>
      <c r="AP95" s="372"/>
      <c r="AS95" s="372"/>
      <c r="AT95" s="372"/>
      <c r="AU95" s="372"/>
      <c r="AV95" s="372"/>
      <c r="AW95" s="372"/>
      <c r="AX95" s="372"/>
      <c r="AY95" s="372"/>
      <c r="AZ95" s="372"/>
      <c r="BA95" s="372"/>
      <c r="BB95" s="372"/>
      <c r="BC95" s="372"/>
      <c r="BD95" s="372"/>
      <c r="BE95" s="372"/>
    </row>
    <row r="96" spans="1:57" x14ac:dyDescent="0.2">
      <c r="P96" s="372"/>
      <c r="Q96" s="372"/>
      <c r="R96" s="372"/>
      <c r="S96" s="372"/>
      <c r="T96" s="372"/>
      <c r="U96" s="372"/>
      <c r="V96" s="372"/>
      <c r="W96" s="372"/>
      <c r="X96" s="372"/>
      <c r="Y96" s="372"/>
      <c r="Z96" s="372"/>
      <c r="AA96" s="372"/>
      <c r="AB96" s="372"/>
      <c r="AC96" s="372"/>
      <c r="AD96" s="372"/>
      <c r="AE96" s="372"/>
      <c r="AF96" s="372"/>
      <c r="AG96" s="372"/>
      <c r="AH96" s="372"/>
      <c r="AI96" s="372"/>
      <c r="AJ96" s="372"/>
      <c r="AK96" s="372"/>
      <c r="AL96" s="372"/>
      <c r="AM96" s="372"/>
      <c r="AN96" s="372"/>
      <c r="AO96" s="372"/>
      <c r="AP96" s="372"/>
      <c r="AS96" s="372"/>
      <c r="AT96" s="372"/>
      <c r="AU96" s="372"/>
      <c r="AV96" s="372"/>
      <c r="AW96" s="372"/>
      <c r="AX96" s="372"/>
      <c r="AY96" s="372"/>
      <c r="AZ96" s="372"/>
      <c r="BA96" s="372"/>
      <c r="BB96" s="372"/>
      <c r="BC96" s="372"/>
      <c r="BD96" s="372"/>
      <c r="BE96" s="372"/>
    </row>
    <row r="97" spans="16:57" x14ac:dyDescent="0.2">
      <c r="P97" s="372"/>
      <c r="Q97" s="372"/>
      <c r="R97" s="372"/>
      <c r="S97" s="372"/>
      <c r="T97" s="372"/>
      <c r="U97" s="372"/>
      <c r="V97" s="372"/>
      <c r="W97" s="372"/>
      <c r="X97" s="372"/>
      <c r="Y97" s="372"/>
      <c r="Z97" s="372"/>
      <c r="AA97" s="372"/>
      <c r="AB97" s="372"/>
      <c r="AC97" s="372"/>
      <c r="AD97" s="372"/>
      <c r="AE97" s="372"/>
      <c r="AF97" s="372"/>
      <c r="AG97" s="372"/>
      <c r="AH97" s="372"/>
      <c r="AI97" s="372"/>
      <c r="AJ97" s="372"/>
      <c r="AK97" s="372"/>
      <c r="AL97" s="372"/>
      <c r="AM97" s="372"/>
      <c r="AN97" s="372"/>
      <c r="AO97" s="372"/>
      <c r="AP97" s="372"/>
      <c r="AS97" s="372"/>
      <c r="AT97" s="372"/>
      <c r="AU97" s="372"/>
      <c r="AV97" s="372"/>
      <c r="AW97" s="372"/>
      <c r="AX97" s="372"/>
      <c r="AY97" s="372"/>
      <c r="AZ97" s="372"/>
      <c r="BA97" s="372"/>
      <c r="BB97" s="372"/>
      <c r="BC97" s="372"/>
      <c r="BD97" s="372"/>
      <c r="BE97" s="372"/>
    </row>
    <row r="98" spans="16:57" x14ac:dyDescent="0.2">
      <c r="P98" s="372"/>
      <c r="Q98" s="372"/>
      <c r="R98" s="372"/>
      <c r="S98" s="372"/>
      <c r="T98" s="372"/>
      <c r="U98" s="372"/>
      <c r="V98" s="372"/>
      <c r="W98" s="372"/>
      <c r="X98" s="372"/>
      <c r="Y98" s="372"/>
      <c r="Z98" s="372"/>
      <c r="AA98" s="372"/>
      <c r="AB98" s="372"/>
      <c r="AC98" s="372"/>
      <c r="AD98" s="372"/>
      <c r="AE98" s="372"/>
      <c r="AF98" s="372"/>
      <c r="AG98" s="372"/>
      <c r="AH98" s="372"/>
      <c r="AI98" s="372"/>
      <c r="AJ98" s="372"/>
      <c r="AK98" s="372"/>
      <c r="AL98" s="372"/>
      <c r="AM98" s="372"/>
      <c r="AN98" s="372"/>
      <c r="AO98" s="372"/>
      <c r="AP98" s="372"/>
      <c r="AS98" s="372"/>
      <c r="AT98" s="372"/>
      <c r="AU98" s="372"/>
      <c r="AV98" s="372"/>
      <c r="AW98" s="372"/>
      <c r="AX98" s="372"/>
      <c r="AY98" s="372"/>
      <c r="AZ98" s="372"/>
      <c r="BA98" s="372"/>
      <c r="BB98" s="372"/>
      <c r="BC98" s="372"/>
      <c r="BD98" s="372"/>
      <c r="BE98" s="372"/>
    </row>
    <row r="99" spans="16:57" x14ac:dyDescent="0.2">
      <c r="P99" s="372"/>
      <c r="Q99" s="372"/>
      <c r="R99" s="372"/>
      <c r="S99" s="372"/>
      <c r="T99" s="372"/>
      <c r="U99" s="372"/>
      <c r="V99" s="372"/>
      <c r="W99" s="372"/>
      <c r="X99" s="372"/>
      <c r="Y99" s="372"/>
      <c r="Z99" s="372"/>
      <c r="AA99" s="372"/>
      <c r="AB99" s="372"/>
      <c r="AC99" s="372"/>
      <c r="AD99" s="372"/>
      <c r="AE99" s="372"/>
      <c r="AF99" s="372"/>
      <c r="AG99" s="372"/>
      <c r="AH99" s="372"/>
      <c r="AI99" s="372"/>
      <c r="AJ99" s="372"/>
      <c r="AK99" s="372"/>
      <c r="AL99" s="372"/>
      <c r="AM99" s="372"/>
      <c r="AN99" s="372"/>
      <c r="AO99" s="372"/>
      <c r="AP99" s="372"/>
      <c r="AS99" s="372"/>
      <c r="AT99" s="372"/>
      <c r="AU99" s="372"/>
      <c r="AV99" s="372"/>
      <c r="AW99" s="372"/>
      <c r="AX99" s="372"/>
      <c r="AY99" s="372"/>
      <c r="AZ99" s="372"/>
      <c r="BA99" s="372"/>
      <c r="BB99" s="372"/>
      <c r="BC99" s="372"/>
      <c r="BD99" s="372"/>
      <c r="BE99" s="372"/>
    </row>
    <row r="100" spans="16:57" x14ac:dyDescent="0.2">
      <c r="P100" s="372"/>
      <c r="Q100" s="372"/>
      <c r="R100" s="372"/>
      <c r="S100" s="372"/>
      <c r="T100" s="372"/>
      <c r="U100" s="372"/>
      <c r="V100" s="372"/>
      <c r="W100" s="372"/>
      <c r="X100" s="372"/>
      <c r="Y100" s="372"/>
      <c r="Z100" s="372"/>
      <c r="AA100" s="372"/>
      <c r="AB100" s="372"/>
      <c r="AC100" s="372"/>
      <c r="AD100" s="372"/>
      <c r="AE100" s="372"/>
      <c r="AF100" s="372"/>
      <c r="AG100" s="372"/>
      <c r="AH100" s="372"/>
      <c r="AI100" s="372"/>
      <c r="AJ100" s="372"/>
      <c r="AK100" s="372"/>
      <c r="AL100" s="372"/>
      <c r="AM100" s="372"/>
      <c r="AN100" s="372"/>
      <c r="AO100" s="372"/>
      <c r="AP100" s="372"/>
      <c r="AS100" s="372"/>
      <c r="AT100" s="372"/>
      <c r="AU100" s="372"/>
      <c r="AV100" s="372"/>
      <c r="AW100" s="372"/>
      <c r="AX100" s="372"/>
      <c r="AY100" s="372"/>
      <c r="AZ100" s="372"/>
      <c r="BA100" s="372"/>
      <c r="BB100" s="372"/>
      <c r="BC100" s="372"/>
      <c r="BD100" s="372"/>
      <c r="BE100" s="372"/>
    </row>
  </sheetData>
  <mergeCells count="38">
    <mergeCell ref="B80:G81"/>
    <mergeCell ref="J80:N80"/>
    <mergeCell ref="J81:N81"/>
    <mergeCell ref="P52:Q52"/>
    <mergeCell ref="AB52:AC52"/>
    <mergeCell ref="P53:Q53"/>
    <mergeCell ref="AB53:AC53"/>
    <mergeCell ref="B56:G56"/>
    <mergeCell ref="H56:N56"/>
    <mergeCell ref="AB56:AK56"/>
    <mergeCell ref="AB60:AK60"/>
    <mergeCell ref="D11:L11"/>
    <mergeCell ref="M11:R11"/>
    <mergeCell ref="P51:Q51"/>
    <mergeCell ref="AB51:AC51"/>
    <mergeCell ref="W34:AN34"/>
    <mergeCell ref="W36:Y36"/>
    <mergeCell ref="D44:R44"/>
    <mergeCell ref="AI48:AN48"/>
    <mergeCell ref="AB49:AC49"/>
    <mergeCell ref="AB50:AC50"/>
    <mergeCell ref="W43:X43"/>
    <mergeCell ref="AB36:AD36"/>
    <mergeCell ref="AI49:AN53"/>
    <mergeCell ref="C3:F3"/>
    <mergeCell ref="G3:H3"/>
    <mergeCell ref="J3:M3"/>
    <mergeCell ref="O3:S3"/>
    <mergeCell ref="W3:AN3"/>
    <mergeCell ref="D5:E5"/>
    <mergeCell ref="G5:H5"/>
    <mergeCell ref="J5:K9"/>
    <mergeCell ref="O5:S5"/>
    <mergeCell ref="C6:C7"/>
    <mergeCell ref="O6:S9"/>
    <mergeCell ref="C8:C9"/>
    <mergeCell ref="D8:D9"/>
    <mergeCell ref="E8:E9"/>
  </mergeCells>
  <phoneticPr fontId="15" type="noConversion"/>
  <dataValidations count="10">
    <dataValidation type="list" allowBlank="1" showInputMessage="1" showErrorMessage="1" sqref="D22:D43 D13:D20" xr:uid="{6CEEFFDA-BBEE-45B7-BE03-05C811A5515D}">
      <formula1>Equipment</formula1>
    </dataValidation>
    <dataValidation type="list" allowBlank="1" showInputMessage="1" showErrorMessage="1" sqref="E22:E43 E13:E20" xr:uid="{5023C878-8225-470D-9F08-A16A7EC64789}">
      <formula1>INDIRECT(SUBSTITUTE($D13," ",""))</formula1>
    </dataValidation>
    <dataValidation type="list" allowBlank="1" showInputMessage="1" showErrorMessage="1" sqref="E8:E9" xr:uid="{969C639A-4C1C-4294-8F08-C441DCE2FBD5}">
      <formula1>Case</formula1>
    </dataValidation>
    <dataValidation type="list" allowBlank="1" showInputMessage="1" showErrorMessage="1" sqref="E21" xr:uid="{204C3592-BE96-4B6B-8F7B-89942B7CA98F}">
      <formula1>INDIRECT(SUBSTITUTE($D22," ",""))</formula1>
    </dataValidation>
    <dataValidation type="list" allowBlank="1" showInputMessage="1" showErrorMessage="1" sqref="I13:I43" xr:uid="{9AECE18A-CD1C-4B6C-88A7-9B38C3555F2B}">
      <formula1>INDIRECT(IF($D13="Heat Exchanger",SUBSTITUTE($D13," ","")&amp;"_"&amp;SUBSTITUTE(SUBSTITUTE($E13,",","")," ","")&amp;"_Material",SUBSTITUTE($D13," ","")&amp;"_Material"))</formula1>
    </dataValidation>
    <dataValidation type="list" allowBlank="1" showInputMessage="1" showErrorMessage="1" sqref="H46:H51" xr:uid="{A75B6768-2B35-49AF-9F1B-C194899D2F08}">
      <formula1>Location</formula1>
    </dataValidation>
    <dataValidation type="list" allowBlank="1" showInputMessage="1" showErrorMessage="1" sqref="G46:G51" xr:uid="{36EC3A94-DFCC-4D31-8AD7-26FF3423D1C1}">
      <formula1>Year</formula1>
    </dataValidation>
    <dataValidation type="list" allowBlank="1" showInputMessage="1" showErrorMessage="1" sqref="F46:F51" xr:uid="{C50AD878-7A14-485A-A4E1-85E450E48792}">
      <formula1>Currency</formula1>
    </dataValidation>
    <dataValidation type="list" allowBlank="1" showInputMessage="1" showErrorMessage="1" sqref="B54" xr:uid="{C76795DF-7EE8-4D0C-8E08-87831B66CD09}">
      <formula1>Construction</formula1>
    </dataValidation>
    <dataValidation type="list" allowBlank="1" showInputMessage="1" showErrorMessage="1" sqref="B53" xr:uid="{E033713E-FCC6-4DF7-B883-B3AC888B1DE2}">
      <formula1>Lifetime</formula1>
    </dataValidation>
  </dataValidations>
  <pageMargins left="0.7" right="0.7" top="0.75" bottom="0.75" header="0.3" footer="0.3"/>
  <pageSetup paperSize="9" orientation="portrait" verticalDpi="1200" r:id="rId1"/>
  <ignoredErrors>
    <ignoredError sqref="T23:T43 T20:T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Plant">
                <anchor moveWithCells="1" sizeWithCells="1">
                  <from>
                    <xdr:col>2</xdr:col>
                    <xdr:colOff>63500</xdr:colOff>
                    <xdr:row>7</xdr:row>
                    <xdr:rowOff>25400</xdr:rowOff>
                  </from>
                  <to>
                    <xdr:col>2</xdr:col>
                    <xdr:colOff>1320800</xdr:colOff>
                    <xdr:row>8</xdr:row>
                    <xdr:rowOff>177800</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25" zoomScaleNormal="25" workbookViewId="0">
      <selection activeCell="Y54" sqref="Y54"/>
    </sheetView>
  </sheetViews>
  <sheetFormatPr baseColWidth="10" defaultColWidth="11.1640625" defaultRowHeight="15" x14ac:dyDescent="0.2"/>
  <cols>
    <col min="1" max="2" width="3.33203125" customWidth="1"/>
    <col min="3" max="19" width="19.6640625" customWidth="1"/>
    <col min="20" max="22" width="4" customWidth="1"/>
    <col min="23" max="40" width="12.83203125" customWidth="1"/>
    <col min="41" max="41" width="3.1640625" customWidth="1"/>
    <col min="43" max="43" width="11.1640625" style="372"/>
    <col min="44" max="44" width="11.1640625" style="372" customWidth="1"/>
  </cols>
  <sheetData>
    <row r="1" spans="1:44" ht="16.25" customHeight="1" x14ac:dyDescent="0.2">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15"/>
      <c r="AR1" s="371"/>
    </row>
    <row r="2" spans="1:44" ht="16.25" customHeight="1" x14ac:dyDescent="0.2">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15"/>
      <c r="AR2" s="371"/>
    </row>
    <row r="3" spans="1:44" ht="16.25" customHeight="1" x14ac:dyDescent="0.2">
      <c r="A3" s="83"/>
      <c r="B3" s="103"/>
      <c r="C3" s="917" t="s">
        <v>140</v>
      </c>
      <c r="D3" s="918"/>
      <c r="E3" s="918"/>
      <c r="F3" s="918"/>
      <c r="G3" s="917" t="s">
        <v>141</v>
      </c>
      <c r="H3" s="919"/>
      <c r="J3" s="917" t="s">
        <v>142</v>
      </c>
      <c r="K3" s="918"/>
      <c r="L3" s="918"/>
      <c r="M3" s="919"/>
      <c r="N3" s="186"/>
      <c r="O3" s="917" t="str">
        <f>+E6</f>
        <v>N2 Purification</v>
      </c>
      <c r="P3" s="918"/>
      <c r="Q3" s="918"/>
      <c r="R3" s="918"/>
      <c r="S3" s="919"/>
      <c r="T3" s="104"/>
      <c r="U3" s="104"/>
      <c r="V3" s="83"/>
      <c r="W3" s="970" t="str">
        <f>+E6&amp;" Diagram"</f>
        <v>N2 Purification Diagram</v>
      </c>
      <c r="X3" s="971"/>
      <c r="Y3" s="971"/>
      <c r="Z3" s="971"/>
      <c r="AA3" s="971"/>
      <c r="AB3" s="971"/>
      <c r="AC3" s="971"/>
      <c r="AD3" s="971"/>
      <c r="AE3" s="971"/>
      <c r="AF3" s="971"/>
      <c r="AG3" s="971"/>
      <c r="AH3" s="971"/>
      <c r="AI3" s="971"/>
      <c r="AJ3" s="971"/>
      <c r="AK3" s="971"/>
      <c r="AL3" s="971"/>
      <c r="AM3" s="971"/>
      <c r="AN3" s="972"/>
      <c r="AO3" s="104"/>
      <c r="AP3" s="83"/>
      <c r="AQ3" s="215"/>
      <c r="AR3" s="371"/>
    </row>
    <row r="4" spans="1:44" ht="16.25" customHeight="1" x14ac:dyDescent="0.2">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15"/>
      <c r="AR4" s="371"/>
    </row>
    <row r="5" spans="1:44" ht="16.25" customHeight="1" x14ac:dyDescent="0.2">
      <c r="A5" s="83"/>
      <c r="B5" s="103"/>
      <c r="C5" s="83"/>
      <c r="D5" s="920" t="s">
        <v>143</v>
      </c>
      <c r="E5" s="921"/>
      <c r="F5" s="83"/>
      <c r="G5" s="920" t="s">
        <v>40</v>
      </c>
      <c r="H5" s="921"/>
      <c r="J5" s="973"/>
      <c r="K5" s="974"/>
      <c r="L5" s="190" t="s">
        <v>144</v>
      </c>
      <c r="M5" s="191" t="s">
        <v>145</v>
      </c>
      <c r="N5" s="394"/>
      <c r="O5" s="833" t="s">
        <v>82</v>
      </c>
      <c r="P5" s="834"/>
      <c r="Q5" s="834"/>
      <c r="R5" s="834"/>
      <c r="S5" s="835"/>
      <c r="T5" s="104"/>
      <c r="U5" s="104"/>
      <c r="V5" s="83"/>
      <c r="W5" s="83"/>
      <c r="X5" s="83"/>
      <c r="Y5" s="83"/>
      <c r="Z5" s="83"/>
      <c r="AA5" s="83"/>
      <c r="AB5" s="83"/>
      <c r="AC5" s="83"/>
      <c r="AD5" s="83"/>
      <c r="AE5" s="83"/>
      <c r="AF5" s="83"/>
      <c r="AG5" s="83"/>
      <c r="AH5" s="83"/>
      <c r="AI5" s="83"/>
      <c r="AJ5" s="83"/>
      <c r="AK5" s="83"/>
      <c r="AL5" s="83"/>
      <c r="AM5" s="83"/>
      <c r="AN5" s="83"/>
      <c r="AO5" s="104"/>
      <c r="AP5" s="83"/>
      <c r="AQ5" s="215"/>
      <c r="AR5" s="371"/>
    </row>
    <row r="6" spans="1:44" ht="16.25" customHeight="1" x14ac:dyDescent="0.2">
      <c r="A6" s="83"/>
      <c r="B6" s="103"/>
      <c r="C6" s="979" t="s">
        <v>146</v>
      </c>
      <c r="D6" s="242" t="s">
        <v>147</v>
      </c>
      <c r="E6" s="409" t="str">
        <f>+'Plant Overview'!V39</f>
        <v>N2 Purification</v>
      </c>
      <c r="F6" s="83"/>
      <c r="G6" s="85"/>
      <c r="H6" s="324" t="s">
        <v>43</v>
      </c>
      <c r="J6" s="975"/>
      <c r="K6" s="976"/>
      <c r="L6" s="169" t="s">
        <v>148</v>
      </c>
      <c r="M6" s="86" t="s">
        <v>149</v>
      </c>
      <c r="N6" s="394"/>
      <c r="O6" s="488"/>
      <c r="P6" s="394"/>
      <c r="Q6" s="394"/>
      <c r="R6" s="394"/>
      <c r="S6" s="489"/>
      <c r="T6" s="104"/>
      <c r="U6" s="104"/>
      <c r="V6" s="83"/>
      <c r="W6" s="83"/>
      <c r="X6" s="83"/>
      <c r="Y6" s="83"/>
      <c r="Z6" s="83"/>
      <c r="AA6" s="83"/>
      <c r="AB6" s="83"/>
      <c r="AC6" s="83"/>
      <c r="AD6" s="83"/>
      <c r="AE6" s="83"/>
      <c r="AF6" s="83"/>
      <c r="AG6" s="83"/>
      <c r="AH6" s="83"/>
      <c r="AI6" s="83"/>
      <c r="AJ6" s="83"/>
      <c r="AK6" s="83"/>
      <c r="AL6" s="83"/>
      <c r="AM6" s="83"/>
      <c r="AN6" s="83"/>
      <c r="AO6" s="104"/>
      <c r="AP6" s="83"/>
      <c r="AQ6" s="215"/>
      <c r="AR6" s="371"/>
    </row>
    <row r="7" spans="1:44" ht="16.25" customHeight="1" x14ac:dyDescent="0.2">
      <c r="A7" s="83"/>
      <c r="B7" s="103"/>
      <c r="C7" s="980"/>
      <c r="D7" s="242" t="s">
        <v>150</v>
      </c>
      <c r="E7" s="409" t="str">
        <f>+'Plant Overview'!W39</f>
        <v>U-300</v>
      </c>
      <c r="F7" s="83"/>
      <c r="G7" s="95"/>
      <c r="H7" s="324" t="s">
        <v>49</v>
      </c>
      <c r="J7" s="975"/>
      <c r="K7" s="976"/>
      <c r="L7" s="190" t="s">
        <v>151</v>
      </c>
      <c r="M7" s="191" t="s">
        <v>152</v>
      </c>
      <c r="N7" s="394"/>
      <c r="O7" s="488"/>
      <c r="P7" s="394"/>
      <c r="Q7" s="394"/>
      <c r="R7" s="394"/>
      <c r="S7" s="489"/>
      <c r="T7" s="104"/>
      <c r="U7" s="104"/>
      <c r="V7" s="83"/>
      <c r="W7" s="83"/>
      <c r="X7" s="83"/>
      <c r="Y7" s="83"/>
      <c r="Z7" s="83"/>
      <c r="AA7" s="83"/>
      <c r="AB7" s="83"/>
      <c r="AC7" s="83"/>
      <c r="AD7" s="83"/>
      <c r="AE7" s="83"/>
      <c r="AF7" s="83"/>
      <c r="AG7" s="83"/>
      <c r="AH7" s="83"/>
      <c r="AI7" s="83"/>
      <c r="AJ7" s="83"/>
      <c r="AK7" s="83"/>
      <c r="AL7" s="83"/>
      <c r="AM7" s="83"/>
      <c r="AN7" s="83"/>
      <c r="AO7" s="104"/>
      <c r="AP7" s="83"/>
      <c r="AQ7" s="215"/>
      <c r="AR7" s="371"/>
    </row>
    <row r="8" spans="1:44" ht="16.25" customHeight="1" x14ac:dyDescent="0.2">
      <c r="A8" s="83"/>
      <c r="B8" s="103"/>
      <c r="C8" s="880"/>
      <c r="D8" s="981" t="s">
        <v>153</v>
      </c>
      <c r="E8" s="983" t="s">
        <v>330</v>
      </c>
      <c r="F8" s="83"/>
      <c r="G8" s="94"/>
      <c r="H8" s="98" t="s">
        <v>51</v>
      </c>
      <c r="J8" s="975"/>
      <c r="K8" s="976"/>
      <c r="L8" s="190" t="s">
        <v>155</v>
      </c>
      <c r="M8" s="191" t="s">
        <v>156</v>
      </c>
      <c r="N8" s="394"/>
      <c r="O8" s="488"/>
      <c r="P8" s="394"/>
      <c r="Q8" s="394"/>
      <c r="R8" s="394"/>
      <c r="S8" s="489"/>
      <c r="T8" s="104"/>
      <c r="U8" s="104"/>
      <c r="V8" s="83"/>
      <c r="W8" s="83"/>
      <c r="X8" s="83"/>
      <c r="Y8" s="83"/>
      <c r="Z8" s="83"/>
      <c r="AA8" s="83"/>
      <c r="AB8" s="83"/>
      <c r="AC8" s="83"/>
      <c r="AD8" s="83"/>
      <c r="AE8" s="83"/>
      <c r="AF8" s="83"/>
      <c r="AG8" s="83"/>
      <c r="AH8" s="83"/>
      <c r="AI8" s="83"/>
      <c r="AJ8" s="83"/>
      <c r="AK8" s="83"/>
      <c r="AL8" s="83"/>
      <c r="AM8" s="83"/>
      <c r="AN8" s="83"/>
      <c r="AO8" s="104"/>
      <c r="AP8" s="83"/>
      <c r="AQ8" s="215"/>
      <c r="AR8" s="371"/>
    </row>
    <row r="9" spans="1:44" ht="16.25" customHeight="1" x14ac:dyDescent="0.2">
      <c r="A9" s="83"/>
      <c r="B9" s="103"/>
      <c r="C9" s="881"/>
      <c r="D9" s="982"/>
      <c r="E9" s="984"/>
      <c r="F9" s="83"/>
      <c r="G9" s="108"/>
      <c r="H9" s="310" t="s">
        <v>54</v>
      </c>
      <c r="J9" s="977"/>
      <c r="K9" s="978"/>
      <c r="L9" s="190" t="s">
        <v>157</v>
      </c>
      <c r="M9" s="191" t="s">
        <v>158</v>
      </c>
      <c r="N9" s="394"/>
      <c r="O9" s="490"/>
      <c r="P9" s="491"/>
      <c r="Q9" s="491"/>
      <c r="R9" s="491"/>
      <c r="S9" s="492"/>
      <c r="T9" s="104"/>
      <c r="U9" s="104"/>
      <c r="V9" s="83"/>
      <c r="W9" s="83"/>
      <c r="X9" s="83"/>
      <c r="Y9" s="83"/>
      <c r="Z9" s="83"/>
      <c r="AA9" s="83"/>
      <c r="AB9" s="83"/>
      <c r="AC9" s="83"/>
      <c r="AD9" s="83"/>
      <c r="AE9" s="83"/>
      <c r="AF9" s="83"/>
      <c r="AG9" s="83"/>
      <c r="AH9" s="83"/>
      <c r="AI9" s="83"/>
      <c r="AJ9" s="83"/>
      <c r="AK9" s="83"/>
      <c r="AL9" s="83"/>
      <c r="AM9" s="83"/>
      <c r="AN9" s="83"/>
      <c r="AO9" s="104"/>
      <c r="AP9" s="83"/>
      <c r="AQ9" s="215"/>
      <c r="AR9" s="371"/>
    </row>
    <row r="10" spans="1:44" ht="16.25" customHeight="1" x14ac:dyDescent="0.2">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15"/>
      <c r="AR10" s="371"/>
    </row>
    <row r="11" spans="1:44" ht="16.25" customHeight="1" x14ac:dyDescent="0.2">
      <c r="A11" s="83"/>
      <c r="B11" s="103"/>
      <c r="C11" s="83"/>
      <c r="D11" s="917" t="s">
        <v>159</v>
      </c>
      <c r="E11" s="918"/>
      <c r="F11" s="918"/>
      <c r="G11" s="918"/>
      <c r="H11" s="918"/>
      <c r="I11" s="918"/>
      <c r="J11" s="918"/>
      <c r="K11" s="918"/>
      <c r="L11" s="919"/>
      <c r="M11" s="917" t="s">
        <v>160</v>
      </c>
      <c r="N11" s="918"/>
      <c r="O11" s="918"/>
      <c r="P11" s="918"/>
      <c r="Q11" s="918"/>
      <c r="R11" s="919"/>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15"/>
      <c r="AR11" s="371"/>
    </row>
    <row r="12" spans="1:44" ht="16.25" customHeight="1" x14ac:dyDescent="0.2">
      <c r="A12" s="83"/>
      <c r="B12" s="103"/>
      <c r="C12" s="497" t="s">
        <v>161</v>
      </c>
      <c r="D12" s="572" t="s">
        <v>141</v>
      </c>
      <c r="E12" s="572" t="s">
        <v>162</v>
      </c>
      <c r="F12" s="417" t="s">
        <v>163</v>
      </c>
      <c r="G12" s="417" t="s">
        <v>164</v>
      </c>
      <c r="H12" s="418" t="s">
        <v>75</v>
      </c>
      <c r="I12" s="572" t="s">
        <v>165</v>
      </c>
      <c r="J12" s="569" t="s">
        <v>166</v>
      </c>
      <c r="K12" s="417" t="s">
        <v>167</v>
      </c>
      <c r="L12" s="417" t="s">
        <v>168</v>
      </c>
      <c r="M12" s="420" t="s">
        <v>169</v>
      </c>
      <c r="N12" s="420" t="s">
        <v>170</v>
      </c>
      <c r="O12" s="420" t="s">
        <v>171</v>
      </c>
      <c r="P12" s="420" t="s">
        <v>172</v>
      </c>
      <c r="Q12" s="420" t="s">
        <v>173</v>
      </c>
      <c r="R12" s="419" t="s">
        <v>174</v>
      </c>
      <c r="S12" s="420" t="s">
        <v>175</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15"/>
      <c r="AR12" s="371"/>
    </row>
    <row r="13" spans="1:44" ht="16.25" customHeight="1" x14ac:dyDescent="0.2">
      <c r="A13" s="83"/>
      <c r="B13" s="103"/>
      <c r="C13" s="182" t="str">
        <f>+W39</f>
        <v>E-301</v>
      </c>
      <c r="D13" s="208" t="s">
        <v>194</v>
      </c>
      <c r="E13" s="208" t="s">
        <v>195</v>
      </c>
      <c r="F13" s="96">
        <f>+X39*1000/3600/AF39</f>
        <v>111.37519649053105</v>
      </c>
      <c r="G13" s="96">
        <v>110</v>
      </c>
      <c r="H13" s="96" t="s">
        <v>196</v>
      </c>
      <c r="I13" s="96" t="s">
        <v>331</v>
      </c>
      <c r="J13" s="96" t="str">
        <f>+IF(F13&gt;'Equipment Data'!$L$126,"yes","No")</f>
        <v>No</v>
      </c>
      <c r="K13" s="96">
        <v>0.67</v>
      </c>
      <c r="L13" s="96" t="s">
        <v>198</v>
      </c>
      <c r="M13" s="156">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24494.114931991298</v>
      </c>
      <c r="N13" s="152">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1.408720050708492</v>
      </c>
      <c r="O13" s="96">
        <f>+IF(I13="CS/CS",'Equipment Data'!$C$149,IF(I13="CS/Cu",'Equipment Data'!$D$149,IF(I13="Cu/Cu",'Equipment Data'!$E$149,IF(I13="CS/SS",'Equipment Data'!$F$149,IF(I13="SS/SS",'Equipment Data'!$G$149,IF(I13="CS/Ni",'Equipment Data'!$H$149,IF(I13="Ni/Ni",'Equipment Data'!$I$149,IF(I13="CS/Ti",'Equipment Data'!$J$149,IF(I13="Ti/Ti",'Equipment Data'!$K$149,"N/A")))))))))</f>
        <v>1</v>
      </c>
      <c r="P13" s="152">
        <f>+'Equipment Data'!$I$126+'Equipment Data'!$J$126*N13*O13</f>
        <v>3.9684752841760966</v>
      </c>
      <c r="Q13" s="153">
        <f t="shared" ref="Q13:Q18" si="0">+M13*P13</f>
        <v>97204.289715376144</v>
      </c>
      <c r="R13" s="151">
        <v>1</v>
      </c>
      <c r="S13" s="199">
        <f>+IF(Tabla258790120135[[#This Row],[Equipment]]="","",Q13*R13/10^6)</f>
        <v>9.7204289715376146E-2</v>
      </c>
      <c r="T13" s="587">
        <f ca="1">+$S$52/$R$52*S13</f>
        <v>0.15689486457007903</v>
      </c>
      <c r="U13" s="104"/>
      <c r="V13" s="83"/>
      <c r="W13" s="83"/>
      <c r="X13" s="83"/>
      <c r="Y13" s="83"/>
      <c r="Z13" s="83"/>
      <c r="AA13" s="83"/>
      <c r="AB13" s="83"/>
      <c r="AC13" s="83"/>
      <c r="AD13" s="83"/>
      <c r="AE13" s="83"/>
      <c r="AF13" s="83"/>
      <c r="AG13" s="83"/>
      <c r="AH13" s="83"/>
      <c r="AI13" s="83"/>
      <c r="AJ13" s="83"/>
      <c r="AK13" s="83"/>
      <c r="AL13" s="83"/>
      <c r="AM13" s="83"/>
      <c r="AN13" s="83"/>
      <c r="AO13" s="104"/>
      <c r="AP13" s="83"/>
      <c r="AQ13" s="215"/>
      <c r="AR13" s="371"/>
    </row>
    <row r="14" spans="1:44" ht="16.25" customHeight="1" x14ac:dyDescent="0.2">
      <c r="A14" s="83"/>
      <c r="B14" s="103"/>
      <c r="C14" s="99" t="str">
        <f t="shared" ref="C14:C16" si="1">+W40</f>
        <v>E-302</v>
      </c>
      <c r="D14" s="208" t="s">
        <v>194</v>
      </c>
      <c r="E14" s="208" t="s">
        <v>195</v>
      </c>
      <c r="F14" s="96">
        <f t="shared" ref="F14:F16" si="2">+X40*1000/3600/AF40</f>
        <v>247.32383720423189</v>
      </c>
      <c r="G14" s="96">
        <v>110</v>
      </c>
      <c r="H14" s="96" t="s">
        <v>196</v>
      </c>
      <c r="I14" s="96" t="s">
        <v>331</v>
      </c>
      <c r="J14" s="96" t="str">
        <f>+IF(F14&gt;'Equipment Data'!$L$126,"yes","No")</f>
        <v>No</v>
      </c>
      <c r="K14" s="96">
        <v>0.67</v>
      </c>
      <c r="L14" s="96" t="s">
        <v>198</v>
      </c>
      <c r="M14" s="156">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34312.328352448363</v>
      </c>
      <c r="N14" s="152">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1.408720050708492</v>
      </c>
      <c r="O14" s="96">
        <f>+IF(I14="CS/CS",'Equipment Data'!$C$149,IF(I14="CS/Cu",'Equipment Data'!$D$149,IF(I14="Cu/Cu",'Equipment Data'!$E$149,IF(I14="CS/SS",'Equipment Data'!$F$149,IF(I14="SS/SS",'Equipment Data'!$G$149,IF(I14="CS/Ni",'Equipment Data'!$H$149,IF(I14="Ni/Ni",'Equipment Data'!$I$149,IF(I14="CS/Ti",'Equipment Data'!$J$149,IF(I14="Ti/Ti",'Equipment Data'!$K$149,"N/A")))))))))</f>
        <v>1</v>
      </c>
      <c r="P14" s="152">
        <f>+'Equipment Data'!$I$126+'Equipment Data'!$J$126*N14*O14</f>
        <v>3.9684752841760966</v>
      </c>
      <c r="Q14" s="153">
        <f t="shared" si="0"/>
        <v>136167.62700922607</v>
      </c>
      <c r="R14" s="97">
        <v>1</v>
      </c>
      <c r="S14" s="193">
        <f>+IF(Tabla258790120135[[#This Row],[Equipment]]="","",Q14*R14/10^6)</f>
        <v>0.13616762700922608</v>
      </c>
      <c r="T14" s="587">
        <f t="shared" ref="T14:T43" ca="1" si="3">+$S$52/$R$52*S14</f>
        <v>0.21978455334633368</v>
      </c>
      <c r="U14" s="104"/>
      <c r="V14" s="83"/>
      <c r="W14" s="83"/>
      <c r="X14" s="83"/>
      <c r="Y14" s="83"/>
      <c r="Z14" s="83"/>
      <c r="AA14" s="83"/>
      <c r="AB14" s="83"/>
      <c r="AC14" s="83"/>
      <c r="AD14" s="83"/>
      <c r="AE14" s="83"/>
      <c r="AF14" s="83"/>
      <c r="AG14" s="83"/>
      <c r="AH14" s="83"/>
      <c r="AI14" s="83"/>
      <c r="AJ14" s="83"/>
      <c r="AK14" s="83"/>
      <c r="AL14" s="83"/>
      <c r="AM14" s="83"/>
      <c r="AN14" s="83"/>
      <c r="AO14" s="104"/>
      <c r="AP14" s="83"/>
      <c r="AQ14" s="215"/>
      <c r="AR14" s="371"/>
    </row>
    <row r="15" spans="1:44" ht="16.25" customHeight="1" x14ac:dyDescent="0.2">
      <c r="A15" s="83"/>
      <c r="B15" s="103"/>
      <c r="C15" s="99" t="str">
        <f t="shared" si="1"/>
        <v>C-301</v>
      </c>
      <c r="D15" s="208" t="s">
        <v>194</v>
      </c>
      <c r="E15" s="208" t="s">
        <v>195</v>
      </c>
      <c r="F15" s="96">
        <f t="shared" si="2"/>
        <v>490.70652976732549</v>
      </c>
      <c r="G15" s="96">
        <v>32</v>
      </c>
      <c r="H15" s="96" t="s">
        <v>196</v>
      </c>
      <c r="I15" s="96" t="s">
        <v>331</v>
      </c>
      <c r="J15" s="96" t="str">
        <f>+IF(F15&gt;'Equipment Data'!$L$126,"yes","No")</f>
        <v>No</v>
      </c>
      <c r="K15" s="96">
        <v>0.67</v>
      </c>
      <c r="L15" s="96" t="s">
        <v>289</v>
      </c>
      <c r="M15" s="156">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49258.627192461347</v>
      </c>
      <c r="N15" s="152">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1.0383904360231597</v>
      </c>
      <c r="O15" s="96">
        <f>+IF(I15="CS/CS",'Equipment Data'!$C$149,IF(I15="CS/Cu",'Equipment Data'!$D$149,IF(I15="Cu/Cu",'Equipment Data'!$E$149,IF(I15="CS/SS",'Equipment Data'!$F$149,IF(I15="SS/SS",'Equipment Data'!$G$149,IF(I15="CS/Ni",'Equipment Data'!$H$149,IF(I15="Ni/Ni",'Equipment Data'!$I$149,IF(I15="CS/Ti",'Equipment Data'!$J$149,IF(I15="Ti/Ti",'Equipment Data'!$K$149,"N/A")))))))))</f>
        <v>1</v>
      </c>
      <c r="P15" s="152">
        <f>+'Equipment Data'!$I$126+'Equipment Data'!$J$126*N15*O15</f>
        <v>3.3537281237984446</v>
      </c>
      <c r="Q15" s="153">
        <f t="shared" si="0"/>
        <v>165200.04335506045</v>
      </c>
      <c r="R15" s="97">
        <v>1</v>
      </c>
      <c r="S15" s="193">
        <f>+IF(Tabla258790120135[[#This Row],[Equipment]]="","",Q15*R15/10^6)</f>
        <v>0.16520004335506044</v>
      </c>
      <c r="T15" s="587">
        <f t="shared" ca="1" si="3"/>
        <v>0.2666450061520631</v>
      </c>
      <c r="U15" s="104"/>
      <c r="V15" s="83"/>
      <c r="W15" s="83"/>
      <c r="X15" s="83"/>
      <c r="Y15" s="83"/>
      <c r="Z15" s="83"/>
      <c r="AA15" s="83"/>
      <c r="AB15" s="83"/>
      <c r="AC15" s="83"/>
      <c r="AD15" s="83"/>
      <c r="AE15" s="83"/>
      <c r="AF15" s="83"/>
      <c r="AG15" s="83"/>
      <c r="AH15" s="83"/>
      <c r="AI15" s="83"/>
      <c r="AJ15" s="83"/>
      <c r="AK15" s="83"/>
      <c r="AL15" s="83"/>
      <c r="AM15" s="83"/>
      <c r="AN15" s="83"/>
      <c r="AO15" s="104"/>
      <c r="AP15" s="83"/>
      <c r="AQ15" s="215"/>
      <c r="AR15" s="371"/>
    </row>
    <row r="16" spans="1:44" ht="16.25" customHeight="1" x14ac:dyDescent="0.2">
      <c r="A16" s="83"/>
      <c r="B16" s="103"/>
      <c r="C16" s="99" t="str">
        <f t="shared" si="1"/>
        <v>C-302</v>
      </c>
      <c r="D16" s="208" t="s">
        <v>194</v>
      </c>
      <c r="E16" s="208" t="s">
        <v>195</v>
      </c>
      <c r="F16" s="96">
        <f t="shared" si="2"/>
        <v>192.03147935676378</v>
      </c>
      <c r="G16" s="96">
        <v>32</v>
      </c>
      <c r="H16" s="96" t="s">
        <v>196</v>
      </c>
      <c r="I16" s="96" t="s">
        <v>331</v>
      </c>
      <c r="J16" s="96" t="str">
        <f>+IF(F16&gt;'Equipment Data'!$L$126,"yes","No")</f>
        <v>No</v>
      </c>
      <c r="K16" s="96">
        <v>0.67</v>
      </c>
      <c r="L16" s="96" t="str">
        <f>+L15</f>
        <v>tube only</v>
      </c>
      <c r="M16" s="156">
        <f>+IF(AND(D16="Heat Exchanger",E16="Fixed tube, sheet, or U tube"),IF(F16&lt;'Equipment Data'!$L$126,10^('Equipment Data'!$C$126+'Equipment Data'!$D$126*LOG10(F16)+'Equipment Data'!$E$126*LOG10(F16)*LOG10(F16)),10^('Equipment Data'!$C$126+'Equipment Data'!$D$126*LOG10('Equipment Data'!$L$126)+'Equipment Data'!$E$126*LOG10('Equipment Data'!$L$126)*LOG10('Equipment Data'!$L$126))*(F16/'Equipment Data'!$L$126)^K16),"N/A")</f>
        <v>30533.133889695666</v>
      </c>
      <c r="N16" s="152">
        <f>+IF(L16="","Input: shell and tube / tube only",IF(L16="shell and tube",IF(G16-1&gt;5,10^('Equipment Data'!$F$126+'Equipment Data'!$G$126*LOG10(G16-1.01325)+'Equipment Data'!$H$126*LOG10(G16-1.01325)*LOG10(G16-1.01325)),1),IF(G16-1.01325&gt;5,10^('Equipment Data'!$F$127+'Equipment Data'!$G$127*LOG10(G16-1.01325)+'Equipment Data'!$H$127*LOG10(G16-1.01325)*LOG10(G16-1.01325)),1)))</f>
        <v>1.0383904360231597</v>
      </c>
      <c r="O16" s="96">
        <f>+IF(I16="CS/CS",'Equipment Data'!$C$149,IF(I16="CS/Cu",'Equipment Data'!$D$149,IF(I16="Cu/Cu",'Equipment Data'!$E$149,IF(I16="CS/SS",'Equipment Data'!$F$149,IF(I16="SS/SS",'Equipment Data'!$G$149,IF(I16="CS/Ni",'Equipment Data'!$H$149,IF(I16="Ni/Ni",'Equipment Data'!$I$149,IF(I16="CS/Ti",'Equipment Data'!$J$149,IF(I16="Ti/Ti",'Equipment Data'!$K$149,"N/A")))))))))</f>
        <v>1</v>
      </c>
      <c r="P16" s="152">
        <f>+'Equipment Data'!$I$126+'Equipment Data'!$J$126*N16*O16</f>
        <v>3.3537281237984446</v>
      </c>
      <c r="Q16" s="153">
        <f t="shared" si="0"/>
        <v>102399.82983357576</v>
      </c>
      <c r="R16" s="97">
        <v>1</v>
      </c>
      <c r="S16" s="193">
        <f>+IF(Tabla258790120135[[#This Row],[Equipment]]="","",Q16*R16/10^6)</f>
        <v>0.10239982983357576</v>
      </c>
      <c r="T16" s="587">
        <f t="shared" ca="1" si="3"/>
        <v>0.16528084800352824</v>
      </c>
      <c r="U16" s="104"/>
      <c r="V16" s="83"/>
      <c r="W16" s="83"/>
      <c r="X16" s="83"/>
      <c r="Y16" s="83"/>
      <c r="Z16" s="83"/>
      <c r="AA16" s="83"/>
      <c r="AB16" s="83"/>
      <c r="AC16" s="83"/>
      <c r="AD16" s="83"/>
      <c r="AE16" s="83"/>
      <c r="AF16" s="83"/>
      <c r="AG16" s="83"/>
      <c r="AH16" s="83"/>
      <c r="AI16" s="83"/>
      <c r="AJ16" s="83"/>
      <c r="AK16" s="83"/>
      <c r="AL16" s="83"/>
      <c r="AM16" s="83"/>
      <c r="AN16" s="83"/>
      <c r="AO16" s="104"/>
      <c r="AP16" s="83"/>
      <c r="AQ16" s="215"/>
      <c r="AR16" s="371"/>
    </row>
    <row r="17" spans="1:44" ht="16.25" customHeight="1" x14ac:dyDescent="0.2">
      <c r="A17" s="83"/>
      <c r="B17" s="103"/>
      <c r="C17" s="99" t="s">
        <v>332</v>
      </c>
      <c r="D17" s="208" t="s">
        <v>189</v>
      </c>
      <c r="E17" s="208" t="s">
        <v>190</v>
      </c>
      <c r="F17" s="96">
        <v>2763</v>
      </c>
      <c r="G17" s="96" t="s">
        <v>187</v>
      </c>
      <c r="H17" s="96" t="s">
        <v>186</v>
      </c>
      <c r="I17" s="96" t="s">
        <v>182</v>
      </c>
      <c r="J17" s="96" t="str">
        <f>+IF(F17&gt;'Equipment Data'!$J$19,"yes","No")</f>
        <v>No</v>
      </c>
      <c r="K17" s="96">
        <v>0.67</v>
      </c>
      <c r="L17" s="96" t="s">
        <v>187</v>
      </c>
      <c r="M17" s="156">
        <f>+IF(AND(D17="Compressor",E17="Centrifugal"),IF(F17&lt;'Equipment Data'!$J$19,10^('Equipment Data'!$C$19+'Equipment Data'!$D$19*LOG10(F17)+'Equipment Data'!$E$19*LOG10(F17)*LOG10(F17)),10^('Equipment Data'!$C$19+'Equipment Data'!$D$19*LOG10('Equipment Data'!$J$19)+'Equipment Data'!$E$19*LOG10('Equipment Data'!$J$19)*LOG10('Equipment Data'!$J$19))*(F17/'Equipment Data'!$J$19)^K17),"N/A")</f>
        <v>568156.44802970788</v>
      </c>
      <c r="N17" s="96" t="s">
        <v>187</v>
      </c>
      <c r="O17" s="158" t="s">
        <v>187</v>
      </c>
      <c r="P17" s="152">
        <f>+IF(I17="CS",'Equipment Data'!$F$19,IF(I17="SS",'Equipment Data'!$G$19,IF(I17="Ni",'Equipment Data'!$H$19,"N/A")))</f>
        <v>2.74</v>
      </c>
      <c r="Q17" s="153">
        <f t="shared" si="0"/>
        <v>1556748.6676013998</v>
      </c>
      <c r="R17" s="97">
        <v>1</v>
      </c>
      <c r="S17" s="193">
        <f>+IF(Tabla258790120135[[#This Row],[Equipment]]="","",Q17*R17/10^6)</f>
        <v>1.5567486676013997</v>
      </c>
      <c r="T17" s="587">
        <f t="shared" ca="1" si="3"/>
        <v>2.5127067137484249</v>
      </c>
      <c r="U17" s="104"/>
      <c r="V17" s="83"/>
      <c r="W17" s="83"/>
      <c r="X17" s="83"/>
      <c r="Y17" s="83"/>
      <c r="Z17" s="83"/>
      <c r="AA17" s="83"/>
      <c r="AB17" s="83"/>
      <c r="AC17" s="83"/>
      <c r="AD17" s="83"/>
      <c r="AE17" s="83"/>
      <c r="AF17" s="83"/>
      <c r="AG17" s="83"/>
      <c r="AH17" s="83"/>
      <c r="AI17" s="83"/>
      <c r="AJ17" s="83"/>
      <c r="AK17" s="83"/>
      <c r="AL17" s="83"/>
      <c r="AM17" s="83"/>
      <c r="AN17" s="83"/>
      <c r="AO17" s="104"/>
      <c r="AP17" s="83"/>
      <c r="AQ17" s="215"/>
      <c r="AR17" s="371"/>
    </row>
    <row r="18" spans="1:44" ht="16.25" customHeight="1" x14ac:dyDescent="0.2">
      <c r="A18" s="83"/>
      <c r="B18" s="103"/>
      <c r="C18" s="99" t="s">
        <v>333</v>
      </c>
      <c r="D18" s="208" t="s">
        <v>192</v>
      </c>
      <c r="E18" s="208" t="s">
        <v>193</v>
      </c>
      <c r="F18" s="96">
        <f>+F17</f>
        <v>2763</v>
      </c>
      <c r="G18" s="96" t="s">
        <v>187</v>
      </c>
      <c r="H18" s="96" t="s">
        <v>186</v>
      </c>
      <c r="I18" s="96" t="s">
        <v>187</v>
      </c>
      <c r="J18" s="96" t="str">
        <f>+IF(F18&gt;'Equipment Data'!$H$40,"yes","No")</f>
        <v>yes</v>
      </c>
      <c r="K18" s="96">
        <v>0.67</v>
      </c>
      <c r="L18" s="96" t="s">
        <v>187</v>
      </c>
      <c r="M18" s="156">
        <f>+IF(AND(D18="Drive",E18="Explosion Proof"),IF(F18&lt;'Equipment Data'!$H$40,10^('Equipment Data'!$C$40+'Equipment Data'!$D$40*LOG10(F18)+'Equipment Data'!$E$40*LOG10(F18)*LOG10(F18)),10^('Equipment Data'!$C$40+LOG10('Equipment Data'!$H$40)*'Equipment Data'!$D$40+'Equipment Data'!$E$40*LOG10('Equipment Data'!$H$40)*LOG10('Equipment Data'!$H$40))*(F18/'Equipment Data'!$H$40)^K18),"N/A")</f>
        <v>168828.74896716606</v>
      </c>
      <c r="N18" s="96" t="s">
        <v>187</v>
      </c>
      <c r="O18" s="96" t="s">
        <v>187</v>
      </c>
      <c r="P18" s="152">
        <f>+'Equipment Data'!$F$40</f>
        <v>1.5</v>
      </c>
      <c r="Q18" s="153">
        <f t="shared" si="0"/>
        <v>253243.12345074909</v>
      </c>
      <c r="R18" s="97">
        <v>1</v>
      </c>
      <c r="S18" s="193">
        <f>+IF(Tabla258790120135[[#This Row],[Equipment]]="","",Q18*R18/10^6)</f>
        <v>0.25324312345074906</v>
      </c>
      <c r="T18" s="587">
        <f t="shared" ca="1" si="3"/>
        <v>0.40875300538124337</v>
      </c>
      <c r="U18" s="104"/>
      <c r="V18" s="83"/>
      <c r="W18" s="83"/>
      <c r="X18" s="83"/>
      <c r="Y18" s="83"/>
      <c r="Z18" s="83"/>
      <c r="AA18" s="83"/>
      <c r="AB18" s="83"/>
      <c r="AC18" s="83"/>
      <c r="AD18" s="83"/>
      <c r="AE18" s="83"/>
      <c r="AF18" s="83"/>
      <c r="AG18" s="83"/>
      <c r="AH18" s="83"/>
      <c r="AI18" s="83"/>
      <c r="AJ18" s="83"/>
      <c r="AK18" s="83"/>
      <c r="AL18" s="83"/>
      <c r="AM18" s="83"/>
      <c r="AN18" s="83"/>
      <c r="AO18" s="104"/>
      <c r="AP18" s="83"/>
      <c r="AQ18" s="215"/>
      <c r="AR18" s="371"/>
    </row>
    <row r="19" spans="1:44" ht="16.25" customHeight="1" x14ac:dyDescent="0.2">
      <c r="A19" s="83"/>
      <c r="B19" s="103"/>
      <c r="C19" s="99" t="s">
        <v>334</v>
      </c>
      <c r="D19" s="208" t="s">
        <v>177</v>
      </c>
      <c r="E19" s="208" t="s">
        <v>178</v>
      </c>
      <c r="F19" s="158">
        <f>+AC67</f>
        <v>25.77242306142309</v>
      </c>
      <c r="G19" s="96">
        <v>31</v>
      </c>
      <c r="H19" s="96" t="s">
        <v>179</v>
      </c>
      <c r="I19" s="96" t="s">
        <v>182</v>
      </c>
      <c r="J19" s="96" t="str">
        <f>+IF(F19&gt;'Equipment Data'!$F$239,"yes","No")</f>
        <v>No</v>
      </c>
      <c r="K19" s="96">
        <v>0.67</v>
      </c>
      <c r="L19" s="158">
        <f>+AC66</f>
        <v>2.5410416967825311</v>
      </c>
      <c r="M19" s="156">
        <f>+IF(AND(D19="Vessel",E19="Vertical"),IF(F19&lt;'Equipment Data'!$F$239,10^('Equipment Data'!$B$239+'Equipment Data'!$C$239*LOG10(F19)+'Equipment Data'!$D$239*LOG10(F19)*LOG10(F19)),10^('Equipment Data'!$B$239+'Equipment Data'!$C$239*LOG10('Equipment Data'!$F$239)+'Equipment Data'!$D$239*LOG10('Equipment Data'!$F$239)*LOG10('Equipment Data'!$F$239))*(F19/'Equipment Data'!$F$239)^K19),"N/A")</f>
        <v>22088.95154768266</v>
      </c>
      <c r="N19" s="155">
        <f>+IF(L19="","Input Diameter in m",IF(G19&gt;0.5,IF(((G19*L19)/(2*(850-0.6*G19))+0.00315)/0.0063&lt;1,1,((G19*L19)/(2*(850-0.6*G19))+0.00315)/0.0063),1.25))</f>
        <v>8.0195685037151403</v>
      </c>
      <c r="O19" s="96">
        <f>+IF(I19="CS",'Equipment Data'!$C$247,IF(I19="SS Clad",'Equipment Data'!$C$248,IF(I19="SS",'Equipment Data'!$C$249,IF(I19="Ni Clad",'Equipment Data'!$C$250,IF(I19="Ni",'Equipment Data'!$C$251,IF(I19="Ti Clad",'Equipment Data'!$C$252,IF(I19="Ti",'Equipment Data'!$C$253,"N/A")))))))</f>
        <v>1</v>
      </c>
      <c r="P19" s="153">
        <f>+'Equipment Data'!$C$244+'Equipment Data'!$D$244*N19*O19</f>
        <v>16.845614676761556</v>
      </c>
      <c r="Q19" s="153">
        <f>+M19*P19</f>
        <v>372101.96638591791</v>
      </c>
      <c r="R19" s="97">
        <f>+AC71</f>
        <v>4</v>
      </c>
      <c r="S19" s="193">
        <f>+IF(Tabla258790120135[[#This Row],[Equipment]]="","",Q19*R19/10^6)</f>
        <v>1.4884078655436717</v>
      </c>
      <c r="T19" s="587">
        <f t="shared" ca="1" si="3"/>
        <v>2.4023996386712461</v>
      </c>
      <c r="U19" s="104"/>
      <c r="V19" s="83"/>
      <c r="W19" s="83"/>
      <c r="X19" s="83"/>
      <c r="Y19" s="83"/>
      <c r="Z19" s="83"/>
      <c r="AA19" s="83"/>
      <c r="AB19" s="83"/>
      <c r="AC19" s="83"/>
      <c r="AD19" s="83"/>
      <c r="AE19" s="83"/>
      <c r="AF19" s="83"/>
      <c r="AG19" s="83"/>
      <c r="AH19" s="83"/>
      <c r="AI19" s="83"/>
      <c r="AJ19" s="83"/>
      <c r="AK19" s="83"/>
      <c r="AL19" s="83"/>
      <c r="AM19" s="83"/>
      <c r="AN19" s="83"/>
      <c r="AO19" s="104"/>
      <c r="AP19" s="83"/>
      <c r="AQ19" s="215"/>
      <c r="AR19" s="371"/>
    </row>
    <row r="20" spans="1:44" ht="16.25" customHeight="1" x14ac:dyDescent="0.2">
      <c r="A20" s="83"/>
      <c r="B20" s="103"/>
      <c r="C20" s="99"/>
      <c r="D20" s="208"/>
      <c r="E20" s="208"/>
      <c r="F20" s="152"/>
      <c r="G20" s="96"/>
      <c r="H20" s="96"/>
      <c r="I20" s="96"/>
      <c r="J20" s="96"/>
      <c r="K20" s="96"/>
      <c r="L20" s="96"/>
      <c r="M20" s="156"/>
      <c r="N20" s="152"/>
      <c r="O20" s="96"/>
      <c r="P20" s="152"/>
      <c r="Q20" s="153"/>
      <c r="R20" s="97"/>
      <c r="S20" s="193" t="str">
        <f>+IF(Tabla258790120135[[#This Row],[Equipment]]="","",Q20*R20/10^6)</f>
        <v/>
      </c>
      <c r="T20" s="587" t="e">
        <f t="shared" ca="1" si="3"/>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15"/>
      <c r="AR20" s="371"/>
    </row>
    <row r="21" spans="1:44" ht="16.25" customHeight="1" x14ac:dyDescent="0.2">
      <c r="A21" s="83"/>
      <c r="B21" s="103"/>
      <c r="C21" s="99"/>
      <c r="D21" s="208"/>
      <c r="E21" s="208"/>
      <c r="F21" s="152"/>
      <c r="G21" s="96"/>
      <c r="H21" s="96"/>
      <c r="I21" s="96"/>
      <c r="J21" s="96"/>
      <c r="K21" s="96"/>
      <c r="L21" s="158"/>
      <c r="M21" s="156"/>
      <c r="N21" s="155"/>
      <c r="O21" s="96"/>
      <c r="P21" s="153"/>
      <c r="Q21" s="153"/>
      <c r="R21" s="97"/>
      <c r="S21" s="193" t="str">
        <f>+IF(Tabla258790120135[[#This Row],[Equipment]]="","",Q21*R21/10^6)</f>
        <v/>
      </c>
      <c r="T21" s="587" t="e">
        <f t="shared" ca="1" si="3"/>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15"/>
      <c r="AR21" s="371"/>
    </row>
    <row r="22" spans="1:44" ht="16.25" customHeight="1" x14ac:dyDescent="0.2">
      <c r="A22" s="83"/>
      <c r="B22" s="103"/>
      <c r="C22" s="99"/>
      <c r="D22" s="208"/>
      <c r="E22" s="208"/>
      <c r="F22" s="152"/>
      <c r="G22" s="96"/>
      <c r="H22" s="96"/>
      <c r="I22" s="96"/>
      <c r="J22" s="96"/>
      <c r="K22" s="96"/>
      <c r="L22" s="158"/>
      <c r="M22" s="156"/>
      <c r="N22" s="155"/>
      <c r="O22" s="96"/>
      <c r="P22" s="153"/>
      <c r="Q22" s="153"/>
      <c r="R22" s="97"/>
      <c r="S22" s="193" t="str">
        <f>+IF(Tabla258790120135[[#This Row],[Equipment]]="","",Q22*R22/10^6)</f>
        <v/>
      </c>
      <c r="T22" s="587" t="e">
        <f t="shared" ca="1" si="3"/>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15"/>
      <c r="AR22" s="371"/>
    </row>
    <row r="23" spans="1:44" ht="16.25" customHeight="1" x14ac:dyDescent="0.2">
      <c r="A23" s="83"/>
      <c r="B23" s="103"/>
      <c r="C23" s="99"/>
      <c r="D23" s="208"/>
      <c r="E23" s="208"/>
      <c r="F23" s="152"/>
      <c r="G23" s="96"/>
      <c r="H23" s="96"/>
      <c r="I23" s="96"/>
      <c r="J23" s="96"/>
      <c r="K23" s="96"/>
      <c r="L23" s="96"/>
      <c r="M23" s="156"/>
      <c r="N23" s="96"/>
      <c r="O23" s="152"/>
      <c r="P23" s="96"/>
      <c r="Q23" s="153"/>
      <c r="R23" s="97"/>
      <c r="S23" s="193" t="str">
        <f>+IF(Tabla258790120135[[#This Row],[Equipment]]="","",Q23*R23/10^6)</f>
        <v/>
      </c>
      <c r="T23" s="587" t="e">
        <f t="shared" ca="1" si="3"/>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15"/>
      <c r="AR23" s="371"/>
    </row>
    <row r="24" spans="1:44" ht="16.25" customHeight="1" x14ac:dyDescent="0.2">
      <c r="A24" s="83"/>
      <c r="B24" s="103"/>
      <c r="C24" s="99"/>
      <c r="D24" s="208"/>
      <c r="E24" s="208"/>
      <c r="F24" s="158"/>
      <c r="G24" s="96"/>
      <c r="H24" s="96"/>
      <c r="I24" s="96"/>
      <c r="J24" s="96"/>
      <c r="K24" s="96"/>
      <c r="L24" s="96"/>
      <c r="M24" s="156"/>
      <c r="N24" s="96"/>
      <c r="O24" s="158"/>
      <c r="P24" s="152"/>
      <c r="Q24" s="153"/>
      <c r="R24" s="97"/>
      <c r="S24" s="193" t="str">
        <f>+IF(Tabla258790120135[[#This Row],[Equipment]]="","",Q24*R24/10^6)</f>
        <v/>
      </c>
      <c r="T24" s="587" t="e">
        <f t="shared" ca="1" si="3"/>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15"/>
      <c r="AR24" s="371"/>
    </row>
    <row r="25" spans="1:44" ht="16.25" customHeight="1" x14ac:dyDescent="0.2">
      <c r="A25" s="83"/>
      <c r="B25" s="103"/>
      <c r="C25" s="99"/>
      <c r="D25" s="208"/>
      <c r="E25" s="208"/>
      <c r="F25" s="158"/>
      <c r="G25" s="96"/>
      <c r="H25" s="96"/>
      <c r="I25" s="96"/>
      <c r="J25" s="96"/>
      <c r="K25" s="96"/>
      <c r="L25" s="96"/>
      <c r="M25" s="156"/>
      <c r="N25" s="96"/>
      <c r="O25" s="158"/>
      <c r="P25" s="152"/>
      <c r="Q25" s="153"/>
      <c r="R25" s="97"/>
      <c r="S25" s="193" t="str">
        <f>+IF(Tabla258790120135[[#This Row],[Equipment]]="","",Q25*R25/10^6)</f>
        <v/>
      </c>
      <c r="T25" s="587" t="e">
        <f t="shared" ca="1" si="3"/>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15"/>
      <c r="AR25" s="371"/>
    </row>
    <row r="26" spans="1:44" ht="16.25" customHeight="1" x14ac:dyDescent="0.2">
      <c r="A26" s="83"/>
      <c r="B26" s="103"/>
      <c r="C26" s="99"/>
      <c r="D26" s="208"/>
      <c r="E26" s="208"/>
      <c r="F26" s="152"/>
      <c r="G26" s="96"/>
      <c r="H26" s="96"/>
      <c r="I26" s="96"/>
      <c r="J26" s="96"/>
      <c r="K26" s="96"/>
      <c r="L26" s="96"/>
      <c r="M26" s="156"/>
      <c r="N26" s="152"/>
      <c r="O26" s="96"/>
      <c r="P26" s="152"/>
      <c r="Q26" s="153"/>
      <c r="R26" s="97"/>
      <c r="S26" s="193" t="str">
        <f>+IF(Tabla258790120135[[#This Row],[Equipment]]="","",Q26*R26/10^6)</f>
        <v/>
      </c>
      <c r="T26" s="587" t="e">
        <f t="shared" ca="1" si="3"/>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15"/>
      <c r="AR26" s="371"/>
    </row>
    <row r="27" spans="1:44" ht="16.25" customHeight="1" x14ac:dyDescent="0.2">
      <c r="A27" s="83"/>
      <c r="B27" s="103"/>
      <c r="C27" s="99"/>
      <c r="D27" s="208"/>
      <c r="E27" s="208"/>
      <c r="F27" s="152"/>
      <c r="G27" s="96"/>
      <c r="H27" s="96"/>
      <c r="I27" s="96"/>
      <c r="J27" s="96"/>
      <c r="K27" s="96"/>
      <c r="L27" s="96"/>
      <c r="M27" s="156"/>
      <c r="N27" s="152"/>
      <c r="O27" s="96"/>
      <c r="P27" s="152"/>
      <c r="Q27" s="153"/>
      <c r="R27" s="97"/>
      <c r="S27" s="193" t="str">
        <f>+IF(Tabla258790120135[[#This Row],[Equipment]]="","",Q27*R27/10^6)</f>
        <v/>
      </c>
      <c r="T27" s="587" t="e">
        <f t="shared" ca="1" si="3"/>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15"/>
      <c r="AR27" s="371"/>
    </row>
    <row r="28" spans="1:44" ht="16.25" customHeight="1" x14ac:dyDescent="0.2">
      <c r="A28" s="83"/>
      <c r="B28" s="103"/>
      <c r="C28" s="99"/>
      <c r="D28" s="208"/>
      <c r="E28" s="208"/>
      <c r="F28" s="158"/>
      <c r="G28" s="96"/>
      <c r="H28" s="96"/>
      <c r="I28" s="96"/>
      <c r="J28" s="96"/>
      <c r="K28" s="96"/>
      <c r="L28" s="96"/>
      <c r="M28" s="156"/>
      <c r="N28" s="96"/>
      <c r="O28" s="96"/>
      <c r="P28" s="152"/>
      <c r="Q28" s="153"/>
      <c r="R28" s="97"/>
      <c r="S28" s="193" t="str">
        <f>+IF(Tabla258790120135[[#This Row],[Equipment]]="","",Q28*R28/10^6)</f>
        <v/>
      </c>
      <c r="T28" s="587" t="e">
        <f t="shared" ca="1" si="3"/>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15"/>
      <c r="AR28" s="371"/>
    </row>
    <row r="29" spans="1:44" ht="16.25" customHeight="1" x14ac:dyDescent="0.2">
      <c r="A29" s="83"/>
      <c r="B29" s="103"/>
      <c r="C29" s="99"/>
      <c r="D29" s="208"/>
      <c r="E29" s="208"/>
      <c r="F29" s="158"/>
      <c r="G29" s="96"/>
      <c r="H29" s="96"/>
      <c r="I29" s="96"/>
      <c r="J29" s="96"/>
      <c r="K29" s="96"/>
      <c r="L29" s="96"/>
      <c r="M29" s="156"/>
      <c r="N29" s="96"/>
      <c r="O29" s="96"/>
      <c r="P29" s="152"/>
      <c r="Q29" s="153"/>
      <c r="R29" s="97"/>
      <c r="S29" s="193" t="str">
        <f>+IF(Tabla258790120135[[#This Row],[Equipment]]="","",Q29*R29/10^6)</f>
        <v/>
      </c>
      <c r="T29" s="587" t="e">
        <f t="shared" ca="1" si="3"/>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15"/>
      <c r="AR29" s="371"/>
    </row>
    <row r="30" spans="1:44" ht="16.25" customHeight="1" x14ac:dyDescent="0.2">
      <c r="A30" s="83"/>
      <c r="B30" s="103"/>
      <c r="C30" s="99"/>
      <c r="D30" s="208"/>
      <c r="E30" s="208"/>
      <c r="F30" s="158"/>
      <c r="G30" s="158"/>
      <c r="H30" s="395" t="str">
        <f>IF(Tabla278891121136[[#This Row],[Subtype]]="","",VLOOKUP(Tabla278891121136[[#This Row],[Subtype]],'Unit-X00 Equipment'!$E$13:$H$107,4,FALSE))</f>
        <v/>
      </c>
      <c r="I30" s="96"/>
      <c r="J30" s="96"/>
      <c r="K30" s="96"/>
      <c r="L30" s="96"/>
      <c r="M30" s="234"/>
      <c r="N30" s="158"/>
      <c r="O30" s="158"/>
      <c r="P30" s="158"/>
      <c r="Q30" s="158"/>
      <c r="R30" s="97"/>
      <c r="S30" s="193" t="str">
        <f>+IF(Tabla258790120135[[#This Row],[Equipment]]="","",Q30*R30/10^6)</f>
        <v/>
      </c>
      <c r="T30" s="587" t="e">
        <f t="shared" ca="1" si="3"/>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15"/>
      <c r="AR30" s="371"/>
    </row>
    <row r="31" spans="1:44" ht="16.25" customHeight="1" x14ac:dyDescent="0.2">
      <c r="A31" s="83"/>
      <c r="B31" s="103"/>
      <c r="C31" s="99"/>
      <c r="D31" s="208"/>
      <c r="E31" s="208"/>
      <c r="F31" s="158"/>
      <c r="G31" s="158"/>
      <c r="H31" s="395" t="str">
        <f>IF(Tabla278891121136[[#This Row],[Subtype]]="","",VLOOKUP(Tabla278891121136[[#This Row],[Subtype]],'Unit-X00 Equipment'!$E$13:$H$107,4,FALSE))</f>
        <v/>
      </c>
      <c r="I31" s="96"/>
      <c r="J31" s="96"/>
      <c r="K31" s="96"/>
      <c r="L31" s="96"/>
      <c r="M31" s="234"/>
      <c r="N31" s="158"/>
      <c r="O31" s="158"/>
      <c r="P31" s="158"/>
      <c r="Q31" s="158"/>
      <c r="R31" s="97"/>
      <c r="S31" s="193" t="str">
        <f>+IF(Tabla258790120135[[#This Row],[Equipment]]="","",Q31*R31/10^6)</f>
        <v/>
      </c>
      <c r="T31" s="587" t="e">
        <f t="shared" ca="1" si="3"/>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15"/>
      <c r="AR31" s="371"/>
    </row>
    <row r="32" spans="1:44" ht="16.25" customHeight="1" x14ac:dyDescent="0.2">
      <c r="A32" s="83"/>
      <c r="B32" s="103"/>
      <c r="C32" s="99"/>
      <c r="D32" s="208"/>
      <c r="E32" s="208"/>
      <c r="F32" s="158"/>
      <c r="G32" s="158"/>
      <c r="H32" s="395" t="str">
        <f>IF(Tabla278891121136[[#This Row],[Subtype]]="","",VLOOKUP(Tabla278891121136[[#This Row],[Subtype]],'Unit-X00 Equipment'!$E$13:$H$107,4,FALSE))</f>
        <v/>
      </c>
      <c r="I32" s="96"/>
      <c r="J32" s="96"/>
      <c r="K32" s="96"/>
      <c r="L32" s="96"/>
      <c r="M32" s="156"/>
      <c r="N32" s="96"/>
      <c r="O32" s="96"/>
      <c r="P32" s="152"/>
      <c r="Q32" s="153"/>
      <c r="R32" s="97"/>
      <c r="S32" s="193" t="str">
        <f>+IF(Tabla258790120135[[#This Row],[Equipment]]="","",Q32*R32/10^6)</f>
        <v/>
      </c>
      <c r="T32" s="587" t="e">
        <f t="shared" ca="1" si="3"/>
        <v>#VALUE!</v>
      </c>
      <c r="U32" s="83"/>
      <c r="W32" s="83"/>
      <c r="X32" s="83"/>
      <c r="Y32" s="83"/>
      <c r="Z32" s="83"/>
      <c r="AA32" s="83"/>
      <c r="AB32" s="83"/>
      <c r="AC32" s="83"/>
      <c r="AD32" s="83"/>
      <c r="AE32" s="83"/>
      <c r="AF32" s="83"/>
      <c r="AG32" s="83"/>
      <c r="AH32" s="83"/>
      <c r="AI32" s="83"/>
      <c r="AJ32" s="83"/>
      <c r="AK32" s="83"/>
      <c r="AL32" s="83"/>
      <c r="AM32" s="83"/>
      <c r="AN32" s="83"/>
      <c r="AO32" s="83"/>
      <c r="AP32" s="83"/>
      <c r="AQ32" s="215"/>
      <c r="AR32" s="371"/>
    </row>
    <row r="33" spans="1:44" ht="16.25" customHeight="1" x14ac:dyDescent="0.2">
      <c r="A33" s="83"/>
      <c r="B33" s="103"/>
      <c r="C33" s="99"/>
      <c r="D33" s="208"/>
      <c r="E33" s="208"/>
      <c r="F33" s="158"/>
      <c r="G33" s="158"/>
      <c r="H33" s="395" t="str">
        <f>IF(Tabla278891121136[[#This Row],[Subtype]]="","",VLOOKUP(Tabla278891121136[[#This Row],[Subtype]],'Unit-X00 Equipment'!$E$13:$H$107,4,FALSE))</f>
        <v/>
      </c>
      <c r="I33" s="96"/>
      <c r="J33" s="96"/>
      <c r="K33" s="96"/>
      <c r="L33" s="96"/>
      <c r="M33" s="156"/>
      <c r="N33" s="96"/>
      <c r="O33" s="96"/>
      <c r="P33" s="158"/>
      <c r="Q33" s="153"/>
      <c r="R33" s="97"/>
      <c r="S33" s="193" t="str">
        <f>+IF(Tabla258790120135[[#This Row],[Equipment]]="","",Q33*R33/10^6)</f>
        <v/>
      </c>
      <c r="T33" s="587" t="e">
        <f t="shared" ca="1" si="3"/>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15"/>
      <c r="AR33" s="371"/>
    </row>
    <row r="34" spans="1:44" ht="16.25" customHeight="1" x14ac:dyDescent="0.2">
      <c r="A34" s="83"/>
      <c r="B34" s="103"/>
      <c r="C34" s="363"/>
      <c r="D34" s="208"/>
      <c r="E34" s="208"/>
      <c r="F34" s="158"/>
      <c r="G34" s="158"/>
      <c r="H34" s="395" t="str">
        <f>IF(Tabla278891121136[[#This Row],[Subtype]]="","",VLOOKUP(Tabla278891121136[[#This Row],[Subtype]],'Unit-X00 Equipment'!$E$13:$H$107,4,FALSE))</f>
        <v/>
      </c>
      <c r="I34" s="96"/>
      <c r="J34" s="96"/>
      <c r="K34" s="96"/>
      <c r="L34" s="96"/>
      <c r="M34" s="156"/>
      <c r="N34" s="96"/>
      <c r="O34" s="96"/>
      <c r="P34" s="96"/>
      <c r="Q34" s="153"/>
      <c r="R34" s="97"/>
      <c r="S34" s="193" t="str">
        <f>+IF(Tabla258790120135[[#This Row],[Equipment]]="","",Q34*R34/10^6)</f>
        <v/>
      </c>
      <c r="T34" s="587" t="e">
        <f t="shared" ca="1" si="3"/>
        <v>#VALUE!</v>
      </c>
      <c r="U34" s="83"/>
      <c r="V34" s="112"/>
      <c r="W34" s="914" t="str">
        <f>+E6&amp;" Calculations"</f>
        <v>N2 Purification Calculations</v>
      </c>
      <c r="X34" s="915"/>
      <c r="Y34" s="915"/>
      <c r="Z34" s="915"/>
      <c r="AA34" s="915"/>
      <c r="AB34" s="915"/>
      <c r="AC34" s="915"/>
      <c r="AD34" s="915"/>
      <c r="AE34" s="915"/>
      <c r="AF34" s="915"/>
      <c r="AG34" s="915"/>
      <c r="AH34" s="915"/>
      <c r="AI34" s="915"/>
      <c r="AJ34" s="915"/>
      <c r="AK34" s="915"/>
      <c r="AL34" s="915"/>
      <c r="AM34" s="915"/>
      <c r="AN34" s="916"/>
      <c r="AO34" s="104"/>
      <c r="AP34" s="83"/>
      <c r="AQ34" s="215"/>
      <c r="AR34" s="371"/>
    </row>
    <row r="35" spans="1:44" ht="16.25" customHeight="1" x14ac:dyDescent="0.2">
      <c r="A35" s="83"/>
      <c r="B35" s="103"/>
      <c r="C35" s="363"/>
      <c r="D35" s="208"/>
      <c r="E35" s="208"/>
      <c r="F35" s="158"/>
      <c r="G35" s="158"/>
      <c r="H35" s="395" t="str">
        <f>IF(Tabla278891121136[[#This Row],[Subtype]]="","",VLOOKUP(Tabla278891121136[[#This Row],[Subtype]],'Unit-X00 Equipment'!$E$13:$H$107,4,FALSE))</f>
        <v/>
      </c>
      <c r="I35" s="96"/>
      <c r="J35" s="96"/>
      <c r="K35" s="96"/>
      <c r="L35" s="96"/>
      <c r="M35" s="156"/>
      <c r="N35" s="96"/>
      <c r="O35" s="96"/>
      <c r="P35" s="96"/>
      <c r="Q35" s="153"/>
      <c r="R35" s="97"/>
      <c r="S35" s="193" t="str">
        <f>+IF(Tabla258790120135[[#This Row],[Equipment]]="","",Q35*R35/10^6)</f>
        <v/>
      </c>
      <c r="T35" s="587" t="e">
        <f t="shared" ca="1" si="3"/>
        <v>#VALUE!</v>
      </c>
      <c r="U35" s="83"/>
      <c r="V35" s="311"/>
      <c r="W35" s="320"/>
      <c r="X35" s="320"/>
      <c r="Y35" s="320"/>
      <c r="Z35" s="320"/>
      <c r="AA35" s="320"/>
      <c r="AB35" s="330"/>
      <c r="AC35" s="320"/>
      <c r="AD35" s="320"/>
      <c r="AE35" s="320"/>
      <c r="AF35" s="320"/>
      <c r="AG35" s="320"/>
      <c r="AH35" s="320"/>
      <c r="AI35" s="320"/>
      <c r="AJ35" s="320"/>
      <c r="AK35" s="320"/>
      <c r="AL35" s="320"/>
      <c r="AM35" s="320"/>
      <c r="AN35" s="320"/>
      <c r="AO35" s="104"/>
      <c r="AP35" s="83"/>
      <c r="AQ35" s="215"/>
      <c r="AR35" s="371"/>
    </row>
    <row r="36" spans="1:44" ht="16.25" customHeight="1" x14ac:dyDescent="0.2">
      <c r="A36" s="83"/>
      <c r="B36" s="103"/>
      <c r="C36" s="363"/>
      <c r="D36" s="208"/>
      <c r="E36" s="208"/>
      <c r="F36" s="158"/>
      <c r="G36" s="158"/>
      <c r="H36" s="395" t="str">
        <f>IF(Tabla278891121136[[#This Row],[Subtype]]="","",VLOOKUP(Tabla278891121136[[#This Row],[Subtype]],'Unit-X00 Equipment'!$E$13:$H$107,4,FALSE))</f>
        <v/>
      </c>
      <c r="I36" s="96"/>
      <c r="J36" s="96"/>
      <c r="K36" s="96"/>
      <c r="L36" s="96"/>
      <c r="M36" s="156"/>
      <c r="N36" s="96"/>
      <c r="O36" s="96"/>
      <c r="P36" s="96"/>
      <c r="Q36" s="153"/>
      <c r="R36" s="97"/>
      <c r="S36" s="193" t="str">
        <f>+IF(Tabla258790120135[[#This Row],[Equipment]]="","",Q36*R36/10^6)</f>
        <v/>
      </c>
      <c r="T36" s="587" t="e">
        <f t="shared" ca="1" si="3"/>
        <v>#VALUE!</v>
      </c>
      <c r="U36" s="83"/>
      <c r="V36" s="311"/>
      <c r="W36" s="966" t="s">
        <v>335</v>
      </c>
      <c r="X36" s="996"/>
      <c r="Y36" s="996"/>
      <c r="Z36" s="996"/>
      <c r="AA36" s="996"/>
      <c r="AB36" s="996"/>
      <c r="AC36" s="996"/>
      <c r="AD36" s="996"/>
      <c r="AE36" s="996"/>
      <c r="AF36" s="967"/>
      <c r="AG36" s="667"/>
      <c r="AI36" s="614"/>
      <c r="AJ36" s="614"/>
      <c r="AK36" s="614"/>
      <c r="AL36" s="614"/>
      <c r="AM36" s="614"/>
      <c r="AN36" s="614"/>
      <c r="AO36" s="104"/>
      <c r="AP36" s="83"/>
      <c r="AQ36" s="215"/>
      <c r="AR36" s="371"/>
    </row>
    <row r="37" spans="1:44" ht="16.25" customHeight="1" x14ac:dyDescent="0.2">
      <c r="A37" s="83"/>
      <c r="B37" s="103"/>
      <c r="C37" s="363"/>
      <c r="D37" s="208"/>
      <c r="E37" s="208"/>
      <c r="F37" s="158"/>
      <c r="G37" s="158"/>
      <c r="H37" s="395" t="str">
        <f>IF(Tabla278891121136[[#This Row],[Subtype]]="","",VLOOKUP(Tabla278891121136[[#This Row],[Subtype]],'Unit-X00 Equipment'!$E$13:$H$107,4,FALSE))</f>
        <v/>
      </c>
      <c r="I37" s="96"/>
      <c r="J37" s="96"/>
      <c r="K37" s="96"/>
      <c r="L37" s="96"/>
      <c r="M37" s="156"/>
      <c r="N37" s="96"/>
      <c r="O37" s="96"/>
      <c r="P37" s="96"/>
      <c r="Q37" s="153"/>
      <c r="R37" s="97"/>
      <c r="S37" s="193" t="str">
        <f>+IF(Tabla258790120135[[#This Row],[Equipment]]="","",Q37*R37/10^6)</f>
        <v/>
      </c>
      <c r="T37" s="587" t="e">
        <f t="shared" ca="1" si="3"/>
        <v>#VALUE!</v>
      </c>
      <c r="U37" s="83"/>
      <c r="V37" s="311"/>
      <c r="W37" s="942" t="s">
        <v>336</v>
      </c>
      <c r="X37" s="899"/>
      <c r="Y37" s="900"/>
      <c r="Z37" s="942" t="s">
        <v>200</v>
      </c>
      <c r="AA37" s="900"/>
      <c r="AB37" s="942" t="s">
        <v>201</v>
      </c>
      <c r="AC37" s="900"/>
      <c r="AD37" s="896" t="s">
        <v>337</v>
      </c>
      <c r="AE37" s="897"/>
      <c r="AF37" s="316" t="s">
        <v>202</v>
      </c>
      <c r="AG37" s="96"/>
      <c r="AI37" s="320"/>
      <c r="AJ37" s="320"/>
      <c r="AK37" s="320"/>
      <c r="AL37" s="320"/>
      <c r="AM37" s="320"/>
      <c r="AN37" s="320"/>
      <c r="AO37" s="104"/>
      <c r="AP37" s="83"/>
      <c r="AQ37" s="215"/>
      <c r="AR37" s="371"/>
    </row>
    <row r="38" spans="1:44" ht="16.25" customHeight="1" x14ac:dyDescent="0.2">
      <c r="A38" s="83"/>
      <c r="B38" s="103"/>
      <c r="C38" s="363"/>
      <c r="D38" s="208"/>
      <c r="E38" s="208"/>
      <c r="F38" s="158"/>
      <c r="G38" s="158"/>
      <c r="H38" s="395" t="str">
        <f>IF(Tabla278891121136[[#This Row],[Subtype]]="","",VLOOKUP(Tabla278891121136[[#This Row],[Subtype]],'Unit-X00 Equipment'!$E$13:$H$107,4,FALSE))</f>
        <v/>
      </c>
      <c r="I38" s="96"/>
      <c r="J38" s="96"/>
      <c r="K38" s="96"/>
      <c r="L38" s="96"/>
      <c r="M38" s="156"/>
      <c r="N38" s="96"/>
      <c r="O38" s="96"/>
      <c r="P38" s="96"/>
      <c r="Q38" s="153"/>
      <c r="R38" s="97"/>
      <c r="S38" s="193" t="str">
        <f>+IF(Tabla258790120135[[#This Row],[Equipment]]="","",Q38*R38/10^6)</f>
        <v/>
      </c>
      <c r="T38" s="587" t="e">
        <f t="shared" ca="1" si="3"/>
        <v>#VALUE!</v>
      </c>
      <c r="U38" s="83"/>
      <c r="V38" s="311"/>
      <c r="W38" s="166" t="s">
        <v>203</v>
      </c>
      <c r="X38" s="166" t="s">
        <v>204</v>
      </c>
      <c r="Y38" s="166" t="s">
        <v>205</v>
      </c>
      <c r="Z38" s="641" t="s">
        <v>206</v>
      </c>
      <c r="AA38" s="641" t="s">
        <v>207</v>
      </c>
      <c r="AB38" s="642" t="s">
        <v>206</v>
      </c>
      <c r="AC38" s="641" t="s">
        <v>207</v>
      </c>
      <c r="AD38" s="642" t="s">
        <v>206</v>
      </c>
      <c r="AE38" s="727" t="s">
        <v>207</v>
      </c>
      <c r="AF38" s="166" t="s">
        <v>208</v>
      </c>
      <c r="AG38" s="606"/>
      <c r="AI38" s="320"/>
      <c r="AJ38" s="615"/>
      <c r="AK38" s="615"/>
      <c r="AL38" s="615"/>
      <c r="AM38" s="615"/>
      <c r="AN38" s="320"/>
      <c r="AO38" s="84"/>
      <c r="AP38" s="83"/>
      <c r="AQ38" s="215"/>
      <c r="AR38" s="371"/>
    </row>
    <row r="39" spans="1:44" ht="16.25" customHeight="1" x14ac:dyDescent="0.2">
      <c r="A39" s="83"/>
      <c r="B39" s="103"/>
      <c r="C39" s="92"/>
      <c r="D39" s="209"/>
      <c r="E39" s="209"/>
      <c r="F39" s="588"/>
      <c r="G39" s="588"/>
      <c r="H39" s="395" t="str">
        <f>IF(Tabla278891121136[[#This Row],[Subtype]]="","",VLOOKUP(Tabla278891121136[[#This Row],[Subtype]],'Unit-X00 Equipment'!$E$13:$H$107,4,FALSE))</f>
        <v/>
      </c>
      <c r="M39" s="235"/>
      <c r="Q39" s="236"/>
      <c r="R39" s="84"/>
      <c r="S39" s="193" t="str">
        <f>+IF(Tabla258790120135[[#This Row],[Equipment]]="","",Q39*R39/10^6)</f>
        <v/>
      </c>
      <c r="T39" s="587" t="e">
        <f t="shared" ca="1" si="3"/>
        <v>#VALUE!</v>
      </c>
      <c r="U39" s="83"/>
      <c r="V39" s="311"/>
      <c r="W39" s="700" t="s">
        <v>338</v>
      </c>
      <c r="X39" s="86">
        <v>257662.382765291</v>
      </c>
      <c r="Y39" s="700" t="s">
        <v>213</v>
      </c>
      <c r="Z39" s="713">
        <v>32</v>
      </c>
      <c r="AA39" s="714">
        <f>IF(Z39="Ph. Ch.",$Y$53,IF(Z39="Liquid",$Y$52,$Y$50*Z39^$Y$51))</f>
        <v>452.54833995939038</v>
      </c>
      <c r="AB39" s="714">
        <v>115</v>
      </c>
      <c r="AC39" s="717">
        <f t="shared" ref="AC39:AC41" si="4">IF(AB39="Ph. Ch.",$Y$53,IF(AB39="Liquid",$Y$52,$Y$50*AB39^$Y$51))</f>
        <v>1108.0222451636716</v>
      </c>
      <c r="AD39" s="714"/>
      <c r="AE39" s="717"/>
      <c r="AF39" s="795">
        <f>1/(1/AA39+1/AC39)*Y54</f>
        <v>642.62857760753525</v>
      </c>
      <c r="AG39" s="118"/>
      <c r="AI39" s="616"/>
      <c r="AJ39" s="616"/>
      <c r="AK39" s="616"/>
      <c r="AL39" s="616"/>
      <c r="AM39" s="616"/>
      <c r="AN39" s="320"/>
      <c r="AO39" s="104"/>
      <c r="AP39" s="83"/>
      <c r="AQ39" s="215"/>
      <c r="AR39" s="371"/>
    </row>
    <row r="40" spans="1:44" ht="16.25" customHeight="1" x14ac:dyDescent="0.2">
      <c r="A40" s="83"/>
      <c r="B40" s="103"/>
      <c r="C40" s="92"/>
      <c r="D40" s="209"/>
      <c r="E40" s="209"/>
      <c r="F40" s="588"/>
      <c r="G40" s="588"/>
      <c r="H40" s="395" t="str">
        <f>IF(Tabla278891121136[[#This Row],[Subtype]]="","",VLOOKUP(Tabla278891121136[[#This Row],[Subtype]],'Unit-X00 Equipment'!$E$13:$H$107,4,FALSE))</f>
        <v/>
      </c>
      <c r="M40" s="235"/>
      <c r="Q40" s="236"/>
      <c r="R40" s="84"/>
      <c r="S40" s="193" t="str">
        <f>+IF(Tabla258790120135[[#This Row],[Equipment]]="","",Q40*R40/10^6)</f>
        <v/>
      </c>
      <c r="T40" s="587" t="e">
        <f t="shared" ca="1" si="3"/>
        <v>#VALUE!</v>
      </c>
      <c r="U40" s="83"/>
      <c r="V40" s="311"/>
      <c r="W40" s="700" t="s">
        <v>339</v>
      </c>
      <c r="X40" s="700">
        <v>608582.02553133096</v>
      </c>
      <c r="Y40" s="700" t="s">
        <v>340</v>
      </c>
      <c r="Z40" s="472">
        <v>31</v>
      </c>
      <c r="AA40" s="320">
        <f t="shared" ref="AA40:AA41" si="5">IF(Z40="Ph. Ch.",$Y$53,IF(Z40="Liquid",$Y$52,$Y$50*Z40^$Y$51))</f>
        <v>442.60180122481955</v>
      </c>
      <c r="AB40" s="320" t="s">
        <v>341</v>
      </c>
      <c r="AC40" s="320">
        <f t="shared" si="4"/>
        <v>1500</v>
      </c>
      <c r="AD40" s="320"/>
      <c r="AE40" s="635"/>
      <c r="AF40" s="796">
        <f>1/(1/AA40+1/AC40)*Y54</f>
        <v>683.51908396114493</v>
      </c>
      <c r="AG40" s="320"/>
      <c r="AI40" s="320"/>
      <c r="AJ40" s="320"/>
      <c r="AK40" s="320"/>
      <c r="AL40" s="320"/>
      <c r="AM40" s="320"/>
      <c r="AN40" s="320"/>
      <c r="AO40" s="104"/>
      <c r="AP40" s="83"/>
      <c r="AQ40" s="215"/>
      <c r="AR40" s="371"/>
    </row>
    <row r="41" spans="1:44" ht="16.25" customHeight="1" x14ac:dyDescent="0.2">
      <c r="A41" s="83"/>
      <c r="B41" s="103"/>
      <c r="C41" s="99"/>
      <c r="D41" s="208"/>
      <c r="E41" s="208"/>
      <c r="F41" s="158"/>
      <c r="G41" s="158"/>
      <c r="H41" s="395" t="str">
        <f>IF(Tabla278891121136[[#This Row],[Subtype]]="","",VLOOKUP(Tabla278891121136[[#This Row],[Subtype]],'Unit-X00 Equipment'!$E$13:$H$107,4,FALSE))</f>
        <v/>
      </c>
      <c r="I41" s="96"/>
      <c r="J41" s="96"/>
      <c r="K41" s="96"/>
      <c r="L41" s="96"/>
      <c r="M41" s="156"/>
      <c r="N41" s="96"/>
      <c r="O41" s="96"/>
      <c r="P41" s="152"/>
      <c r="Q41" s="153"/>
      <c r="R41" s="97"/>
      <c r="S41" s="193" t="str">
        <f>+IF(Tabla258790120135[[#This Row],[Equipment]]="","",Q41*R41/10^6)</f>
        <v/>
      </c>
      <c r="T41" s="587" t="e">
        <f t="shared" ca="1" si="3"/>
        <v>#VALUE!</v>
      </c>
      <c r="U41" s="83"/>
      <c r="V41" s="311"/>
      <c r="W41" s="700" t="s">
        <v>342</v>
      </c>
      <c r="X41" s="316">
        <v>593099.84849236999</v>
      </c>
      <c r="Y41" s="700" t="s">
        <v>343</v>
      </c>
      <c r="Z41" s="472">
        <v>30</v>
      </c>
      <c r="AA41" s="320">
        <f t="shared" si="5"/>
        <v>432.55851900520582</v>
      </c>
      <c r="AB41" s="320" t="s">
        <v>265</v>
      </c>
      <c r="AC41" s="391">
        <f t="shared" si="4"/>
        <v>1500</v>
      </c>
      <c r="AD41" s="320"/>
      <c r="AE41" s="635"/>
      <c r="AF41" s="796">
        <f>1/(1/AA41+1/AC41)</f>
        <v>335.74030081210748</v>
      </c>
      <c r="AG41" s="759"/>
      <c r="AI41" s="320"/>
      <c r="AJ41" s="320"/>
      <c r="AK41" s="320"/>
      <c r="AL41" s="320"/>
      <c r="AM41" s="320"/>
      <c r="AN41" s="320"/>
      <c r="AO41" s="104"/>
      <c r="AP41" s="83"/>
      <c r="AQ41" s="215"/>
      <c r="AR41" s="371"/>
    </row>
    <row r="42" spans="1:44" ht="16.25" customHeight="1" x14ac:dyDescent="0.2">
      <c r="A42" s="83"/>
      <c r="B42" s="103"/>
      <c r="C42" s="99"/>
      <c r="D42" s="208"/>
      <c r="E42" s="208"/>
      <c r="F42" s="158"/>
      <c r="G42" s="158"/>
      <c r="H42" s="395" t="str">
        <f>IF(Tabla278891121136[[#This Row],[Subtype]]="","",VLOOKUP(Tabla278891121136[[#This Row],[Subtype]],'Unit-X00 Equipment'!$E$13:$H$107,4,FALSE))</f>
        <v/>
      </c>
      <c r="I42" s="96"/>
      <c r="J42" s="96"/>
      <c r="K42" s="96"/>
      <c r="L42" s="96"/>
      <c r="M42" s="156"/>
      <c r="N42" s="96"/>
      <c r="O42" s="96"/>
      <c r="P42" s="158"/>
      <c r="Q42" s="153"/>
      <c r="R42" s="97"/>
      <c r="S42" s="193" t="str">
        <f>+IF(Tabla258790120135[[#This Row],[Equipment]]="","",Q42*R42/10^6)</f>
        <v/>
      </c>
      <c r="T42" s="587" t="e">
        <f t="shared" ca="1" si="3"/>
        <v>#VALUE!</v>
      </c>
      <c r="U42" s="83"/>
      <c r="V42" s="311"/>
      <c r="W42" s="700" t="s">
        <v>344</v>
      </c>
      <c r="X42" s="316">
        <v>350851.90398455103</v>
      </c>
      <c r="Y42" s="700" t="s">
        <v>343</v>
      </c>
      <c r="Z42" s="473" t="s">
        <v>265</v>
      </c>
      <c r="AA42" s="474">
        <f t="shared" ref="AA42" si="6">IF(Z42="Ph. Ch.",$Y$53,IF(Z42="Liquid",$Y$52,$Y$50*Z42^$Y$51))</f>
        <v>1500</v>
      </c>
      <c r="AB42" s="474">
        <v>68</v>
      </c>
      <c r="AC42" s="718">
        <f t="shared" ref="AC42" si="7">IF(AB42="Ph. Ch.",$Y$53,IF(AB42="Liquid",$Y$52,$Y$50*AB42^$Y$51))</f>
        <v>767.03685245106158</v>
      </c>
      <c r="AD42" s="474"/>
      <c r="AE42" s="794"/>
      <c r="AF42" s="719">
        <f>1/(1/AA42+1/AC42)</f>
        <v>507.51503110002011</v>
      </c>
      <c r="AG42" s="635"/>
      <c r="AI42" s="320"/>
      <c r="AJ42" s="320"/>
      <c r="AK42" s="320"/>
      <c r="AL42" s="320"/>
      <c r="AM42" s="320"/>
      <c r="AN42" s="320"/>
      <c r="AO42" s="104"/>
      <c r="AP42" s="83"/>
      <c r="AQ42" s="215"/>
      <c r="AR42" s="371"/>
    </row>
    <row r="43" spans="1:44" ht="16.25" customHeight="1" x14ac:dyDescent="0.2">
      <c r="A43" s="83"/>
      <c r="B43" s="103"/>
      <c r="C43" s="363"/>
      <c r="D43" s="208"/>
      <c r="E43" s="208"/>
      <c r="F43" s="158"/>
      <c r="G43" s="158"/>
      <c r="H43" s="395" t="str">
        <f>IF(Tabla278891121136[[#This Row],[Subtype]]="","",VLOOKUP(Tabla278891121136[[#This Row],[Subtype]],'Unit-X00 Equipment'!$E$13:$H$107,4,FALSE))</f>
        <v/>
      </c>
      <c r="I43" s="96"/>
      <c r="J43" s="96"/>
      <c r="K43" s="96"/>
      <c r="L43" s="96"/>
      <c r="M43" s="283"/>
      <c r="N43" s="275"/>
      <c r="O43" s="275"/>
      <c r="P43" s="275"/>
      <c r="Q43" s="284"/>
      <c r="R43" s="98"/>
      <c r="S43" s="193" t="str">
        <f>+IF(Tabla258790120135[[#This Row],[Equipment]]="","",Q43*R43/10^6)</f>
        <v/>
      </c>
      <c r="T43" s="587" t="e">
        <f t="shared" ca="1" si="3"/>
        <v>#VALUE!</v>
      </c>
      <c r="U43" s="83"/>
      <c r="V43" s="311"/>
      <c r="AG43" s="635"/>
      <c r="AI43" s="320"/>
      <c r="AJ43" s="320"/>
      <c r="AK43" s="320"/>
      <c r="AL43" s="320"/>
      <c r="AM43" s="320"/>
      <c r="AN43" s="320"/>
      <c r="AO43" s="104"/>
      <c r="AP43" s="83"/>
      <c r="AQ43" s="215"/>
      <c r="AR43" s="371"/>
    </row>
    <row r="44" spans="1:44" ht="16.25" customHeight="1" x14ac:dyDescent="0.2">
      <c r="A44" s="83"/>
      <c r="B44" s="103"/>
      <c r="C44" s="364"/>
      <c r="D44" s="918" t="s">
        <v>220</v>
      </c>
      <c r="E44" s="918"/>
      <c r="F44" s="918"/>
      <c r="G44" s="918"/>
      <c r="H44" s="918"/>
      <c r="I44" s="918"/>
      <c r="J44" s="918"/>
      <c r="K44" s="918"/>
      <c r="L44" s="918"/>
      <c r="M44" s="947"/>
      <c r="N44" s="947"/>
      <c r="O44" s="947"/>
      <c r="P44" s="947"/>
      <c r="Q44" s="947"/>
      <c r="R44" s="947"/>
      <c r="S44" s="180"/>
      <c r="T44" s="587"/>
      <c r="U44" s="83"/>
      <c r="V44" s="311"/>
      <c r="AG44" s="635"/>
      <c r="AI44" s="320"/>
      <c r="AJ44" s="320"/>
      <c r="AK44" s="320"/>
      <c r="AL44" s="320"/>
      <c r="AM44" s="320"/>
      <c r="AN44" s="320"/>
      <c r="AO44" s="104"/>
      <c r="AP44" s="83"/>
      <c r="AQ44" s="215"/>
      <c r="AR44" s="371"/>
    </row>
    <row r="45" spans="1:44" ht="16.25" customHeight="1" x14ac:dyDescent="0.2">
      <c r="A45" s="83"/>
      <c r="B45" s="103"/>
      <c r="C45" s="421" t="s">
        <v>223</v>
      </c>
      <c r="D45" s="415" t="s">
        <v>224</v>
      </c>
      <c r="E45" s="415" t="s">
        <v>225</v>
      </c>
      <c r="F45" s="571" t="s">
        <v>226</v>
      </c>
      <c r="G45" s="571" t="s">
        <v>50</v>
      </c>
      <c r="H45" s="571" t="s">
        <v>227</v>
      </c>
      <c r="I45" s="415" t="s">
        <v>228</v>
      </c>
      <c r="J45" s="415" t="s">
        <v>75</v>
      </c>
      <c r="K45" s="415" t="s">
        <v>155</v>
      </c>
      <c r="L45" s="415" t="s">
        <v>157</v>
      </c>
      <c r="M45" s="422" t="s">
        <v>229</v>
      </c>
      <c r="N45" s="423" t="s">
        <v>230</v>
      </c>
      <c r="O45" s="419" t="s">
        <v>231</v>
      </c>
      <c r="P45" s="415" t="s">
        <v>151</v>
      </c>
      <c r="Q45" s="415" t="s">
        <v>148</v>
      </c>
      <c r="R45" s="420" t="s">
        <v>144</v>
      </c>
      <c r="S45" s="420" t="s">
        <v>232</v>
      </c>
      <c r="T45" s="587"/>
      <c r="U45" s="83"/>
      <c r="V45" s="311"/>
      <c r="AG45" s="635"/>
      <c r="AI45" s="320"/>
      <c r="AJ45" s="320"/>
      <c r="AK45" s="320"/>
      <c r="AL45" s="320"/>
      <c r="AM45" s="320"/>
      <c r="AN45" s="320"/>
      <c r="AO45" s="104"/>
      <c r="AP45" s="83"/>
      <c r="AQ45" s="215"/>
      <c r="AR45" s="371"/>
    </row>
    <row r="46" spans="1:44" ht="16.25" customHeight="1" x14ac:dyDescent="0.2">
      <c r="A46" s="83"/>
      <c r="B46" s="103"/>
      <c r="C46" s="273"/>
      <c r="D46" s="276"/>
      <c r="E46" s="277"/>
      <c r="F46" s="277"/>
      <c r="G46" s="277"/>
      <c r="H46" s="277"/>
      <c r="I46" s="277"/>
      <c r="J46" s="244"/>
      <c r="K46" s="277"/>
      <c r="L46" s="277"/>
      <c r="M46" s="276"/>
      <c r="N46" s="277"/>
      <c r="O46" s="277"/>
      <c r="P46" s="277"/>
      <c r="Q46" s="198"/>
      <c r="R46" s="193" t="str">
        <f t="shared" ref="R46:R50" si="8">IF(ISBLANK(Q46),"",(P46/M46)^K46*O46*((Q46/P46)/(N46/M46))^L46)</f>
        <v/>
      </c>
      <c r="S46" s="193" t="str" cm="1">
        <f t="array" aca="1" ref="S46" ca="1">IF(ISBLANK(Q46),"",IF(R46&gt;0,R46*INDIRECT(ADDRESS(MATCH(G46,'Cost Conversion'!$B$3:$B$48,0)+2,4,1,1,"Cost conversion"))*INDIRECT(ADDRESS(MATCH(H46,'Cost Conversion'!$F$3:$F$22,0)+2,8,1,1,"Cost conversion"))/IF(F46="$",'Cost Conversion'!$L$2,1),0))</f>
        <v/>
      </c>
      <c r="T46" s="607" t="str">
        <f ca="1">+S46</f>
        <v/>
      </c>
      <c r="U46" s="83"/>
      <c r="V46" s="311"/>
      <c r="W46" s="320"/>
      <c r="X46" s="320"/>
      <c r="Y46" s="320"/>
      <c r="Z46" s="320"/>
      <c r="AA46" s="320"/>
      <c r="AB46" s="320"/>
      <c r="AC46" s="391"/>
      <c r="AD46" s="320"/>
      <c r="AE46" s="635"/>
      <c r="AF46" s="320"/>
      <c r="AG46" s="635"/>
      <c r="AH46" s="391"/>
      <c r="AI46" s="320"/>
      <c r="AJ46" s="320"/>
      <c r="AK46" s="320"/>
      <c r="AL46" s="320"/>
      <c r="AM46" s="320"/>
      <c r="AN46" s="320"/>
      <c r="AO46" s="104"/>
      <c r="AP46" s="83"/>
      <c r="AQ46" s="215"/>
      <c r="AR46" s="371"/>
    </row>
    <row r="47" spans="1:44" ht="16.25" customHeight="1" x14ac:dyDescent="0.2">
      <c r="A47" s="83"/>
      <c r="B47" s="103"/>
      <c r="C47" s="273"/>
      <c r="D47" s="273" t="s">
        <v>345</v>
      </c>
      <c r="E47" s="96"/>
      <c r="F47" s="96" t="s">
        <v>236</v>
      </c>
      <c r="G47" s="96">
        <v>2020</v>
      </c>
      <c r="H47" s="96" t="s">
        <v>237</v>
      </c>
      <c r="I47" s="118" t="s">
        <v>238</v>
      </c>
      <c r="J47" s="118" t="s">
        <v>346</v>
      </c>
      <c r="K47" s="96">
        <v>1</v>
      </c>
      <c r="L47" s="96">
        <v>1</v>
      </c>
      <c r="M47" s="273">
        <v>1</v>
      </c>
      <c r="N47" s="96">
        <v>1</v>
      </c>
      <c r="O47" s="96">
        <f>1/10^6</f>
        <v>9.9999999999999995E-7</v>
      </c>
      <c r="P47" s="96">
        <v>1</v>
      </c>
      <c r="Q47" s="158">
        <f>+AC69</f>
        <v>34535.046902306938</v>
      </c>
      <c r="R47" s="193">
        <f t="shared" si="8"/>
        <v>3.4535046902306937E-2</v>
      </c>
      <c r="S47" s="193" cm="1">
        <f t="array" aca="1" ref="S47" ca="1">IF(ISBLANK(Q47),"",IF(R47&gt;0,R47*INDIRECT(ADDRESS(MATCH(G47,'Cost Conversion'!$B$3:$B$48,0)+2,4,1,1,"Cost conversion"))*INDIRECT(ADDRESS(MATCH(H47,'Cost Conversion'!$F$3:$F$22,0)+2,8,1,1,"Cost conversion"))/IF(F47="$",'Cost Conversion'!$L$2,1),0))</f>
        <v>3.4948499158577652E-2</v>
      </c>
      <c r="T47" s="607">
        <f t="shared" ref="T47:T50" ca="1" si="9">+S47</f>
        <v>3.4948499158577652E-2</v>
      </c>
      <c r="U47" s="83"/>
      <c r="V47" s="311"/>
      <c r="W47" s="320"/>
      <c r="X47" s="320"/>
      <c r="Y47" s="320"/>
      <c r="Z47" s="320"/>
      <c r="AA47" s="992"/>
      <c r="AB47" s="992"/>
      <c r="AC47" s="992"/>
      <c r="AD47" s="320"/>
      <c r="AE47" s="635"/>
      <c r="AF47" s="320"/>
      <c r="AG47" s="635"/>
      <c r="AH47" s="391"/>
      <c r="AI47" s="320"/>
      <c r="AJ47" s="320"/>
      <c r="AK47" s="320"/>
      <c r="AL47" s="320"/>
      <c r="AM47" s="320"/>
      <c r="AN47" s="320"/>
      <c r="AO47" s="104"/>
      <c r="AP47" s="83"/>
      <c r="AQ47" s="215"/>
      <c r="AR47" s="371"/>
    </row>
    <row r="48" spans="1:44" ht="16.25" customHeight="1" x14ac:dyDescent="0.2">
      <c r="A48" s="83"/>
      <c r="B48" s="103"/>
      <c r="C48" s="192"/>
      <c r="D48" s="273"/>
      <c r="E48" s="96"/>
      <c r="F48" s="96"/>
      <c r="G48" s="96"/>
      <c r="H48" s="96"/>
      <c r="I48" s="96"/>
      <c r="J48" s="96"/>
      <c r="K48" s="96"/>
      <c r="L48" s="96"/>
      <c r="M48" s="273"/>
      <c r="N48" s="158"/>
      <c r="O48" s="96"/>
      <c r="P48" s="96"/>
      <c r="Q48" s="158"/>
      <c r="R48" s="193" t="str">
        <f t="shared" si="8"/>
        <v/>
      </c>
      <c r="S48" s="193" t="str" cm="1">
        <f t="array" aca="1" ref="S48" ca="1">IF(ISBLANK(Q48),"",IF(R48&gt;0,R48*INDIRECT(ADDRESS(MATCH(G48,'Cost Conversion'!$B$3:$B$48,0)+2,4,1,1,"Cost conversion"))*INDIRECT(ADDRESS(MATCH(H48,'Cost Conversion'!$F$3:$F$22,0)+2,8,1,1,"Cost conversion"))/IF(F48="$",'Cost Conversion'!$L$2,1),0))</f>
        <v/>
      </c>
      <c r="T48" s="607" t="str">
        <f t="shared" ca="1" si="9"/>
        <v/>
      </c>
      <c r="U48" s="83"/>
      <c r="V48" s="103"/>
      <c r="W48" s="320"/>
      <c r="X48" s="320"/>
      <c r="Y48" s="320"/>
      <c r="Z48" s="320"/>
      <c r="AA48" s="118"/>
      <c r="AB48" s="158"/>
      <c r="AC48" s="118"/>
      <c r="AD48" s="320"/>
      <c r="AE48" s="320"/>
      <c r="AF48" s="320"/>
      <c r="AO48" s="104"/>
      <c r="AP48" s="83"/>
      <c r="AQ48" s="215"/>
      <c r="AR48" s="371"/>
    </row>
    <row r="49" spans="1:57" ht="16.25" customHeight="1" x14ac:dyDescent="0.2">
      <c r="A49" s="83"/>
      <c r="B49" s="103"/>
      <c r="C49" s="192"/>
      <c r="D49" s="273"/>
      <c r="E49" s="96"/>
      <c r="F49" s="96"/>
      <c r="G49" s="96"/>
      <c r="H49" s="96"/>
      <c r="I49" s="96"/>
      <c r="J49" s="96"/>
      <c r="K49" s="96"/>
      <c r="L49" s="96"/>
      <c r="M49" s="273"/>
      <c r="N49" s="96"/>
      <c r="O49" s="96"/>
      <c r="P49" s="96"/>
      <c r="Q49" s="152"/>
      <c r="R49" s="193" t="str">
        <f t="shared" si="8"/>
        <v/>
      </c>
      <c r="S49" s="193" t="str" cm="1">
        <f t="array" aca="1" ref="S49" ca="1">IF(ISBLANK(Q49),"",IF(R49&gt;0,R49*INDIRECT(ADDRESS(MATCH(G49,'Cost Conversion'!$B$3:$B$48,0)+2,4,1,1,"Cost conversion"))*INDIRECT(ADDRESS(MATCH(H49,'Cost Conversion'!$F$3:$F$22,0)+2,8,1,1,"Cost conversion"))/IF(F49="$",'Cost Conversion'!$L$2,1),0))</f>
        <v/>
      </c>
      <c r="T49" s="607" t="str">
        <f t="shared" ca="1" si="9"/>
        <v/>
      </c>
      <c r="U49" s="83"/>
      <c r="V49" s="103"/>
      <c r="W49" s="966" t="s">
        <v>250</v>
      </c>
      <c r="X49" s="967"/>
      <c r="Y49" s="316" t="s">
        <v>251</v>
      </c>
      <c r="Z49" s="320"/>
      <c r="AA49" s="320"/>
      <c r="AB49" s="320"/>
      <c r="AC49" s="320"/>
      <c r="AD49" s="320"/>
      <c r="AE49" s="320"/>
      <c r="AF49" s="617"/>
      <c r="AG49" s="716" t="s">
        <v>252</v>
      </c>
      <c r="AH49" s="716" t="s">
        <v>2</v>
      </c>
      <c r="AI49" s="993" t="s">
        <v>82</v>
      </c>
      <c r="AJ49" s="994"/>
      <c r="AK49" s="994"/>
      <c r="AL49" s="994"/>
      <c r="AM49" s="994"/>
      <c r="AN49" s="995"/>
      <c r="AO49" s="104"/>
      <c r="AP49" s="83"/>
      <c r="AQ49" s="215"/>
      <c r="AR49" s="371"/>
    </row>
    <row r="50" spans="1:57" ht="16.25" customHeight="1" x14ac:dyDescent="0.2">
      <c r="A50" s="83"/>
      <c r="B50" s="103"/>
      <c r="C50" s="192"/>
      <c r="D50" s="273"/>
      <c r="E50" s="96"/>
      <c r="F50" s="96"/>
      <c r="G50" s="96"/>
      <c r="H50" s="96"/>
      <c r="I50" s="96"/>
      <c r="J50" s="96"/>
      <c r="K50" s="96"/>
      <c r="L50" s="96"/>
      <c r="M50" s="274"/>
      <c r="N50" s="275"/>
      <c r="O50" s="275"/>
      <c r="P50" s="275"/>
      <c r="Q50" s="275"/>
      <c r="R50" s="193" t="str">
        <f t="shared" si="8"/>
        <v/>
      </c>
      <c r="S50" s="193" t="str" cm="1">
        <f t="array" aca="1" ref="S50" ca="1">IF(ISBLANK(Q50),"",IF(R50&gt;0,R50*INDIRECT(ADDRESS(MATCH(G50,'Cost Conversion'!$B$3:$B$48,0)+2,4,1,1,"Cost conversion"))*INDIRECT(ADDRESS(MATCH(H50,'Cost Conversion'!$F$3:$F$22,0)+2,8,1,1,"Cost conversion"))/IF(F50="$",'Cost Conversion'!$L$2,1),0))</f>
        <v/>
      </c>
      <c r="T50" s="607" t="str">
        <f t="shared" ca="1" si="9"/>
        <v/>
      </c>
      <c r="U50" s="83"/>
      <c r="V50" s="103"/>
      <c r="W50" s="968" t="s">
        <v>255</v>
      </c>
      <c r="X50" s="969"/>
      <c r="Y50" s="532">
        <v>40</v>
      </c>
      <c r="Z50" s="320"/>
      <c r="AA50" s="320"/>
      <c r="AB50" s="320"/>
      <c r="AC50" s="320"/>
      <c r="AD50" s="320"/>
      <c r="AE50" s="320"/>
      <c r="AF50" s="617"/>
      <c r="AG50" s="618"/>
      <c r="AH50" s="619"/>
      <c r="AI50" s="948"/>
      <c r="AJ50" s="949"/>
      <c r="AK50" s="949"/>
      <c r="AL50" s="949"/>
      <c r="AM50" s="949"/>
      <c r="AN50" s="950"/>
      <c r="AO50" s="104"/>
      <c r="AP50" s="83"/>
      <c r="AQ50" s="215"/>
      <c r="AR50" s="371"/>
    </row>
    <row r="51" spans="1:57" ht="16.25" customHeight="1" x14ac:dyDescent="0.2">
      <c r="A51" s="83"/>
      <c r="B51" s="103"/>
      <c r="C51" s="200"/>
      <c r="D51" s="274"/>
      <c r="E51" s="275"/>
      <c r="F51" s="275"/>
      <c r="G51" s="275"/>
      <c r="H51" s="275"/>
      <c r="I51" s="275"/>
      <c r="J51" s="275"/>
      <c r="K51" s="275"/>
      <c r="L51" s="98"/>
      <c r="M51" s="425" t="s">
        <v>272</v>
      </c>
      <c r="N51" s="418" t="s">
        <v>226</v>
      </c>
      <c r="O51" s="570" t="s">
        <v>50</v>
      </c>
      <c r="P51" s="943" t="s">
        <v>47</v>
      </c>
      <c r="Q51" s="944"/>
      <c r="R51" s="420" t="s">
        <v>273</v>
      </c>
      <c r="S51" s="426" t="s">
        <v>274</v>
      </c>
      <c r="T51" s="587"/>
      <c r="U51" s="83"/>
      <c r="V51" s="103"/>
      <c r="W51" s="892" t="s">
        <v>261</v>
      </c>
      <c r="X51" s="894"/>
      <c r="Y51" s="661">
        <v>0.7</v>
      </c>
      <c r="Z51" s="320"/>
      <c r="AA51" s="320"/>
      <c r="AB51" s="320"/>
      <c r="AC51" s="320"/>
      <c r="AD51" s="320"/>
      <c r="AE51" s="320"/>
      <c r="AF51" s="617"/>
      <c r="AG51" s="618"/>
      <c r="AH51" s="619"/>
      <c r="AI51" s="951"/>
      <c r="AJ51" s="952"/>
      <c r="AK51" s="952"/>
      <c r="AL51" s="952"/>
      <c r="AM51" s="952"/>
      <c r="AN51" s="953"/>
      <c r="AO51" s="104"/>
      <c r="AP51" s="83"/>
      <c r="AQ51" s="215"/>
      <c r="AR51" s="371"/>
    </row>
    <row r="52" spans="1:57" ht="16.25" customHeight="1" x14ac:dyDescent="0.2">
      <c r="A52" s="83"/>
      <c r="B52" s="103"/>
      <c r="C52" s="577"/>
      <c r="D52" s="365"/>
      <c r="E52" s="365"/>
      <c r="F52" s="365"/>
      <c r="G52" s="365"/>
      <c r="H52" s="365"/>
      <c r="I52" s="365"/>
      <c r="J52" s="365"/>
      <c r="K52" s="365"/>
      <c r="L52" s="573"/>
      <c r="M52" s="502" t="s">
        <v>276</v>
      </c>
      <c r="N52" s="409" t="s">
        <v>236</v>
      </c>
      <c r="O52" s="475">
        <v>2001</v>
      </c>
      <c r="P52" s="871" t="s">
        <v>237</v>
      </c>
      <c r="Q52" s="873"/>
      <c r="R52" s="427">
        <f>+IF(SUM(S13:S43)&gt;0,IF(G3="Equipment",SUM(S13:S43),"NaN"),"")</f>
        <v>3.7993714465090589</v>
      </c>
      <c r="S52" s="428" cm="1">
        <f t="array" aca="1" ref="S52" ca="1">+IF(R52="","",R52*INDIRECT(ADDRESS(MATCH(O52,'Cost Conversion'!$B$3:$B$48,0)+2,4,1,1,"Cost conversion"))*INDIRECT(ADDRESS(MATCH(P52,'Cost Conversion'!$F$3:$F$22,0)+2,8,1,1,"Cost conversion"))/IF(N52="$",'Cost Conversion'!$L$2,1))</f>
        <v>6.1324646298729188</v>
      </c>
      <c r="T52" s="587"/>
      <c r="U52" s="83"/>
      <c r="V52" s="103"/>
      <c r="W52" s="892" t="s">
        <v>265</v>
      </c>
      <c r="X52" s="894"/>
      <c r="Y52" s="661">
        <v>1500</v>
      </c>
      <c r="Z52" s="320"/>
      <c r="AA52" s="320"/>
      <c r="AB52" s="320"/>
      <c r="AC52" s="320"/>
      <c r="AD52" s="320"/>
      <c r="AE52" s="320"/>
      <c r="AF52" s="617"/>
      <c r="AG52" s="618"/>
      <c r="AH52" s="619"/>
      <c r="AI52" s="951"/>
      <c r="AJ52" s="952"/>
      <c r="AK52" s="952"/>
      <c r="AL52" s="952"/>
      <c r="AM52" s="952"/>
      <c r="AN52" s="953"/>
      <c r="AO52" s="104"/>
      <c r="AP52" s="83"/>
      <c r="AQ52" s="215"/>
      <c r="AR52" s="371"/>
    </row>
    <row r="53" spans="1:57" ht="16.25" customHeight="1" x14ac:dyDescent="0.2">
      <c r="A53" s="83"/>
      <c r="B53" s="103"/>
      <c r="C53" s="574"/>
      <c r="D53" s="575"/>
      <c r="E53" s="575"/>
      <c r="F53" s="575"/>
      <c r="G53" s="575"/>
      <c r="H53" s="575"/>
      <c r="I53" s="575"/>
      <c r="J53" s="575"/>
      <c r="K53" s="575"/>
      <c r="L53" s="576"/>
      <c r="M53" s="409" t="s">
        <v>278</v>
      </c>
      <c r="N53" s="127"/>
      <c r="O53" s="133"/>
      <c r="P53" s="871"/>
      <c r="Q53" s="873"/>
      <c r="R53" s="427" t="s">
        <v>187</v>
      </c>
      <c r="S53" s="428">
        <f ca="1">+IF(SUM(S46:S50)&gt;0,SUM(S46:S50),"")</f>
        <v>3.4948499158577652E-2</v>
      </c>
      <c r="T53" s="587"/>
      <c r="U53" s="83"/>
      <c r="V53" s="103"/>
      <c r="W53" s="892" t="s">
        <v>269</v>
      </c>
      <c r="X53" s="894"/>
      <c r="Y53" s="661">
        <v>5000</v>
      </c>
      <c r="Z53" s="320"/>
      <c r="AA53" s="320"/>
      <c r="AB53" s="808"/>
      <c r="AC53" s="320"/>
      <c r="AD53" s="320"/>
      <c r="AE53" s="320"/>
      <c r="AF53" s="617"/>
      <c r="AG53" s="620"/>
      <c r="AH53" s="621"/>
      <c r="AI53" s="954"/>
      <c r="AJ53" s="955"/>
      <c r="AK53" s="955"/>
      <c r="AL53" s="955"/>
      <c r="AM53" s="955"/>
      <c r="AN53" s="956"/>
      <c r="AO53" s="104"/>
      <c r="AP53" s="83"/>
      <c r="AQ53" s="215"/>
      <c r="AR53" s="371"/>
    </row>
    <row r="54" spans="1:57" ht="16.25" customHeight="1" x14ac:dyDescent="0.2">
      <c r="A54" s="83"/>
      <c r="B54" s="105"/>
      <c r="C54" s="106"/>
      <c r="D54" s="106"/>
      <c r="E54" s="106"/>
      <c r="F54" s="106"/>
      <c r="G54" s="106"/>
      <c r="H54" s="106"/>
      <c r="I54" s="106"/>
      <c r="J54" s="106"/>
      <c r="K54" s="106"/>
      <c r="L54" s="106"/>
      <c r="M54" s="106"/>
      <c r="N54" s="106"/>
      <c r="O54" s="106"/>
      <c r="P54" s="106"/>
      <c r="Q54" s="106"/>
      <c r="R54" s="106"/>
      <c r="S54" s="106"/>
      <c r="T54" s="107"/>
      <c r="U54" s="83"/>
      <c r="V54" s="105"/>
      <c r="W54" s="945" t="s">
        <v>347</v>
      </c>
      <c r="X54" s="946"/>
      <c r="Y54" s="111">
        <v>2</v>
      </c>
      <c r="Z54" s="106"/>
      <c r="AA54" s="106"/>
      <c r="AB54" s="106"/>
      <c r="AC54" s="106"/>
      <c r="AD54" s="106"/>
      <c r="AE54" s="106"/>
      <c r="AF54" s="106"/>
      <c r="AG54" s="106"/>
      <c r="AH54" s="106"/>
      <c r="AI54" s="106"/>
      <c r="AJ54" s="106"/>
      <c r="AK54" s="106"/>
      <c r="AL54" s="106"/>
      <c r="AM54" s="106"/>
      <c r="AN54" s="106"/>
      <c r="AO54" s="107"/>
      <c r="AP54" s="83"/>
      <c r="AQ54" s="215"/>
      <c r="AR54" s="371"/>
    </row>
    <row r="55" spans="1:57" ht="16.25" customHeight="1" x14ac:dyDescent="0.2">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15"/>
      <c r="AR55" s="371"/>
    </row>
    <row r="56" spans="1:57" ht="16.25" customHeight="1" x14ac:dyDescent="0.2">
      <c r="A56" s="83"/>
      <c r="B56" s="917" t="str">
        <f>+"BEC Distribution: "&amp;E6</f>
        <v>BEC Distribution: N2 Purification</v>
      </c>
      <c r="C56" s="918"/>
      <c r="D56" s="918"/>
      <c r="E56" s="918"/>
      <c r="F56" s="918"/>
      <c r="G56" s="919"/>
      <c r="H56" s="917" t="str">
        <f>"Estimate Benchmark: "&amp;E6</f>
        <v>Estimate Benchmark: N2 Purification</v>
      </c>
      <c r="I56" s="918"/>
      <c r="J56" s="918"/>
      <c r="K56" s="918"/>
      <c r="L56" s="918"/>
      <c r="M56" s="918"/>
      <c r="N56" s="919"/>
      <c r="O56" s="83"/>
      <c r="P56" s="83"/>
      <c r="Q56" s="83"/>
      <c r="R56" s="83"/>
      <c r="S56" s="83"/>
      <c r="T56" s="83"/>
      <c r="U56" s="83"/>
      <c r="V56" s="83"/>
      <c r="W56" s="877" t="s">
        <v>319</v>
      </c>
      <c r="X56" s="878"/>
      <c r="Y56" s="878"/>
      <c r="Z56" s="878"/>
      <c r="AA56" s="878"/>
      <c r="AB56" s="878"/>
      <c r="AC56" s="878"/>
      <c r="AD56" s="878"/>
      <c r="AE56" s="878"/>
      <c r="AF56" s="879"/>
      <c r="AG56" s="83"/>
      <c r="AH56" s="83"/>
      <c r="AI56" s="83"/>
      <c r="AJ56" s="83"/>
      <c r="AK56" s="83"/>
      <c r="AL56" s="83"/>
      <c r="AM56" s="83"/>
      <c r="AN56" s="83"/>
      <c r="AO56" s="83"/>
      <c r="AP56" s="83"/>
      <c r="AQ56" s="215"/>
      <c r="AR56" s="371"/>
    </row>
    <row r="57" spans="1:57" ht="16.25" customHeight="1" x14ac:dyDescent="0.2">
      <c r="A57" s="83"/>
      <c r="B57" s="100"/>
      <c r="C57" s="101"/>
      <c r="D57" s="101"/>
      <c r="E57" s="101"/>
      <c r="F57" s="101"/>
      <c r="G57" s="102"/>
      <c r="H57" s="100"/>
      <c r="I57" s="101"/>
      <c r="J57" s="101"/>
      <c r="K57" s="101"/>
      <c r="L57" s="101"/>
      <c r="M57" s="101"/>
      <c r="N57" s="102"/>
      <c r="O57" s="161"/>
      <c r="P57" s="376"/>
      <c r="Q57" s="376"/>
      <c r="R57" s="215"/>
      <c r="S57" s="372"/>
      <c r="T57" s="215"/>
      <c r="U57" s="215"/>
      <c r="V57" s="215"/>
      <c r="W57" s="316" t="s">
        <v>303</v>
      </c>
      <c r="X57" s="316" t="s">
        <v>320</v>
      </c>
      <c r="Y57" s="316" t="s">
        <v>321</v>
      </c>
      <c r="Z57" s="316" t="s">
        <v>322</v>
      </c>
      <c r="AA57" s="316" t="s">
        <v>323</v>
      </c>
      <c r="AB57" s="316" t="s">
        <v>324</v>
      </c>
      <c r="AC57" s="316" t="s">
        <v>325</v>
      </c>
      <c r="AD57" s="249" t="s">
        <v>326</v>
      </c>
      <c r="AE57" s="651" t="s">
        <v>327</v>
      </c>
      <c r="AF57" s="671" t="s">
        <v>328</v>
      </c>
      <c r="AG57" s="215"/>
      <c r="AH57" s="215"/>
      <c r="AI57" s="215"/>
      <c r="AJ57" s="215"/>
      <c r="AK57" s="215"/>
      <c r="AL57" s="215"/>
      <c r="AM57" s="215"/>
      <c r="AN57" s="215"/>
      <c r="AO57" s="215"/>
      <c r="AP57" s="215"/>
      <c r="AQ57" s="215"/>
      <c r="AR57" s="371"/>
      <c r="AS57" s="372"/>
      <c r="AT57" s="372"/>
      <c r="AU57" s="372"/>
      <c r="AV57" s="372"/>
      <c r="AW57" s="372"/>
      <c r="AX57" s="372"/>
      <c r="AY57" s="372"/>
      <c r="AZ57" s="372"/>
      <c r="BA57" s="372"/>
      <c r="BB57" s="372"/>
      <c r="BC57" s="372"/>
      <c r="BD57" s="372"/>
      <c r="BE57" s="372"/>
    </row>
    <row r="58" spans="1:57" ht="16.25" customHeight="1" x14ac:dyDescent="0.2">
      <c r="A58" s="83"/>
      <c r="B58" s="103"/>
      <c r="C58" s="83"/>
      <c r="D58" s="83"/>
      <c r="E58" s="83"/>
      <c r="F58" s="83"/>
      <c r="G58" s="104"/>
      <c r="H58" s="103"/>
      <c r="I58" s="83"/>
      <c r="J58" s="83"/>
      <c r="K58" s="83"/>
      <c r="L58" s="83"/>
      <c r="M58" s="83"/>
      <c r="N58" s="104"/>
      <c r="O58" s="164"/>
      <c r="P58" s="376"/>
      <c r="Q58" s="376"/>
      <c r="R58" s="215"/>
      <c r="S58" s="372"/>
      <c r="T58" s="215"/>
      <c r="U58" s="215"/>
      <c r="V58" s="215"/>
      <c r="W58" s="316" t="s">
        <v>329</v>
      </c>
      <c r="X58" s="648">
        <f>4451.18890829803/3600</f>
        <v>1.2364413634161193</v>
      </c>
      <c r="Y58" s="648">
        <f>41.3268901042978/3600</f>
        <v>1.1479691695638278E-2</v>
      </c>
      <c r="Z58" s="648">
        <v>678.71910900318699</v>
      </c>
      <c r="AA58" s="648">
        <v>30.577715936032899</v>
      </c>
      <c r="AB58" s="249">
        <f>+(AC58*4/PI())^0.5</f>
        <v>3.0898439129214506</v>
      </c>
      <c r="AC58" s="648">
        <f>+X58/(0.035*(Z58/AA58)^0.5)</f>
        <v>7.4983026137501643</v>
      </c>
      <c r="AD58" s="648">
        <f>+AC58*(4*AC58/PI())^0.5</f>
        <v>23.168584688338946</v>
      </c>
      <c r="AE58" s="648">
        <f>600*Y58</f>
        <v>6.8878150173829669</v>
      </c>
      <c r="AF58" s="671">
        <v>23.5</v>
      </c>
      <c r="AG58" s="215"/>
      <c r="AH58" s="215"/>
      <c r="AI58" s="215"/>
      <c r="AJ58" s="215"/>
      <c r="AK58" s="215"/>
      <c r="AL58" s="215"/>
      <c r="AM58" s="215"/>
      <c r="AN58" s="215"/>
      <c r="AO58" s="215"/>
      <c r="AP58" s="215"/>
      <c r="AQ58" s="215"/>
      <c r="AR58" s="371"/>
      <c r="AS58" s="372"/>
      <c r="AT58" s="372"/>
      <c r="AU58" s="372"/>
      <c r="AV58" s="372"/>
      <c r="AW58" s="372"/>
      <c r="AX58" s="372"/>
      <c r="AY58" s="372"/>
      <c r="AZ58" s="372"/>
      <c r="BA58" s="372"/>
      <c r="BB58" s="372"/>
      <c r="BC58" s="372"/>
      <c r="BD58" s="372"/>
      <c r="BE58" s="372"/>
    </row>
    <row r="59" spans="1:57" ht="16.25" customHeight="1" x14ac:dyDescent="0.2">
      <c r="A59" s="83"/>
      <c r="B59" s="103"/>
      <c r="C59" s="83"/>
      <c r="D59" s="83"/>
      <c r="E59" s="83"/>
      <c r="F59" s="83"/>
      <c r="G59" s="104"/>
      <c r="H59" s="103"/>
      <c r="I59" s="83"/>
      <c r="J59" s="83"/>
      <c r="K59" s="83"/>
      <c r="L59" s="83"/>
      <c r="M59" s="83"/>
      <c r="N59" s="104"/>
      <c r="O59" s="160"/>
      <c r="P59" s="215"/>
      <c r="Q59" s="215"/>
      <c r="R59" s="215"/>
      <c r="S59" s="215"/>
      <c r="T59" s="215"/>
      <c r="U59" s="215"/>
      <c r="V59" s="215"/>
      <c r="W59" s="215"/>
      <c r="X59" s="215"/>
      <c r="Y59" s="215"/>
      <c r="Z59" s="215"/>
      <c r="AA59" s="215"/>
      <c r="AB59" s="215"/>
      <c r="AC59" s="215"/>
      <c r="AD59" s="215"/>
      <c r="AE59" s="215"/>
      <c r="AF59" s="215"/>
      <c r="AG59" s="215"/>
      <c r="AH59" s="215"/>
      <c r="AI59" s="215"/>
      <c r="AJ59" s="215"/>
      <c r="AK59" s="215"/>
      <c r="AL59" s="215"/>
      <c r="AM59" s="215"/>
      <c r="AN59" s="215"/>
      <c r="AO59" s="215"/>
      <c r="AP59" s="215"/>
      <c r="AQ59" s="215"/>
      <c r="AR59" s="371"/>
      <c r="AS59" s="372"/>
      <c r="AT59" s="372"/>
      <c r="AU59" s="372"/>
      <c r="AV59" s="372"/>
      <c r="AW59" s="372"/>
      <c r="AX59" s="372"/>
      <c r="AY59" s="372"/>
      <c r="AZ59" s="372"/>
      <c r="BA59" s="372"/>
      <c r="BB59" s="372"/>
      <c r="BC59" s="372"/>
      <c r="BD59" s="372"/>
      <c r="BE59" s="372"/>
    </row>
    <row r="60" spans="1:57" ht="16.25" customHeight="1" x14ac:dyDescent="0.2">
      <c r="A60" s="83"/>
      <c r="B60" s="103"/>
      <c r="C60" s="83"/>
      <c r="D60" s="83"/>
      <c r="E60" s="83"/>
      <c r="F60" s="83"/>
      <c r="G60" s="104"/>
      <c r="H60" s="103"/>
      <c r="I60" s="83"/>
      <c r="J60" s="83"/>
      <c r="K60" s="83"/>
      <c r="L60" s="83"/>
      <c r="M60" s="83"/>
      <c r="N60" s="104"/>
      <c r="O60" s="83"/>
      <c r="P60" s="215"/>
      <c r="Q60" s="215"/>
      <c r="R60" s="215"/>
      <c r="S60" s="215"/>
      <c r="T60" s="215"/>
      <c r="U60" s="215"/>
      <c r="V60" s="372"/>
      <c r="W60" s="1000"/>
      <c r="X60" s="1000"/>
      <c r="Y60" s="1000"/>
      <c r="Z60" s="1000"/>
      <c r="AA60" s="215"/>
      <c r="AB60" s="997" t="s">
        <v>348</v>
      </c>
      <c r="AC60" s="998"/>
      <c r="AD60" s="999"/>
      <c r="AE60" s="721"/>
      <c r="AF60" s="215"/>
      <c r="AG60" s="215"/>
      <c r="AH60" s="215"/>
      <c r="AI60" s="215"/>
      <c r="AJ60" s="215"/>
      <c r="AK60" s="215"/>
      <c r="AL60" s="215"/>
      <c r="AM60" s="215"/>
      <c r="AN60" s="215"/>
      <c r="AO60" s="215"/>
      <c r="AP60" s="215"/>
      <c r="AQ60" s="215"/>
      <c r="AR60" s="371"/>
      <c r="AS60" s="372"/>
      <c r="AT60" s="372"/>
      <c r="AU60" s="372"/>
      <c r="AV60" s="372"/>
      <c r="AW60" s="372"/>
      <c r="AX60" s="372"/>
      <c r="AY60" s="372"/>
      <c r="AZ60" s="372"/>
      <c r="BA60" s="372"/>
      <c r="BB60" s="372"/>
      <c r="BC60" s="372"/>
      <c r="BD60" s="372"/>
      <c r="BE60" s="372"/>
    </row>
    <row r="61" spans="1:57" ht="16.25" customHeight="1" x14ac:dyDescent="0.2">
      <c r="A61" s="83"/>
      <c r="B61" s="103"/>
      <c r="C61" s="83"/>
      <c r="D61" s="83"/>
      <c r="E61" s="83"/>
      <c r="F61" s="83"/>
      <c r="G61" s="104"/>
      <c r="H61" s="103"/>
      <c r="I61" s="83"/>
      <c r="J61" s="83"/>
      <c r="K61" s="83"/>
      <c r="L61" s="83"/>
      <c r="M61" s="83"/>
      <c r="N61" s="104"/>
      <c r="O61" s="83"/>
      <c r="P61" s="215"/>
      <c r="Q61" s="215"/>
      <c r="R61" s="215"/>
      <c r="S61" s="215"/>
      <c r="T61" s="215"/>
      <c r="U61" s="215"/>
      <c r="V61" s="215"/>
      <c r="W61" s="806"/>
      <c r="X61" s="800"/>
      <c r="Y61" s="804"/>
      <c r="Z61" s="803"/>
      <c r="AA61" s="215"/>
      <c r="AB61" s="760" t="s">
        <v>349</v>
      </c>
      <c r="AC61" s="635">
        <f>3012.3117062324/3600</f>
        <v>0.83675325173122217</v>
      </c>
      <c r="AD61" s="97" t="s">
        <v>350</v>
      </c>
      <c r="AE61" s="96"/>
      <c r="AF61" s="215"/>
      <c r="AG61" s="215"/>
      <c r="AH61" s="215"/>
      <c r="AI61" s="215"/>
      <c r="AJ61" s="215"/>
      <c r="AK61" s="215"/>
      <c r="AL61" s="215"/>
      <c r="AM61" s="215"/>
      <c r="AN61" s="215"/>
      <c r="AO61" s="215"/>
      <c r="AP61" s="215"/>
      <c r="AQ61" s="215"/>
      <c r="AR61" s="371"/>
      <c r="AS61" s="372"/>
      <c r="AT61" s="372"/>
      <c r="AU61" s="372"/>
      <c r="AV61" s="372"/>
      <c r="AW61" s="372"/>
      <c r="AX61" s="372"/>
      <c r="AY61" s="372"/>
      <c r="AZ61" s="372"/>
      <c r="BA61" s="372"/>
      <c r="BB61" s="372"/>
      <c r="BC61" s="372"/>
      <c r="BD61" s="372"/>
      <c r="BE61" s="372"/>
    </row>
    <row r="62" spans="1:57" ht="16.25" customHeight="1" x14ac:dyDescent="0.2">
      <c r="A62" s="83"/>
      <c r="B62" s="103"/>
      <c r="C62" s="83"/>
      <c r="D62" s="83"/>
      <c r="E62" s="83"/>
      <c r="F62" s="83"/>
      <c r="G62" s="104"/>
      <c r="H62" s="103"/>
      <c r="I62" s="83"/>
      <c r="J62" s="83"/>
      <c r="K62" s="83"/>
      <c r="L62" s="83"/>
      <c r="M62" s="83"/>
      <c r="N62" s="104"/>
      <c r="O62" s="83"/>
      <c r="P62" s="215"/>
      <c r="Q62" s="215"/>
      <c r="R62" s="215"/>
      <c r="S62" s="215"/>
      <c r="T62" s="376"/>
      <c r="U62" s="215"/>
      <c r="V62" s="215"/>
      <c r="W62" s="804"/>
      <c r="X62" s="800"/>
      <c r="Y62" s="807"/>
      <c r="Z62" s="801"/>
      <c r="AA62" s="215"/>
      <c r="AB62" s="472" t="s">
        <v>311</v>
      </c>
      <c r="AC62" s="96">
        <v>0.33</v>
      </c>
      <c r="AD62" s="97"/>
      <c r="AF62" s="215"/>
      <c r="AG62" s="215"/>
      <c r="AH62" s="215"/>
      <c r="AI62" s="215"/>
      <c r="AJ62" s="215"/>
      <c r="AK62" s="215"/>
      <c r="AL62" s="215"/>
      <c r="AM62" s="215"/>
      <c r="AN62" s="215"/>
      <c r="AO62" s="215"/>
      <c r="AP62" s="215"/>
      <c r="AQ62" s="215"/>
      <c r="AR62" s="371"/>
      <c r="AS62" s="372"/>
      <c r="AT62" s="372"/>
      <c r="AU62" s="372"/>
      <c r="AV62" s="372"/>
      <c r="AW62" s="372"/>
      <c r="AX62" s="372"/>
      <c r="AY62" s="372"/>
      <c r="AZ62" s="372"/>
      <c r="BA62" s="372"/>
      <c r="BB62" s="372"/>
      <c r="BC62" s="372"/>
      <c r="BD62" s="372"/>
      <c r="BE62" s="372"/>
    </row>
    <row r="63" spans="1:57" ht="16.25" customHeight="1" x14ac:dyDescent="0.2">
      <c r="A63" s="83"/>
      <c r="B63" s="103"/>
      <c r="C63" s="83"/>
      <c r="D63" s="83"/>
      <c r="E63" s="83"/>
      <c r="F63" s="83"/>
      <c r="G63" s="104"/>
      <c r="H63" s="103"/>
      <c r="I63" s="83"/>
      <c r="J63" s="83"/>
      <c r="K63" s="83"/>
      <c r="L63" s="83"/>
      <c r="M63" s="83"/>
      <c r="N63" s="104"/>
      <c r="O63" s="83"/>
      <c r="P63" s="215"/>
      <c r="Q63" s="215"/>
      <c r="R63" s="215"/>
      <c r="S63" s="215"/>
      <c r="T63" s="376"/>
      <c r="U63" s="215"/>
      <c r="V63" s="215"/>
      <c r="W63" s="804"/>
      <c r="X63" s="800"/>
      <c r="Y63" s="804"/>
      <c r="Z63" s="802"/>
      <c r="AA63" s="215"/>
      <c r="AB63" s="472" t="s">
        <v>351</v>
      </c>
      <c r="AC63" s="96">
        <v>2</v>
      </c>
      <c r="AD63" s="97"/>
      <c r="AF63" s="215"/>
      <c r="AG63" s="215"/>
      <c r="AH63" s="215"/>
      <c r="AI63" s="215"/>
      <c r="AJ63" s="215"/>
      <c r="AK63" s="215"/>
      <c r="AL63" s="215"/>
      <c r="AM63" s="215"/>
      <c r="AN63" s="215"/>
      <c r="AO63" s="215"/>
      <c r="AP63" s="215"/>
      <c r="AQ63" s="215"/>
      <c r="AR63" s="371"/>
      <c r="AS63" s="372"/>
      <c r="AT63" s="372"/>
      <c r="AU63" s="372"/>
      <c r="AV63" s="372"/>
      <c r="AW63" s="372"/>
      <c r="AX63" s="372"/>
      <c r="AY63" s="372"/>
      <c r="AZ63" s="372"/>
      <c r="BA63" s="372"/>
      <c r="BB63" s="372"/>
      <c r="BC63" s="372"/>
      <c r="BD63" s="372"/>
      <c r="BE63" s="372"/>
    </row>
    <row r="64" spans="1:57" ht="16.25" customHeight="1" x14ac:dyDescent="0.2">
      <c r="A64" s="83"/>
      <c r="B64" s="103"/>
      <c r="C64" s="83"/>
      <c r="D64" s="83"/>
      <c r="E64" s="83"/>
      <c r="F64" s="83"/>
      <c r="G64" s="104"/>
      <c r="H64" s="103"/>
      <c r="I64" s="83"/>
      <c r="J64" s="83"/>
      <c r="K64" s="83"/>
      <c r="L64" s="83"/>
      <c r="M64" s="83"/>
      <c r="N64" s="104"/>
      <c r="O64" s="83"/>
      <c r="P64" s="215"/>
      <c r="Q64" s="215"/>
      <c r="R64" s="215"/>
      <c r="S64" s="215"/>
      <c r="T64" s="215"/>
      <c r="U64" s="215"/>
      <c r="V64" s="215"/>
      <c r="W64" s="804"/>
      <c r="X64" s="800"/>
      <c r="Y64" s="804"/>
      <c r="Z64" s="800"/>
      <c r="AA64" s="215"/>
      <c r="AB64" s="472" t="s">
        <v>352</v>
      </c>
      <c r="AC64" s="320">
        <v>0.5</v>
      </c>
      <c r="AD64" s="617" t="s">
        <v>222</v>
      </c>
      <c r="AF64" s="215"/>
      <c r="AG64" s="215"/>
      <c r="AH64" s="215"/>
      <c r="AI64" s="215"/>
      <c r="AJ64" s="215"/>
      <c r="AK64" s="215"/>
      <c r="AL64" s="215"/>
      <c r="AM64" s="215"/>
      <c r="AN64" s="215"/>
      <c r="AO64" s="215"/>
      <c r="AP64" s="215"/>
      <c r="AQ64" s="215"/>
      <c r="AR64" s="371"/>
      <c r="AS64" s="372"/>
      <c r="AT64" s="372"/>
      <c r="AU64" s="372"/>
      <c r="AV64" s="372"/>
      <c r="AW64" s="372"/>
      <c r="AX64" s="372"/>
      <c r="AY64" s="372"/>
      <c r="AZ64" s="372"/>
      <c r="BA64" s="372"/>
      <c r="BB64" s="372"/>
      <c r="BC64" s="372"/>
      <c r="BD64" s="372"/>
      <c r="BE64" s="372"/>
    </row>
    <row r="65" spans="1:57" ht="16.25" customHeight="1" x14ac:dyDescent="0.2">
      <c r="A65" s="83"/>
      <c r="B65" s="103"/>
      <c r="C65" s="83"/>
      <c r="D65" s="83"/>
      <c r="E65" s="83"/>
      <c r="F65" s="83"/>
      <c r="G65" s="104"/>
      <c r="H65" s="103"/>
      <c r="I65" s="83"/>
      <c r="J65" s="83"/>
      <c r="K65" s="83"/>
      <c r="L65" s="83"/>
      <c r="M65" s="83"/>
      <c r="N65" s="104"/>
      <c r="O65" s="83"/>
      <c r="P65" s="215"/>
      <c r="Q65" s="215"/>
      <c r="R65" s="215"/>
      <c r="S65" s="215"/>
      <c r="T65" s="215"/>
      <c r="U65" s="215"/>
      <c r="V65" s="215"/>
      <c r="W65" s="807"/>
      <c r="X65" s="801"/>
      <c r="Y65" s="804"/>
      <c r="Z65" s="800"/>
      <c r="AA65" s="215"/>
      <c r="AB65" s="472" t="s">
        <v>353</v>
      </c>
      <c r="AC65" s="391">
        <f>+AC61/AC64/AC62</f>
        <v>5.0712318286740734</v>
      </c>
      <c r="AD65" s="617" t="s">
        <v>196</v>
      </c>
      <c r="AF65" s="215"/>
      <c r="AG65" s="215"/>
      <c r="AH65" s="215"/>
      <c r="AI65" s="215"/>
      <c r="AJ65" s="215"/>
      <c r="AK65" s="215"/>
      <c r="AL65" s="215"/>
      <c r="AM65" s="215"/>
      <c r="AN65" s="215"/>
      <c r="AO65" s="215"/>
      <c r="AP65" s="215"/>
      <c r="AQ65" s="215"/>
      <c r="AR65" s="371"/>
      <c r="AS65" s="372"/>
      <c r="AT65" s="372"/>
      <c r="AU65" s="372"/>
      <c r="AV65" s="372"/>
      <c r="AW65" s="372"/>
      <c r="AX65" s="372"/>
      <c r="AY65" s="372"/>
      <c r="AZ65" s="372"/>
      <c r="BA65" s="372"/>
      <c r="BB65" s="372"/>
      <c r="BC65" s="372"/>
      <c r="BD65" s="372"/>
      <c r="BE65" s="372"/>
    </row>
    <row r="66" spans="1:57" ht="16.25" customHeight="1" x14ac:dyDescent="0.2">
      <c r="A66" s="83"/>
      <c r="B66" s="103"/>
      <c r="C66" s="83"/>
      <c r="D66" s="83"/>
      <c r="E66" s="83"/>
      <c r="F66" s="83"/>
      <c r="G66" s="104"/>
      <c r="H66" s="103"/>
      <c r="I66" s="83"/>
      <c r="J66" s="83"/>
      <c r="K66" s="83"/>
      <c r="L66" s="83"/>
      <c r="M66" s="83"/>
      <c r="N66" s="104"/>
      <c r="O66" s="83"/>
      <c r="P66" s="215"/>
      <c r="Q66" s="215"/>
      <c r="R66" s="215"/>
      <c r="S66" s="215"/>
      <c r="T66" s="215"/>
      <c r="U66" s="215"/>
      <c r="V66" s="215"/>
      <c r="W66" s="804"/>
      <c r="X66" s="801"/>
      <c r="Y66" s="804"/>
      <c r="Z66" s="800"/>
      <c r="AA66" s="215"/>
      <c r="AB66" s="472" t="s">
        <v>315</v>
      </c>
      <c r="AC66" s="391">
        <f>+(AC65*4/PI())^0.5</f>
        <v>2.5410416967825311</v>
      </c>
      <c r="AD66" s="617" t="s">
        <v>244</v>
      </c>
      <c r="AF66" s="215"/>
      <c r="AG66" s="215"/>
      <c r="AH66" s="215"/>
      <c r="AI66" s="215"/>
      <c r="AJ66" s="215"/>
      <c r="AK66" s="215"/>
      <c r="AL66" s="215"/>
      <c r="AM66" s="215"/>
      <c r="AN66" s="215"/>
      <c r="AO66" s="215"/>
      <c r="AP66" s="215"/>
      <c r="AQ66" s="215"/>
      <c r="AR66" s="371"/>
      <c r="AS66" s="372"/>
      <c r="AT66" s="372"/>
      <c r="AU66" s="372"/>
      <c r="AV66" s="372"/>
      <c r="AW66" s="372"/>
      <c r="AX66" s="372"/>
      <c r="AY66" s="372"/>
      <c r="AZ66" s="372"/>
      <c r="BA66" s="372"/>
      <c r="BB66" s="372"/>
      <c r="BC66" s="372"/>
      <c r="BD66" s="372"/>
      <c r="BE66" s="372"/>
    </row>
    <row r="67" spans="1:57" ht="16.25" customHeight="1" x14ac:dyDescent="0.2">
      <c r="A67" s="83"/>
      <c r="B67" s="103"/>
      <c r="C67" s="83"/>
      <c r="D67" s="83"/>
      <c r="E67" s="83"/>
      <c r="F67" s="83"/>
      <c r="G67" s="104"/>
      <c r="H67" s="103"/>
      <c r="I67" s="83"/>
      <c r="J67" s="83"/>
      <c r="K67" s="83"/>
      <c r="L67" s="83"/>
      <c r="M67" s="83"/>
      <c r="N67" s="104"/>
      <c r="O67" s="83"/>
      <c r="P67" s="215"/>
      <c r="Q67" s="215"/>
      <c r="R67" s="215"/>
      <c r="S67" s="215"/>
      <c r="T67" s="215"/>
      <c r="U67" s="215"/>
      <c r="V67" s="215"/>
      <c r="W67" s="804"/>
      <c r="X67" s="802"/>
      <c r="Y67" s="804"/>
      <c r="Z67" s="805"/>
      <c r="AA67" s="215"/>
      <c r="AB67" s="472" t="s">
        <v>354</v>
      </c>
      <c r="AC67" s="391">
        <f>+AC65*AC66*AC63</f>
        <v>25.77242306142309</v>
      </c>
      <c r="AD67" s="617" t="s">
        <v>179</v>
      </c>
      <c r="AF67" s="215"/>
      <c r="AG67" s="215"/>
      <c r="AH67" s="215"/>
      <c r="AI67" s="215"/>
      <c r="AJ67" s="215"/>
      <c r="AK67" s="215"/>
      <c r="AL67" s="215"/>
      <c r="AM67" s="215"/>
      <c r="AN67" s="215"/>
      <c r="AO67" s="215"/>
      <c r="AP67" s="215"/>
      <c r="AQ67" s="215"/>
      <c r="AR67" s="371"/>
      <c r="AS67" s="372"/>
      <c r="AT67" s="372"/>
      <c r="AU67" s="372"/>
      <c r="AV67" s="372"/>
      <c r="AW67" s="372"/>
      <c r="AX67" s="372"/>
      <c r="AY67" s="372"/>
      <c r="AZ67" s="372"/>
      <c r="BA67" s="372"/>
      <c r="BB67" s="372"/>
      <c r="BC67" s="372"/>
      <c r="BD67" s="372"/>
      <c r="BE67" s="372"/>
    </row>
    <row r="68" spans="1:57" ht="16.25" customHeight="1" x14ac:dyDescent="0.2">
      <c r="A68" s="83"/>
      <c r="B68" s="103"/>
      <c r="C68" s="83"/>
      <c r="D68" s="83"/>
      <c r="E68" s="83"/>
      <c r="F68" s="83"/>
      <c r="G68" s="104"/>
      <c r="H68" s="103"/>
      <c r="I68" s="83"/>
      <c r="J68" s="83"/>
      <c r="K68" s="83"/>
      <c r="L68" s="83"/>
      <c r="M68" s="83"/>
      <c r="N68" s="104"/>
      <c r="O68" s="161"/>
      <c r="P68" s="376"/>
      <c r="Q68" s="376"/>
      <c r="R68" s="376"/>
      <c r="S68" s="376"/>
      <c r="T68" s="376"/>
      <c r="U68" s="377"/>
      <c r="V68" s="371"/>
      <c r="W68" s="804"/>
      <c r="X68" s="802"/>
      <c r="Y68" s="804"/>
      <c r="Z68" s="800"/>
      <c r="AA68" s="215"/>
      <c r="AB68" s="472" t="s">
        <v>355</v>
      </c>
      <c r="AC68" s="320">
        <v>31</v>
      </c>
      <c r="AD68" s="617" t="s">
        <v>356</v>
      </c>
      <c r="AF68" s="215"/>
      <c r="AG68" s="215"/>
      <c r="AH68" s="215"/>
      <c r="AI68" s="215"/>
      <c r="AJ68" s="215"/>
      <c r="AK68" s="215"/>
      <c r="AL68" s="215"/>
      <c r="AM68" s="215"/>
      <c r="AN68" s="215"/>
      <c r="AO68" s="215"/>
      <c r="AP68" s="215"/>
      <c r="AQ68" s="215"/>
      <c r="AR68" s="371"/>
      <c r="AS68" s="372"/>
      <c r="AT68" s="372"/>
      <c r="AU68" s="372"/>
      <c r="AV68" s="372"/>
      <c r="AW68" s="372"/>
      <c r="AX68" s="372"/>
      <c r="AY68" s="372"/>
      <c r="AZ68" s="372"/>
      <c r="BA68" s="372"/>
      <c r="BB68" s="372"/>
      <c r="BC68" s="372"/>
      <c r="BD68" s="372"/>
      <c r="BE68" s="372"/>
    </row>
    <row r="69" spans="1:57" ht="16.25" customHeight="1" x14ac:dyDescent="0.2">
      <c r="A69" s="83"/>
      <c r="B69" s="103"/>
      <c r="C69" s="83"/>
      <c r="D69" s="83"/>
      <c r="E69" s="83"/>
      <c r="F69" s="83"/>
      <c r="G69" s="104"/>
      <c r="H69" s="103"/>
      <c r="I69" s="83"/>
      <c r="J69" s="83"/>
      <c r="K69" s="83"/>
      <c r="L69" s="83"/>
      <c r="M69" s="83"/>
      <c r="N69" s="104"/>
      <c r="O69" s="161"/>
      <c r="P69" s="376"/>
      <c r="Q69" s="376"/>
      <c r="R69" s="376"/>
      <c r="S69" s="376"/>
      <c r="T69" s="376"/>
      <c r="U69" s="376"/>
      <c r="V69" s="376"/>
      <c r="W69" s="804"/>
      <c r="X69" s="802"/>
      <c r="Y69" s="804"/>
      <c r="Z69" s="804"/>
      <c r="AA69" s="215"/>
      <c r="AB69" s="472" t="s">
        <v>357</v>
      </c>
      <c r="AC69" s="320">
        <f>+AC67*(1-AC62)*AC70*AC71</f>
        <v>34535.046902306938</v>
      </c>
      <c r="AD69" s="617" t="s">
        <v>346</v>
      </c>
      <c r="AF69" s="215"/>
      <c r="AG69" s="215"/>
      <c r="AH69" s="215"/>
      <c r="AI69" s="215"/>
      <c r="AJ69" s="215"/>
      <c r="AK69" s="215"/>
      <c r="AL69" s="215"/>
      <c r="AM69" s="215"/>
      <c r="AN69" s="215"/>
      <c r="AO69" s="215"/>
      <c r="AP69" s="215"/>
      <c r="AQ69" s="215"/>
      <c r="AR69" s="371"/>
      <c r="AS69" s="372"/>
      <c r="AT69" s="372"/>
      <c r="AU69" s="372"/>
      <c r="AV69" s="372"/>
      <c r="AW69" s="372"/>
      <c r="AX69" s="372"/>
      <c r="AY69" s="372"/>
      <c r="AZ69" s="372"/>
      <c r="BA69" s="372"/>
      <c r="BB69" s="372"/>
      <c r="BC69" s="372"/>
      <c r="BD69" s="372"/>
      <c r="BE69" s="372"/>
    </row>
    <row r="70" spans="1:57" ht="16.25" customHeight="1" x14ac:dyDescent="0.2">
      <c r="A70" s="83"/>
      <c r="B70" s="103"/>
      <c r="C70" s="83"/>
      <c r="D70" s="83"/>
      <c r="E70" s="83"/>
      <c r="F70" s="83"/>
      <c r="G70" s="104"/>
      <c r="H70" s="103"/>
      <c r="I70" s="83"/>
      <c r="J70" s="83"/>
      <c r="K70" s="83"/>
      <c r="L70" s="83"/>
      <c r="M70" s="83"/>
      <c r="N70" s="104"/>
      <c r="O70" s="161"/>
      <c r="P70" s="374"/>
      <c r="Q70" s="376"/>
      <c r="R70" s="377"/>
      <c r="S70" s="377"/>
      <c r="T70" s="377"/>
      <c r="U70" s="377"/>
      <c r="V70" s="377"/>
      <c r="W70" s="804"/>
      <c r="X70" s="802"/>
      <c r="Y70" s="804"/>
      <c r="Z70" s="802"/>
      <c r="AA70" s="215"/>
      <c r="AB70" s="472" t="s">
        <v>358</v>
      </c>
      <c r="AC70" s="320">
        <v>500</v>
      </c>
      <c r="AD70" s="617" t="s">
        <v>268</v>
      </c>
      <c r="AF70" s="215"/>
      <c r="AG70" s="215"/>
      <c r="AH70" s="215"/>
      <c r="AI70" s="215"/>
      <c r="AJ70" s="215"/>
      <c r="AK70" s="215"/>
      <c r="AL70" s="215"/>
      <c r="AM70" s="215"/>
      <c r="AN70" s="215"/>
      <c r="AO70" s="215"/>
      <c r="AP70" s="215"/>
      <c r="AQ70" s="215"/>
      <c r="AR70" s="371"/>
      <c r="AS70" s="372"/>
      <c r="AT70" s="372"/>
      <c r="AU70" s="372"/>
      <c r="AV70" s="372"/>
      <c r="AW70" s="372"/>
      <c r="AX70" s="372"/>
      <c r="AY70" s="372"/>
      <c r="AZ70" s="372"/>
      <c r="BA70" s="372"/>
      <c r="BB70" s="372"/>
      <c r="BC70" s="372"/>
      <c r="BD70" s="372"/>
      <c r="BE70" s="372"/>
    </row>
    <row r="71" spans="1:57" ht="16.25" customHeight="1" x14ac:dyDescent="0.2">
      <c r="A71" s="83"/>
      <c r="B71" s="103"/>
      <c r="C71" s="83"/>
      <c r="D71" s="83"/>
      <c r="E71" s="83"/>
      <c r="F71" s="83"/>
      <c r="G71" s="104"/>
      <c r="H71" s="103"/>
      <c r="I71" s="83"/>
      <c r="J71" s="83"/>
      <c r="K71" s="83"/>
      <c r="L71" s="83"/>
      <c r="M71" s="83"/>
      <c r="N71" s="104"/>
      <c r="O71" s="83"/>
      <c r="P71" s="215"/>
      <c r="Q71" s="215"/>
      <c r="R71" s="215"/>
      <c r="S71" s="215"/>
      <c r="T71" s="215"/>
      <c r="U71" s="215"/>
      <c r="V71" s="215"/>
      <c r="W71" s="157"/>
      <c r="X71" s="157"/>
      <c r="Y71" s="804"/>
      <c r="Z71" s="804"/>
      <c r="AA71" s="215"/>
      <c r="AB71" s="473" t="s">
        <v>359</v>
      </c>
      <c r="AC71" s="474">
        <v>4</v>
      </c>
      <c r="AD71" s="720" t="s">
        <v>187</v>
      </c>
      <c r="AF71" s="215"/>
      <c r="AG71" s="215"/>
      <c r="AH71" s="215"/>
      <c r="AI71" s="215"/>
      <c r="AJ71" s="215"/>
      <c r="AK71" s="215"/>
      <c r="AL71" s="215"/>
      <c r="AM71" s="215"/>
      <c r="AN71" s="215"/>
      <c r="AO71" s="215"/>
      <c r="AP71" s="215"/>
      <c r="AQ71" s="215"/>
      <c r="AR71" s="371"/>
      <c r="AS71" s="372"/>
      <c r="AT71" s="372"/>
      <c r="AU71" s="372"/>
      <c r="AV71" s="372"/>
      <c r="AW71" s="372"/>
      <c r="AX71" s="372"/>
      <c r="AY71" s="372"/>
      <c r="AZ71" s="372"/>
      <c r="BA71" s="372"/>
      <c r="BB71" s="372"/>
      <c r="BC71" s="372"/>
      <c r="BD71" s="372"/>
      <c r="BE71" s="372"/>
    </row>
    <row r="72" spans="1:57" ht="16.25" customHeight="1" x14ac:dyDescent="0.2">
      <c r="A72" s="83"/>
      <c r="B72" s="103"/>
      <c r="C72" s="83"/>
      <c r="D72" s="83"/>
      <c r="E72" s="83"/>
      <c r="F72" s="83"/>
      <c r="G72" s="104"/>
      <c r="H72" s="103"/>
      <c r="I72" s="83"/>
      <c r="J72" s="83"/>
      <c r="K72" s="83"/>
      <c r="L72" s="83"/>
      <c r="M72" s="83"/>
      <c r="N72" s="104"/>
      <c r="O72" s="162"/>
      <c r="P72" s="371"/>
      <c r="Q72" s="371"/>
      <c r="R72" s="371"/>
      <c r="S72" s="371"/>
      <c r="T72" s="215"/>
      <c r="U72" s="215"/>
      <c r="V72" s="215"/>
      <c r="W72" s="722"/>
      <c r="X72" s="215"/>
      <c r="Y72" s="215"/>
      <c r="Z72" s="215"/>
      <c r="AA72" s="215"/>
      <c r="AB72" s="371"/>
      <c r="AF72" s="215"/>
      <c r="AG72" s="215"/>
      <c r="AH72" s="215"/>
      <c r="AI72" s="215"/>
      <c r="AJ72" s="215"/>
      <c r="AK72" s="215"/>
      <c r="AL72" s="215"/>
      <c r="AM72" s="215"/>
      <c r="AN72" s="215"/>
      <c r="AO72" s="215"/>
      <c r="AP72" s="215"/>
      <c r="AQ72" s="215"/>
      <c r="AR72" s="371"/>
      <c r="AS72" s="372"/>
      <c r="AT72" s="372"/>
      <c r="AU72" s="372"/>
      <c r="AV72" s="372"/>
      <c r="AW72" s="372"/>
      <c r="AX72" s="372"/>
      <c r="AY72" s="372"/>
      <c r="AZ72" s="372"/>
      <c r="BA72" s="372"/>
      <c r="BB72" s="372"/>
      <c r="BC72" s="372"/>
      <c r="BD72" s="372"/>
      <c r="BE72" s="372"/>
    </row>
    <row r="73" spans="1:57" ht="16.25" customHeight="1" x14ac:dyDescent="0.2">
      <c r="A73" s="83"/>
      <c r="B73" s="103"/>
      <c r="C73" s="83"/>
      <c r="D73" s="83"/>
      <c r="E73" s="83"/>
      <c r="F73" s="83"/>
      <c r="G73" s="104"/>
      <c r="H73" s="103"/>
      <c r="I73" s="83"/>
      <c r="J73" s="83"/>
      <c r="K73" s="83"/>
      <c r="L73" s="83"/>
      <c r="M73" s="83"/>
      <c r="N73" s="104"/>
      <c r="O73" s="162"/>
      <c r="P73" s="371"/>
      <c r="Q73" s="371"/>
      <c r="R73" s="371"/>
      <c r="S73" s="371"/>
      <c r="T73" s="215"/>
      <c r="U73" s="215"/>
      <c r="V73" s="215"/>
      <c r="W73" s="722"/>
      <c r="X73" s="215"/>
      <c r="Y73" s="215"/>
      <c r="Z73" s="215"/>
      <c r="AA73" s="215"/>
      <c r="AB73" s="215"/>
      <c r="AC73" s="215"/>
      <c r="AD73" s="215"/>
      <c r="AE73" s="215"/>
      <c r="AF73" s="215"/>
      <c r="AG73" s="215"/>
      <c r="AH73" s="215"/>
      <c r="AI73" s="215"/>
      <c r="AJ73" s="215"/>
      <c r="AK73" s="215"/>
      <c r="AL73" s="215"/>
      <c r="AM73" s="215"/>
      <c r="AN73" s="215"/>
      <c r="AO73" s="215"/>
      <c r="AP73" s="215"/>
      <c r="AQ73" s="215"/>
      <c r="AR73" s="371"/>
      <c r="AS73" s="372"/>
      <c r="AT73" s="372"/>
      <c r="AU73" s="372"/>
      <c r="AV73" s="372"/>
      <c r="AW73" s="372"/>
      <c r="AX73" s="372"/>
      <c r="AY73" s="372"/>
      <c r="AZ73" s="372"/>
      <c r="BA73" s="372"/>
      <c r="BB73" s="372"/>
      <c r="BC73" s="372"/>
      <c r="BD73" s="372"/>
      <c r="BE73" s="372"/>
    </row>
    <row r="74" spans="1:57" ht="16.25" customHeight="1" x14ac:dyDescent="0.2">
      <c r="A74" s="83"/>
      <c r="B74" s="103"/>
      <c r="C74" s="83"/>
      <c r="D74" s="83"/>
      <c r="E74" s="83"/>
      <c r="F74" s="83"/>
      <c r="G74" s="104"/>
      <c r="H74" s="103"/>
      <c r="I74" s="83"/>
      <c r="J74" s="83"/>
      <c r="K74" s="83"/>
      <c r="L74" s="83"/>
      <c r="M74" s="83"/>
      <c r="N74" s="104"/>
      <c r="O74" s="161"/>
      <c r="P74" s="376"/>
      <c r="Q74" s="376"/>
      <c r="R74" s="376"/>
      <c r="S74" s="376"/>
      <c r="T74" s="215"/>
      <c r="U74" s="215"/>
      <c r="V74" s="215"/>
      <c r="W74" s="215"/>
      <c r="X74" s="215"/>
      <c r="Y74" s="215"/>
      <c r="Z74" s="215"/>
      <c r="AA74" s="215"/>
      <c r="AB74" s="215"/>
      <c r="AC74" s="215"/>
      <c r="AD74" s="215"/>
      <c r="AE74" s="215"/>
      <c r="AF74" s="215"/>
      <c r="AG74" s="215"/>
      <c r="AH74" s="215"/>
      <c r="AI74" s="215"/>
      <c r="AJ74" s="215"/>
      <c r="AK74" s="215"/>
      <c r="AL74" s="215"/>
      <c r="AM74" s="215"/>
      <c r="AN74" s="215"/>
      <c r="AO74" s="215"/>
      <c r="AP74" s="215"/>
      <c r="AQ74" s="215"/>
      <c r="AR74" s="371"/>
      <c r="AS74" s="372"/>
      <c r="AT74" s="372"/>
      <c r="AU74" s="372"/>
      <c r="AV74" s="372"/>
      <c r="AW74" s="372"/>
      <c r="AX74" s="372"/>
      <c r="AY74" s="372"/>
      <c r="AZ74" s="372"/>
      <c r="BA74" s="372"/>
      <c r="BB74" s="372"/>
      <c r="BC74" s="372"/>
      <c r="BD74" s="372"/>
      <c r="BE74" s="372"/>
    </row>
    <row r="75" spans="1:57" ht="16.25" customHeight="1" x14ac:dyDescent="0.2">
      <c r="A75" s="83"/>
      <c r="B75" s="103"/>
      <c r="C75" s="83"/>
      <c r="D75" s="83"/>
      <c r="E75" s="83"/>
      <c r="F75" s="83"/>
      <c r="G75" s="104"/>
      <c r="H75" s="103"/>
      <c r="I75" s="83"/>
      <c r="J75" s="83"/>
      <c r="K75" s="83"/>
      <c r="L75" s="83"/>
      <c r="M75" s="83"/>
      <c r="N75" s="104"/>
      <c r="O75" s="163"/>
      <c r="P75" s="373"/>
      <c r="Q75" s="377"/>
      <c r="R75" s="376"/>
      <c r="S75" s="376"/>
      <c r="T75" s="215"/>
      <c r="U75" s="215"/>
      <c r="V75" s="215"/>
      <c r="W75" s="215"/>
      <c r="X75" s="215"/>
      <c r="Y75" s="215"/>
      <c r="Z75" s="215"/>
      <c r="AA75" s="215"/>
      <c r="AB75" s="215"/>
      <c r="AC75" s="215"/>
      <c r="AD75" s="215"/>
      <c r="AE75" s="215"/>
      <c r="AF75" s="215"/>
      <c r="AG75" s="215"/>
      <c r="AH75" s="215"/>
      <c r="AI75" s="215"/>
      <c r="AJ75" s="215"/>
      <c r="AK75" s="215"/>
      <c r="AL75" s="215"/>
      <c r="AM75" s="215"/>
      <c r="AN75" s="215"/>
      <c r="AO75" s="215"/>
      <c r="AP75" s="215"/>
      <c r="AQ75" s="215"/>
      <c r="AR75" s="371"/>
      <c r="AS75" s="372"/>
      <c r="AT75" s="372"/>
      <c r="AU75" s="372"/>
      <c r="AV75" s="372"/>
      <c r="AW75" s="372"/>
      <c r="AX75" s="372"/>
      <c r="AY75" s="372"/>
      <c r="AZ75" s="372"/>
      <c r="BA75" s="372"/>
      <c r="BB75" s="372"/>
      <c r="BC75" s="372"/>
      <c r="BD75" s="372"/>
      <c r="BE75" s="372"/>
    </row>
    <row r="76" spans="1:57" ht="16.25" customHeight="1" x14ac:dyDescent="0.2">
      <c r="A76" s="83"/>
      <c r="B76" s="103"/>
      <c r="C76" s="83"/>
      <c r="D76" s="83"/>
      <c r="E76" s="83"/>
      <c r="F76" s="83"/>
      <c r="G76" s="104"/>
      <c r="H76" s="103"/>
      <c r="I76" s="83"/>
      <c r="J76" s="83"/>
      <c r="K76" s="83"/>
      <c r="L76" s="83"/>
      <c r="M76" s="83"/>
      <c r="N76" s="104"/>
      <c r="O76" s="162"/>
      <c r="P76" s="371"/>
      <c r="Q76" s="371"/>
      <c r="R76" s="371"/>
      <c r="S76" s="371"/>
      <c r="T76" s="215"/>
      <c r="U76" s="215"/>
      <c r="V76" s="215"/>
      <c r="W76" s="215"/>
      <c r="X76" s="215"/>
      <c r="Y76" s="215"/>
      <c r="Z76" s="215"/>
      <c r="AA76" s="215"/>
      <c r="AB76" s="215"/>
      <c r="AC76" s="215"/>
      <c r="AD76" s="215"/>
      <c r="AE76" s="215"/>
      <c r="AF76" s="215"/>
      <c r="AG76" s="215"/>
      <c r="AH76" s="215"/>
      <c r="AI76" s="215"/>
      <c r="AJ76" s="215"/>
      <c r="AK76" s="215"/>
      <c r="AL76" s="215"/>
      <c r="AM76" s="215"/>
      <c r="AN76" s="215"/>
      <c r="AO76" s="215"/>
      <c r="AP76" s="215"/>
      <c r="AQ76" s="215"/>
      <c r="AR76" s="371"/>
      <c r="AS76" s="372"/>
      <c r="AT76" s="372"/>
      <c r="AU76" s="372"/>
      <c r="AV76" s="372"/>
      <c r="AW76" s="372"/>
      <c r="AX76" s="372"/>
      <c r="AY76" s="372"/>
      <c r="AZ76" s="372"/>
      <c r="BA76" s="372"/>
      <c r="BB76" s="372"/>
      <c r="BC76" s="372"/>
      <c r="BD76" s="372"/>
      <c r="BE76" s="372"/>
    </row>
    <row r="77" spans="1:57" ht="16.25" customHeight="1" x14ac:dyDescent="0.2">
      <c r="A77" s="83"/>
      <c r="B77" s="103"/>
      <c r="C77" s="83"/>
      <c r="D77" s="83"/>
      <c r="E77" s="83"/>
      <c r="F77" s="83"/>
      <c r="G77" s="104"/>
      <c r="H77" s="103"/>
      <c r="I77" s="83"/>
      <c r="J77" s="83"/>
      <c r="K77" s="83"/>
      <c r="L77" s="83"/>
      <c r="M77" s="83"/>
      <c r="N77" s="104"/>
      <c r="O77" s="162"/>
      <c r="P77" s="371"/>
      <c r="Q77" s="371"/>
      <c r="R77" s="371"/>
      <c r="S77" s="371"/>
      <c r="T77" s="215"/>
      <c r="U77" s="215"/>
      <c r="V77" s="215"/>
      <c r="W77" s="215"/>
      <c r="X77" s="215"/>
      <c r="Y77" s="215"/>
      <c r="Z77" s="215"/>
      <c r="AA77" s="215"/>
      <c r="AB77" s="215"/>
      <c r="AC77" s="215"/>
      <c r="AD77" s="215"/>
      <c r="AE77" s="215"/>
      <c r="AF77" s="215"/>
      <c r="AG77" s="215"/>
      <c r="AH77" s="215"/>
      <c r="AI77" s="215"/>
      <c r="AJ77" s="215"/>
      <c r="AK77" s="215"/>
      <c r="AL77" s="215"/>
      <c r="AM77" s="215"/>
      <c r="AN77" s="215"/>
      <c r="AO77" s="215"/>
      <c r="AP77" s="215"/>
      <c r="AQ77" s="215"/>
      <c r="AR77" s="371"/>
      <c r="AS77" s="372"/>
      <c r="AT77" s="372"/>
      <c r="AU77" s="372"/>
      <c r="AV77" s="372"/>
      <c r="AW77" s="372"/>
      <c r="AX77" s="372"/>
      <c r="AY77" s="372"/>
      <c r="AZ77" s="372"/>
      <c r="BA77" s="372"/>
      <c r="BB77" s="372"/>
      <c r="BC77" s="372"/>
      <c r="BD77" s="372"/>
      <c r="BE77" s="372"/>
    </row>
    <row r="78" spans="1:57" ht="16.25" customHeight="1" x14ac:dyDescent="0.2">
      <c r="A78" s="83"/>
      <c r="B78" s="103"/>
      <c r="C78" s="83"/>
      <c r="D78" s="83"/>
      <c r="E78" s="83"/>
      <c r="F78" s="83"/>
      <c r="G78" s="104"/>
      <c r="H78" s="103"/>
      <c r="I78" s="83"/>
      <c r="J78" s="83"/>
      <c r="K78" s="83"/>
      <c r="L78" s="83"/>
      <c r="M78" s="83"/>
      <c r="N78" s="104"/>
      <c r="O78" s="162"/>
      <c r="P78" s="371"/>
      <c r="Q78" s="371"/>
      <c r="R78" s="371"/>
      <c r="S78" s="371"/>
      <c r="T78" s="215"/>
      <c r="U78" s="215"/>
      <c r="V78" s="215"/>
      <c r="W78" s="215"/>
      <c r="X78" s="215"/>
      <c r="Y78" s="215"/>
      <c r="Z78" s="215"/>
      <c r="AA78" s="215"/>
      <c r="AB78" s="215"/>
      <c r="AC78" s="215"/>
      <c r="AD78" s="215"/>
      <c r="AE78" s="215"/>
      <c r="AF78" s="215"/>
      <c r="AG78" s="215"/>
      <c r="AH78" s="215"/>
      <c r="AI78" s="215"/>
      <c r="AJ78" s="215"/>
      <c r="AK78" s="215"/>
      <c r="AL78" s="215"/>
      <c r="AM78" s="215"/>
      <c r="AN78" s="215"/>
      <c r="AO78" s="215"/>
      <c r="AP78" s="215"/>
      <c r="AQ78" s="215"/>
      <c r="AR78" s="371"/>
      <c r="AS78" s="372"/>
      <c r="AT78" s="372"/>
      <c r="AU78" s="372"/>
      <c r="AV78" s="372"/>
      <c r="AW78" s="372"/>
      <c r="AX78" s="372"/>
      <c r="AY78" s="372"/>
      <c r="AZ78" s="372"/>
      <c r="BA78" s="372"/>
      <c r="BB78" s="372"/>
      <c r="BC78" s="372"/>
      <c r="BD78" s="372"/>
      <c r="BE78" s="372"/>
    </row>
    <row r="79" spans="1:57" ht="16.25" customHeight="1" x14ac:dyDescent="0.2">
      <c r="A79" s="83"/>
      <c r="B79" s="103"/>
      <c r="C79" s="83"/>
      <c r="D79" s="83"/>
      <c r="E79" s="83"/>
      <c r="F79" s="83"/>
      <c r="G79" s="104"/>
      <c r="H79" s="103"/>
      <c r="I79" s="83"/>
      <c r="J79" s="83"/>
      <c r="K79" s="83"/>
      <c r="L79" s="83"/>
      <c r="M79" s="83"/>
      <c r="N79" s="104"/>
      <c r="O79" s="162"/>
      <c r="P79" s="371"/>
      <c r="Q79" s="371"/>
      <c r="R79" s="371"/>
      <c r="S79" s="371"/>
      <c r="T79" s="215"/>
      <c r="U79" s="215"/>
      <c r="V79" s="215"/>
      <c r="W79" s="215"/>
      <c r="X79" s="215"/>
      <c r="Y79" s="215"/>
      <c r="Z79" s="215"/>
      <c r="AA79" s="215"/>
      <c r="AB79" s="215"/>
      <c r="AC79" s="215"/>
      <c r="AD79" s="215"/>
      <c r="AE79" s="215"/>
      <c r="AF79" s="215"/>
      <c r="AG79" s="215"/>
      <c r="AH79" s="215"/>
      <c r="AI79" s="215"/>
      <c r="AJ79" s="215"/>
      <c r="AK79" s="215"/>
      <c r="AL79" s="215"/>
      <c r="AM79" s="215"/>
      <c r="AN79" s="215"/>
      <c r="AO79" s="215"/>
      <c r="AP79" s="215"/>
      <c r="AQ79" s="215"/>
      <c r="AR79" s="371"/>
      <c r="AS79" s="372"/>
      <c r="AT79" s="372"/>
      <c r="AU79" s="372"/>
      <c r="AV79" s="372"/>
      <c r="AW79" s="372"/>
      <c r="AX79" s="372"/>
      <c r="AY79" s="372"/>
      <c r="AZ79" s="372"/>
      <c r="BA79" s="372"/>
      <c r="BB79" s="372"/>
      <c r="BC79" s="372"/>
      <c r="BD79" s="372"/>
      <c r="BE79" s="372"/>
    </row>
    <row r="80" spans="1:57" ht="16.25" customHeight="1" x14ac:dyDescent="0.2">
      <c r="A80" s="83"/>
      <c r="B80" s="933" t="s">
        <v>281</v>
      </c>
      <c r="C80" s="934"/>
      <c r="D80" s="934"/>
      <c r="E80" s="934"/>
      <c r="F80" s="934"/>
      <c r="G80" s="935"/>
      <c r="H80" s="116" t="s">
        <v>252</v>
      </c>
      <c r="I80" s="117" t="s">
        <v>2</v>
      </c>
      <c r="J80" s="939" t="s">
        <v>82</v>
      </c>
      <c r="K80" s="940"/>
      <c r="L80" s="940"/>
      <c r="M80" s="940"/>
      <c r="N80" s="941"/>
      <c r="O80" s="162"/>
      <c r="P80" s="371"/>
      <c r="Q80" s="371"/>
      <c r="R80" s="371"/>
      <c r="S80" s="371"/>
      <c r="T80" s="215"/>
      <c r="U80" s="215"/>
      <c r="V80" s="215"/>
      <c r="W80" s="215"/>
      <c r="X80" s="215"/>
      <c r="Y80" s="215"/>
      <c r="Z80" s="215"/>
      <c r="AA80" s="215"/>
      <c r="AB80" s="215"/>
      <c r="AC80" s="215"/>
      <c r="AD80" s="215"/>
      <c r="AE80" s="215"/>
      <c r="AF80" s="215"/>
      <c r="AG80" s="215"/>
      <c r="AH80" s="215"/>
      <c r="AI80" s="215"/>
      <c r="AJ80" s="215"/>
      <c r="AK80" s="215"/>
      <c r="AL80" s="215"/>
      <c r="AM80" s="215"/>
      <c r="AN80" s="215"/>
      <c r="AO80" s="215"/>
      <c r="AP80" s="215"/>
      <c r="AQ80" s="215"/>
      <c r="AR80" s="371"/>
      <c r="AS80" s="372"/>
      <c r="AT80" s="372"/>
      <c r="AU80" s="372"/>
      <c r="AV80" s="372"/>
      <c r="AW80" s="372"/>
      <c r="AX80" s="372"/>
      <c r="AY80" s="372"/>
      <c r="AZ80" s="372"/>
      <c r="BA80" s="372"/>
      <c r="BB80" s="372"/>
      <c r="BC80" s="372"/>
      <c r="BD80" s="372"/>
      <c r="BE80" s="372"/>
    </row>
    <row r="81" spans="1:57" ht="16.25" customHeight="1" x14ac:dyDescent="0.2">
      <c r="A81" s="83"/>
      <c r="B81" s="936"/>
      <c r="C81" s="937"/>
      <c r="D81" s="937"/>
      <c r="E81" s="937"/>
      <c r="F81" s="937"/>
      <c r="G81" s="938"/>
      <c r="H81" s="493"/>
      <c r="I81" s="110"/>
      <c r="J81" s="988"/>
      <c r="K81" s="989"/>
      <c r="L81" s="989"/>
      <c r="M81" s="989"/>
      <c r="N81" s="990"/>
      <c r="O81" s="83"/>
      <c r="P81" s="215"/>
      <c r="Q81" s="215"/>
      <c r="R81" s="215"/>
      <c r="S81" s="215"/>
      <c r="T81" s="215"/>
      <c r="U81" s="215"/>
      <c r="V81" s="215"/>
      <c r="W81" s="215"/>
      <c r="X81" s="215"/>
      <c r="Y81" s="215"/>
      <c r="Z81" s="215"/>
      <c r="AA81" s="215"/>
      <c r="AB81" s="215"/>
      <c r="AC81" s="215"/>
      <c r="AD81" s="215"/>
      <c r="AE81" s="215"/>
      <c r="AF81" s="215"/>
      <c r="AG81" s="215"/>
      <c r="AH81" s="215"/>
      <c r="AI81" s="215"/>
      <c r="AJ81" s="215"/>
      <c r="AK81" s="215"/>
      <c r="AL81" s="215"/>
      <c r="AM81" s="215"/>
      <c r="AN81" s="215"/>
      <c r="AO81" s="215"/>
      <c r="AP81" s="215"/>
      <c r="AQ81" s="215"/>
      <c r="AR81" s="371"/>
      <c r="AS81" s="372"/>
      <c r="AT81" s="372"/>
      <c r="AU81" s="372"/>
      <c r="AV81" s="372"/>
      <c r="AW81" s="372"/>
      <c r="AX81" s="372"/>
      <c r="AY81" s="372"/>
      <c r="AZ81" s="372"/>
      <c r="BA81" s="372"/>
      <c r="BB81" s="372"/>
      <c r="BC81" s="372"/>
      <c r="BD81" s="372"/>
      <c r="BE81" s="372"/>
    </row>
    <row r="82" spans="1:57" ht="16.25" customHeight="1" x14ac:dyDescent="0.2">
      <c r="A82" s="83"/>
      <c r="B82" s="83"/>
      <c r="C82" s="83"/>
      <c r="D82" s="83"/>
      <c r="E82" s="83"/>
      <c r="F82" s="83"/>
      <c r="G82" s="83"/>
      <c r="H82" s="83"/>
      <c r="I82" s="83"/>
      <c r="J82" s="83"/>
      <c r="K82" s="83"/>
      <c r="L82" s="83"/>
      <c r="M82" s="162"/>
      <c r="N82" s="165"/>
      <c r="O82" s="83"/>
      <c r="P82" s="215"/>
      <c r="Q82" s="215"/>
      <c r="R82" s="215"/>
      <c r="S82" s="215"/>
      <c r="T82" s="215"/>
      <c r="U82" s="215"/>
      <c r="V82" s="215"/>
      <c r="W82" s="215"/>
      <c r="X82" s="215"/>
      <c r="Y82" s="215"/>
      <c r="Z82" s="215"/>
      <c r="AA82" s="215"/>
      <c r="AB82" s="215"/>
      <c r="AC82" s="215"/>
      <c r="AD82" s="215"/>
      <c r="AE82" s="215"/>
      <c r="AF82" s="215"/>
      <c r="AG82" s="215"/>
      <c r="AH82" s="215"/>
      <c r="AI82" s="215"/>
      <c r="AJ82" s="215"/>
      <c r="AK82" s="215"/>
      <c r="AL82" s="215"/>
      <c r="AM82" s="215"/>
      <c r="AN82" s="215"/>
      <c r="AO82" s="215"/>
      <c r="AP82" s="215"/>
      <c r="AQ82" s="215"/>
      <c r="AR82" s="371"/>
      <c r="AS82" s="372"/>
      <c r="AT82" s="372"/>
      <c r="AU82" s="372"/>
      <c r="AV82" s="372"/>
      <c r="AW82" s="372"/>
      <c r="AX82" s="372"/>
      <c r="AY82" s="372"/>
      <c r="AZ82" s="372"/>
      <c r="BA82" s="372"/>
      <c r="BB82" s="372"/>
      <c r="BC82" s="372"/>
      <c r="BD82" s="372"/>
      <c r="BE82" s="372"/>
    </row>
    <row r="83" spans="1:57" x14ac:dyDescent="0.2">
      <c r="A83" s="83"/>
      <c r="B83" s="83"/>
      <c r="C83" s="83"/>
      <c r="D83" s="83"/>
      <c r="E83" s="83"/>
      <c r="F83" s="83"/>
      <c r="G83" s="83"/>
      <c r="H83" s="83"/>
      <c r="I83" s="83"/>
      <c r="J83" s="83"/>
      <c r="K83" s="83"/>
      <c r="L83" s="83"/>
      <c r="M83" s="162"/>
      <c r="N83" s="165"/>
      <c r="O83" s="83"/>
      <c r="P83" s="215"/>
      <c r="Q83" s="215"/>
      <c r="R83" s="215"/>
      <c r="S83" s="215"/>
      <c r="T83" s="215"/>
      <c r="U83" s="215"/>
      <c r="V83" s="215"/>
      <c r="W83" s="215"/>
      <c r="X83" s="215"/>
      <c r="Y83" s="215"/>
      <c r="Z83" s="215"/>
      <c r="AA83" s="215"/>
      <c r="AB83" s="215"/>
      <c r="AC83" s="215"/>
      <c r="AD83" s="215"/>
      <c r="AE83" s="215"/>
      <c r="AF83" s="215"/>
      <c r="AG83" s="215"/>
      <c r="AH83" s="215"/>
      <c r="AI83" s="215"/>
      <c r="AJ83" s="215"/>
      <c r="AK83" s="215"/>
      <c r="AL83" s="215"/>
      <c r="AM83" s="215"/>
      <c r="AN83" s="215"/>
      <c r="AO83" s="215"/>
      <c r="AP83" s="215"/>
      <c r="AQ83" s="215"/>
      <c r="AR83" s="371"/>
      <c r="AS83" s="372"/>
      <c r="AT83" s="372"/>
      <c r="AU83" s="372"/>
      <c r="AV83" s="372"/>
      <c r="AW83" s="372"/>
      <c r="AX83" s="372"/>
      <c r="AY83" s="372"/>
      <c r="AZ83" s="372"/>
      <c r="BA83" s="372"/>
      <c r="BB83" s="372"/>
      <c r="BC83" s="372"/>
      <c r="BD83" s="372"/>
      <c r="BE83" s="372"/>
    </row>
    <row r="84" spans="1:57" x14ac:dyDescent="0.2">
      <c r="P84" s="372"/>
      <c r="Q84" s="372"/>
      <c r="R84" s="372"/>
      <c r="S84" s="372"/>
      <c r="T84" s="372"/>
      <c r="U84" s="372"/>
      <c r="V84" s="372"/>
      <c r="W84" s="372"/>
      <c r="X84" s="372"/>
      <c r="Y84" s="372"/>
      <c r="Z84" s="372"/>
      <c r="AA84" s="372"/>
      <c r="AB84" s="372"/>
      <c r="AC84" s="372"/>
      <c r="AD84" s="372"/>
      <c r="AE84" s="372"/>
      <c r="AF84" s="372"/>
      <c r="AG84" s="372"/>
      <c r="AH84" s="372"/>
      <c r="AI84" s="372"/>
      <c r="AJ84" s="372"/>
      <c r="AK84" s="372"/>
      <c r="AL84" s="372"/>
      <c r="AM84" s="372"/>
      <c r="AN84" s="372"/>
      <c r="AO84" s="372"/>
      <c r="AP84" s="372"/>
      <c r="AS84" s="372"/>
      <c r="AT84" s="372"/>
      <c r="AU84" s="372"/>
      <c r="AV84" s="372"/>
      <c r="AW84" s="372"/>
      <c r="AX84" s="372"/>
      <c r="AY84" s="372"/>
      <c r="AZ84" s="372"/>
      <c r="BA84" s="372"/>
      <c r="BB84" s="372"/>
      <c r="BC84" s="372"/>
      <c r="BD84" s="372"/>
      <c r="BE84" s="372"/>
    </row>
    <row r="85" spans="1:57" x14ac:dyDescent="0.2">
      <c r="P85" s="372"/>
      <c r="Q85" s="372"/>
      <c r="R85" s="372"/>
      <c r="S85" s="372"/>
      <c r="T85" s="372"/>
      <c r="U85" s="372"/>
      <c r="V85" s="372"/>
      <c r="W85" s="372"/>
      <c r="X85" s="372"/>
      <c r="Y85" s="372"/>
      <c r="Z85" s="372"/>
      <c r="AA85" s="372"/>
      <c r="AB85" s="372"/>
      <c r="AC85" s="372"/>
      <c r="AD85" s="372"/>
      <c r="AE85" s="372"/>
      <c r="AF85" s="372"/>
      <c r="AG85" s="372"/>
      <c r="AH85" s="372"/>
      <c r="AI85" s="372"/>
      <c r="AJ85" s="372"/>
      <c r="AK85" s="372"/>
      <c r="AL85" s="372"/>
      <c r="AM85" s="372"/>
      <c r="AN85" s="372"/>
      <c r="AO85" s="372"/>
      <c r="AP85" s="372"/>
      <c r="AS85" s="372"/>
      <c r="AT85" s="372"/>
      <c r="AU85" s="372"/>
      <c r="AV85" s="372"/>
      <c r="AW85" s="372"/>
      <c r="AX85" s="372"/>
      <c r="AY85" s="372"/>
      <c r="AZ85" s="372"/>
      <c r="BA85" s="372"/>
      <c r="BB85" s="372"/>
      <c r="BC85" s="372"/>
      <c r="BD85" s="372"/>
      <c r="BE85" s="372"/>
    </row>
    <row r="86" spans="1:57" x14ac:dyDescent="0.2">
      <c r="P86" s="372"/>
      <c r="Q86" s="372"/>
      <c r="R86" s="372"/>
      <c r="S86" s="372"/>
      <c r="T86" s="372"/>
      <c r="U86" s="372"/>
      <c r="V86" s="372"/>
      <c r="W86" s="372"/>
      <c r="X86" s="372"/>
      <c r="Y86" s="372"/>
      <c r="Z86" s="372"/>
      <c r="AA86" s="372"/>
      <c r="AB86" s="372"/>
      <c r="AC86" s="372"/>
      <c r="AD86" s="372"/>
      <c r="AE86" s="372"/>
      <c r="AF86" s="372"/>
      <c r="AG86" s="372"/>
      <c r="AH86" s="372"/>
      <c r="AI86" s="372"/>
      <c r="AJ86" s="372"/>
      <c r="AK86" s="372"/>
      <c r="AL86" s="372"/>
      <c r="AM86" s="372"/>
      <c r="AN86" s="372"/>
      <c r="AO86" s="372"/>
      <c r="AP86" s="372"/>
      <c r="AS86" s="372"/>
      <c r="AT86" s="372"/>
      <c r="AU86" s="372"/>
      <c r="AV86" s="372"/>
      <c r="AW86" s="372"/>
      <c r="AX86" s="372"/>
      <c r="AY86" s="372"/>
      <c r="AZ86" s="372"/>
      <c r="BA86" s="372"/>
      <c r="BB86" s="372"/>
      <c r="BC86" s="372"/>
      <c r="BD86" s="372"/>
      <c r="BE86" s="372"/>
    </row>
    <row r="87" spans="1:57" x14ac:dyDescent="0.2">
      <c r="P87" s="372"/>
      <c r="Q87" s="372"/>
      <c r="R87" s="372"/>
      <c r="S87" s="372"/>
      <c r="T87" s="372"/>
      <c r="U87" s="372"/>
      <c r="V87" s="372"/>
      <c r="W87" s="372"/>
      <c r="X87" s="372"/>
      <c r="Y87" s="372"/>
      <c r="Z87" s="372"/>
      <c r="AA87" s="372"/>
      <c r="AB87" s="372"/>
      <c r="AC87" s="372"/>
      <c r="AD87" s="372"/>
      <c r="AE87" s="372"/>
      <c r="AF87" s="372"/>
      <c r="AG87" s="372"/>
      <c r="AH87" s="372"/>
      <c r="AI87" s="372"/>
      <c r="AJ87" s="372"/>
      <c r="AK87" s="372"/>
      <c r="AL87" s="372"/>
      <c r="AM87" s="372"/>
      <c r="AN87" s="372"/>
      <c r="AO87" s="372"/>
      <c r="AP87" s="372"/>
      <c r="AS87" s="372"/>
      <c r="AT87" s="372"/>
      <c r="AU87" s="372"/>
      <c r="AV87" s="372"/>
      <c r="AW87" s="372"/>
      <c r="AX87" s="372"/>
      <c r="AY87" s="372"/>
      <c r="AZ87" s="372"/>
      <c r="BA87" s="372"/>
      <c r="BB87" s="372"/>
      <c r="BC87" s="372"/>
      <c r="BD87" s="372"/>
      <c r="BE87" s="372"/>
    </row>
    <row r="88" spans="1:57" x14ac:dyDescent="0.2">
      <c r="P88" s="372"/>
      <c r="Q88" s="372"/>
      <c r="R88" s="372"/>
      <c r="S88" s="372"/>
      <c r="T88" s="372"/>
      <c r="U88" s="372"/>
      <c r="V88" s="372"/>
      <c r="W88" s="372"/>
      <c r="X88" s="372"/>
      <c r="Y88" s="372"/>
      <c r="Z88" s="372"/>
      <c r="AA88" s="372"/>
      <c r="AB88" s="372"/>
      <c r="AC88" s="372"/>
      <c r="AD88" s="372"/>
      <c r="AE88" s="372"/>
      <c r="AF88" s="372"/>
      <c r="AG88" s="372"/>
      <c r="AH88" s="372"/>
      <c r="AI88" s="372"/>
      <c r="AJ88" s="372"/>
      <c r="AK88" s="372"/>
      <c r="AL88" s="372"/>
      <c r="AM88" s="372"/>
      <c r="AN88" s="372"/>
      <c r="AO88" s="372"/>
      <c r="AP88" s="372"/>
      <c r="AS88" s="372"/>
      <c r="AT88" s="372"/>
      <c r="AU88" s="372"/>
      <c r="AV88" s="372"/>
      <c r="AW88" s="372"/>
      <c r="AX88" s="372"/>
      <c r="AY88" s="372"/>
      <c r="AZ88" s="372"/>
      <c r="BA88" s="372"/>
      <c r="BB88" s="372"/>
      <c r="BC88" s="372"/>
      <c r="BD88" s="372"/>
      <c r="BE88" s="372"/>
    </row>
    <row r="89" spans="1:57" x14ac:dyDescent="0.2">
      <c r="P89" s="372"/>
      <c r="Q89" s="372"/>
      <c r="R89" s="372"/>
      <c r="S89" s="372"/>
      <c r="T89" s="372"/>
      <c r="U89" s="372"/>
      <c r="V89" s="372"/>
      <c r="W89" s="372"/>
      <c r="X89" s="372"/>
      <c r="Y89" s="372"/>
      <c r="Z89" s="372"/>
      <c r="AA89" s="372"/>
      <c r="AB89" s="372"/>
      <c r="AC89" s="372"/>
      <c r="AD89" s="372"/>
      <c r="AE89" s="372"/>
      <c r="AF89" s="372"/>
      <c r="AG89" s="372"/>
      <c r="AH89" s="372"/>
      <c r="AI89" s="372"/>
      <c r="AJ89" s="372"/>
      <c r="AK89" s="372"/>
      <c r="AL89" s="372"/>
      <c r="AM89" s="372"/>
      <c r="AN89" s="372"/>
      <c r="AO89" s="372"/>
      <c r="AP89" s="372"/>
      <c r="AS89" s="372"/>
      <c r="AT89" s="372"/>
      <c r="AU89" s="372"/>
      <c r="AV89" s="372"/>
      <c r="AW89" s="372"/>
      <c r="AX89" s="372"/>
      <c r="AY89" s="372"/>
      <c r="AZ89" s="372"/>
      <c r="BA89" s="372"/>
      <c r="BB89" s="372"/>
      <c r="BC89" s="372"/>
      <c r="BD89" s="372"/>
      <c r="BE89" s="372"/>
    </row>
    <row r="90" spans="1:57" x14ac:dyDescent="0.2">
      <c r="P90" s="372"/>
      <c r="Q90" s="372"/>
      <c r="R90" s="372"/>
      <c r="S90" s="372"/>
      <c r="T90" s="372"/>
      <c r="U90" s="372"/>
      <c r="V90" s="372"/>
      <c r="W90" s="372"/>
      <c r="X90" s="372"/>
      <c r="Y90" s="372"/>
      <c r="Z90" s="372"/>
      <c r="AA90" s="372"/>
      <c r="AB90" s="372"/>
      <c r="AC90" s="372"/>
      <c r="AD90" s="372"/>
      <c r="AE90" s="372"/>
      <c r="AF90" s="372"/>
      <c r="AG90" s="372"/>
      <c r="AH90" s="372"/>
      <c r="AI90" s="372"/>
      <c r="AJ90" s="372"/>
      <c r="AK90" s="372"/>
      <c r="AL90" s="372"/>
      <c r="AM90" s="372"/>
      <c r="AN90" s="372"/>
      <c r="AO90" s="372"/>
      <c r="AP90" s="372"/>
      <c r="AS90" s="372"/>
      <c r="AT90" s="372"/>
      <c r="AU90" s="372"/>
      <c r="AV90" s="372"/>
      <c r="AW90" s="372"/>
      <c r="AX90" s="372"/>
      <c r="AY90" s="372"/>
      <c r="AZ90" s="372"/>
      <c r="BA90" s="372"/>
      <c r="BB90" s="372"/>
      <c r="BC90" s="372"/>
      <c r="BD90" s="372"/>
      <c r="BE90" s="372"/>
    </row>
    <row r="91" spans="1:57" x14ac:dyDescent="0.2">
      <c r="P91" s="372"/>
      <c r="Q91" s="372"/>
      <c r="R91" s="372"/>
      <c r="S91" s="372"/>
      <c r="T91" s="372"/>
      <c r="U91" s="372"/>
      <c r="V91" s="372"/>
      <c r="W91" s="372"/>
      <c r="X91" s="372"/>
      <c r="Y91" s="372"/>
      <c r="Z91" s="372"/>
      <c r="AA91" s="372"/>
      <c r="AB91" s="372"/>
      <c r="AC91" s="372"/>
      <c r="AD91" s="372"/>
      <c r="AE91" s="372"/>
      <c r="AF91" s="372"/>
      <c r="AG91" s="372"/>
      <c r="AH91" s="372"/>
      <c r="AI91" s="372"/>
      <c r="AJ91" s="372"/>
      <c r="AK91" s="372"/>
      <c r="AL91" s="372"/>
      <c r="AM91" s="372"/>
      <c r="AN91" s="372"/>
      <c r="AO91" s="372"/>
      <c r="AP91" s="372"/>
      <c r="AS91" s="372"/>
      <c r="AT91" s="372"/>
      <c r="AU91" s="372"/>
      <c r="AV91" s="372"/>
      <c r="AW91" s="372"/>
      <c r="AX91" s="372"/>
      <c r="AY91" s="372"/>
      <c r="AZ91" s="372"/>
      <c r="BA91" s="372"/>
      <c r="BB91" s="372"/>
      <c r="BC91" s="372"/>
      <c r="BD91" s="372"/>
      <c r="BE91" s="372"/>
    </row>
    <row r="92" spans="1:57" x14ac:dyDescent="0.2">
      <c r="P92" s="372"/>
      <c r="Q92" s="372"/>
      <c r="R92" s="372"/>
      <c r="S92" s="372"/>
      <c r="T92" s="372"/>
      <c r="U92" s="372"/>
      <c r="V92" s="372"/>
      <c r="W92" s="372"/>
      <c r="X92" s="372"/>
      <c r="Y92" s="372"/>
      <c r="Z92" s="372"/>
      <c r="AA92" s="372"/>
      <c r="AB92" s="372"/>
      <c r="AC92" s="372"/>
      <c r="AD92" s="372"/>
      <c r="AE92" s="372"/>
      <c r="AF92" s="372"/>
      <c r="AG92" s="372"/>
      <c r="AH92" s="372"/>
      <c r="AI92" s="372"/>
      <c r="AJ92" s="372"/>
      <c r="AK92" s="372"/>
      <c r="AL92" s="372"/>
      <c r="AM92" s="372"/>
      <c r="AN92" s="372"/>
      <c r="AO92" s="372"/>
      <c r="AP92" s="372"/>
      <c r="AS92" s="372"/>
      <c r="AT92" s="372"/>
      <c r="AU92" s="372"/>
      <c r="AV92" s="372"/>
      <c r="AW92" s="372"/>
      <c r="AX92" s="372"/>
      <c r="AY92" s="372"/>
      <c r="AZ92" s="372"/>
      <c r="BA92" s="372"/>
      <c r="BB92" s="372"/>
      <c r="BC92" s="372"/>
      <c r="BD92" s="372"/>
      <c r="BE92" s="372"/>
    </row>
    <row r="93" spans="1:57" x14ac:dyDescent="0.2">
      <c r="P93" s="372"/>
      <c r="Q93" s="372"/>
      <c r="R93" s="372"/>
      <c r="S93" s="372"/>
      <c r="T93" s="372"/>
      <c r="U93" s="372"/>
      <c r="V93" s="372"/>
      <c r="W93" s="372"/>
      <c r="X93" s="372"/>
      <c r="Y93" s="372"/>
      <c r="Z93" s="372"/>
      <c r="AA93" s="372"/>
      <c r="AB93" s="372"/>
      <c r="AC93" s="372"/>
      <c r="AD93" s="372"/>
      <c r="AE93" s="372"/>
      <c r="AF93" s="372"/>
      <c r="AG93" s="372"/>
      <c r="AH93" s="372"/>
      <c r="AI93" s="372"/>
      <c r="AJ93" s="372"/>
      <c r="AK93" s="372"/>
      <c r="AL93" s="372"/>
      <c r="AM93" s="372"/>
      <c r="AN93" s="372"/>
      <c r="AO93" s="372"/>
      <c r="AP93" s="372"/>
      <c r="AS93" s="372"/>
      <c r="AT93" s="372"/>
      <c r="AU93" s="372"/>
      <c r="AV93" s="372"/>
      <c r="AW93" s="372"/>
      <c r="AX93" s="372"/>
      <c r="AY93" s="372"/>
      <c r="AZ93" s="372"/>
      <c r="BA93" s="372"/>
      <c r="BB93" s="372"/>
      <c r="BC93" s="372"/>
      <c r="BD93" s="372"/>
      <c r="BE93" s="372"/>
    </row>
    <row r="94" spans="1:57" x14ac:dyDescent="0.2">
      <c r="P94" s="372"/>
      <c r="Q94" s="372"/>
      <c r="R94" s="372"/>
      <c r="S94" s="372"/>
      <c r="T94" s="372"/>
      <c r="U94" s="372"/>
      <c r="V94" s="372"/>
      <c r="W94" s="372"/>
      <c r="X94" s="372"/>
      <c r="Y94" s="372"/>
      <c r="Z94" s="372"/>
      <c r="AA94" s="372"/>
      <c r="AB94" s="372"/>
      <c r="AC94" s="372"/>
      <c r="AD94" s="372"/>
      <c r="AE94" s="372"/>
      <c r="AF94" s="372"/>
      <c r="AG94" s="372"/>
      <c r="AH94" s="372"/>
      <c r="AI94" s="372"/>
      <c r="AJ94" s="372"/>
      <c r="AK94" s="372"/>
      <c r="AL94" s="372"/>
      <c r="AM94" s="372"/>
      <c r="AN94" s="372"/>
      <c r="AO94" s="372"/>
      <c r="AP94" s="372"/>
      <c r="AS94" s="372"/>
      <c r="AT94" s="372"/>
      <c r="AU94" s="372"/>
      <c r="AV94" s="372"/>
      <c r="AW94" s="372"/>
      <c r="AX94" s="372"/>
      <c r="AY94" s="372"/>
      <c r="AZ94" s="372"/>
      <c r="BA94" s="372"/>
      <c r="BB94" s="372"/>
      <c r="BC94" s="372"/>
      <c r="BD94" s="372"/>
      <c r="BE94" s="372"/>
    </row>
    <row r="95" spans="1:57" x14ac:dyDescent="0.2">
      <c r="P95" s="372"/>
      <c r="Q95" s="372"/>
      <c r="R95" s="372"/>
      <c r="S95" s="372"/>
      <c r="T95" s="372"/>
      <c r="U95" s="372"/>
      <c r="V95" s="372"/>
      <c r="W95" s="372"/>
      <c r="X95" s="372"/>
      <c r="Y95" s="372"/>
      <c r="Z95" s="372"/>
      <c r="AA95" s="372"/>
      <c r="AB95" s="372"/>
      <c r="AC95" s="372"/>
      <c r="AD95" s="372"/>
      <c r="AE95" s="372"/>
      <c r="AF95" s="372"/>
      <c r="AG95" s="372"/>
      <c r="AH95" s="372"/>
      <c r="AI95" s="372"/>
      <c r="AJ95" s="372"/>
      <c r="AK95" s="372"/>
      <c r="AL95" s="372"/>
      <c r="AM95" s="372"/>
      <c r="AN95" s="372"/>
      <c r="AO95" s="372"/>
      <c r="AP95" s="372"/>
      <c r="AS95" s="372"/>
      <c r="AT95" s="372"/>
      <c r="AU95" s="372"/>
      <c r="AV95" s="372"/>
      <c r="AW95" s="372"/>
      <c r="AX95" s="372"/>
      <c r="AY95" s="372"/>
      <c r="AZ95" s="372"/>
      <c r="BA95" s="372"/>
      <c r="BB95" s="372"/>
      <c r="BC95" s="372"/>
      <c r="BD95" s="372"/>
      <c r="BE95" s="372"/>
    </row>
    <row r="96" spans="1:57" x14ac:dyDescent="0.2">
      <c r="P96" s="372"/>
      <c r="Q96" s="372"/>
      <c r="R96" s="372"/>
      <c r="S96" s="372"/>
      <c r="T96" s="372"/>
      <c r="U96" s="372"/>
      <c r="V96" s="372"/>
      <c r="W96" s="372"/>
      <c r="X96" s="372"/>
      <c r="Y96" s="372"/>
      <c r="Z96" s="372"/>
      <c r="AA96" s="372"/>
      <c r="AB96" s="372"/>
      <c r="AC96" s="372"/>
      <c r="AD96" s="372"/>
      <c r="AE96" s="372"/>
      <c r="AF96" s="372"/>
      <c r="AG96" s="372"/>
      <c r="AH96" s="372"/>
      <c r="AI96" s="372"/>
      <c r="AJ96" s="372"/>
      <c r="AK96" s="372"/>
      <c r="AL96" s="372"/>
      <c r="AM96" s="372"/>
      <c r="AN96" s="372"/>
      <c r="AO96" s="372"/>
      <c r="AP96" s="372"/>
      <c r="AS96" s="372"/>
      <c r="AT96" s="372"/>
      <c r="AU96" s="372"/>
      <c r="AV96" s="372"/>
      <c r="AW96" s="372"/>
      <c r="AX96" s="372"/>
      <c r="AY96" s="372"/>
      <c r="AZ96" s="372"/>
      <c r="BA96" s="372"/>
      <c r="BB96" s="372"/>
      <c r="BC96" s="372"/>
      <c r="BD96" s="372"/>
      <c r="BE96" s="372"/>
    </row>
    <row r="97" spans="16:57" x14ac:dyDescent="0.2">
      <c r="P97" s="372"/>
      <c r="Q97" s="372"/>
      <c r="R97" s="372"/>
      <c r="S97" s="372"/>
      <c r="T97" s="372"/>
      <c r="U97" s="372"/>
      <c r="V97" s="372"/>
      <c r="W97" s="372"/>
      <c r="X97" s="372"/>
      <c r="Y97" s="372"/>
      <c r="Z97" s="372"/>
      <c r="AA97" s="372"/>
      <c r="AB97" s="372"/>
      <c r="AC97" s="372"/>
      <c r="AD97" s="372"/>
      <c r="AE97" s="372"/>
      <c r="AF97" s="372"/>
      <c r="AG97" s="372"/>
      <c r="AH97" s="372"/>
      <c r="AI97" s="372"/>
      <c r="AJ97" s="372"/>
      <c r="AK97" s="372"/>
      <c r="AL97" s="372"/>
      <c r="AM97" s="372"/>
      <c r="AN97" s="372"/>
      <c r="AO97" s="372"/>
      <c r="AP97" s="372"/>
      <c r="AS97" s="372"/>
      <c r="AT97" s="372"/>
      <c r="AU97" s="372"/>
      <c r="AV97" s="372"/>
      <c r="AW97" s="372"/>
      <c r="AX97" s="372"/>
      <c r="AY97" s="372"/>
      <c r="AZ97" s="372"/>
      <c r="BA97" s="372"/>
      <c r="BB97" s="372"/>
      <c r="BC97" s="372"/>
      <c r="BD97" s="372"/>
      <c r="BE97" s="372"/>
    </row>
    <row r="98" spans="16:57" x14ac:dyDescent="0.2">
      <c r="P98" s="372"/>
      <c r="Q98" s="372"/>
      <c r="R98" s="372"/>
      <c r="S98" s="372"/>
      <c r="T98" s="372"/>
      <c r="U98" s="372"/>
      <c r="V98" s="372"/>
      <c r="W98" s="372"/>
      <c r="X98" s="372"/>
      <c r="Y98" s="372"/>
      <c r="Z98" s="372"/>
      <c r="AA98" s="372"/>
      <c r="AB98" s="372"/>
      <c r="AC98" s="372"/>
      <c r="AD98" s="372"/>
      <c r="AE98" s="372"/>
      <c r="AF98" s="372"/>
      <c r="AG98" s="372"/>
      <c r="AH98" s="372"/>
      <c r="AI98" s="372"/>
      <c r="AJ98" s="372"/>
      <c r="AK98" s="372"/>
      <c r="AL98" s="372"/>
      <c r="AM98" s="372"/>
      <c r="AN98" s="372"/>
      <c r="AO98" s="372"/>
      <c r="AP98" s="372"/>
      <c r="AS98" s="372"/>
      <c r="AT98" s="372"/>
      <c r="AU98" s="372"/>
      <c r="AV98" s="372"/>
      <c r="AW98" s="372"/>
      <c r="AX98" s="372"/>
      <c r="AY98" s="372"/>
      <c r="AZ98" s="372"/>
      <c r="BA98" s="372"/>
      <c r="BB98" s="372"/>
      <c r="BC98" s="372"/>
      <c r="BD98" s="372"/>
      <c r="BE98" s="372"/>
    </row>
    <row r="99" spans="16:57" x14ac:dyDescent="0.2">
      <c r="P99" s="372"/>
      <c r="Q99" s="372"/>
      <c r="R99" s="372"/>
      <c r="S99" s="372"/>
      <c r="T99" s="372"/>
      <c r="U99" s="372"/>
      <c r="V99" s="372"/>
      <c r="W99" s="372"/>
      <c r="X99" s="372"/>
      <c r="Y99" s="372"/>
      <c r="Z99" s="372"/>
      <c r="AA99" s="372"/>
      <c r="AB99" s="372"/>
      <c r="AC99" s="372"/>
      <c r="AD99" s="372"/>
      <c r="AE99" s="372"/>
      <c r="AF99" s="372"/>
      <c r="AG99" s="372"/>
      <c r="AH99" s="372"/>
      <c r="AI99" s="372"/>
      <c r="AJ99" s="372"/>
      <c r="AK99" s="372"/>
      <c r="AL99" s="372"/>
      <c r="AM99" s="372"/>
      <c r="AN99" s="372"/>
      <c r="AO99" s="372"/>
      <c r="AP99" s="372"/>
      <c r="AS99" s="372"/>
      <c r="AT99" s="372"/>
      <c r="AU99" s="372"/>
      <c r="AV99" s="372"/>
      <c r="AW99" s="372"/>
      <c r="AX99" s="372"/>
      <c r="AY99" s="372"/>
      <c r="AZ99" s="372"/>
      <c r="BA99" s="372"/>
      <c r="BB99" s="372"/>
      <c r="BC99" s="372"/>
      <c r="BD99" s="372"/>
      <c r="BE99" s="372"/>
    </row>
    <row r="100" spans="16:57" x14ac:dyDescent="0.2">
      <c r="P100" s="372"/>
      <c r="Q100" s="372"/>
      <c r="R100" s="372"/>
      <c r="S100" s="372"/>
      <c r="T100" s="372"/>
      <c r="U100" s="372"/>
      <c r="V100" s="372"/>
      <c r="W100" s="372"/>
      <c r="X100" s="372"/>
      <c r="Y100" s="372"/>
      <c r="Z100" s="372"/>
      <c r="AA100" s="372"/>
      <c r="AB100" s="372"/>
      <c r="AC100" s="372"/>
      <c r="AD100" s="372"/>
      <c r="AE100" s="372"/>
      <c r="AF100" s="372"/>
      <c r="AG100" s="372"/>
      <c r="AH100" s="372"/>
      <c r="AI100" s="372"/>
      <c r="AJ100" s="372"/>
      <c r="AK100" s="372"/>
      <c r="AL100" s="372"/>
      <c r="AM100" s="372"/>
      <c r="AN100" s="372"/>
      <c r="AO100" s="372"/>
      <c r="AP100" s="372"/>
      <c r="AS100" s="372"/>
      <c r="AT100" s="372"/>
      <c r="AU100" s="372"/>
      <c r="AV100" s="372"/>
      <c r="AW100" s="372"/>
      <c r="AX100" s="372"/>
      <c r="AY100" s="372"/>
      <c r="AZ100" s="372"/>
      <c r="BA100" s="372"/>
      <c r="BB100" s="372"/>
      <c r="BC100" s="372"/>
      <c r="BD100" s="372"/>
      <c r="BE100" s="372"/>
    </row>
  </sheetData>
  <mergeCells count="42">
    <mergeCell ref="AB60:AD60"/>
    <mergeCell ref="W60:Z60"/>
    <mergeCell ref="W56:AF56"/>
    <mergeCell ref="AD37:AE37"/>
    <mergeCell ref="AB37:AC37"/>
    <mergeCell ref="W54:X54"/>
    <mergeCell ref="J81:N81"/>
    <mergeCell ref="P51:Q51"/>
    <mergeCell ref="P52:Q52"/>
    <mergeCell ref="P53:Q53"/>
    <mergeCell ref="C6:C7"/>
    <mergeCell ref="C8:C9"/>
    <mergeCell ref="B56:G56"/>
    <mergeCell ref="H56:N56"/>
    <mergeCell ref="J80:N80"/>
    <mergeCell ref="D8:D9"/>
    <mergeCell ref="E8:E9"/>
    <mergeCell ref="B80:G81"/>
    <mergeCell ref="D11:L11"/>
    <mergeCell ref="M11:R11"/>
    <mergeCell ref="D44:R44"/>
    <mergeCell ref="C3:F3"/>
    <mergeCell ref="G3:H3"/>
    <mergeCell ref="J3:M3"/>
    <mergeCell ref="J5:K9"/>
    <mergeCell ref="O3:S3"/>
    <mergeCell ref="G5:H5"/>
    <mergeCell ref="O5:S5"/>
    <mergeCell ref="D5:E5"/>
    <mergeCell ref="AI50:AN53"/>
    <mergeCell ref="AA47:AC47"/>
    <mergeCell ref="W3:AN3"/>
    <mergeCell ref="AI49:AN49"/>
    <mergeCell ref="W52:X52"/>
    <mergeCell ref="W53:X53"/>
    <mergeCell ref="W49:X49"/>
    <mergeCell ref="W50:X50"/>
    <mergeCell ref="W51:X51"/>
    <mergeCell ref="W34:AN34"/>
    <mergeCell ref="W37:Y37"/>
    <mergeCell ref="Z37:AA37"/>
    <mergeCell ref="W36:AF36"/>
  </mergeCells>
  <phoneticPr fontId="15" type="noConversion"/>
  <dataValidations disablePrompts="1" count="10">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63500</xdr:colOff>
                    <xdr:row>7</xdr:row>
                    <xdr:rowOff>25400</xdr:rowOff>
                  </from>
                  <to>
                    <xdr:col>2</xdr:col>
                    <xdr:colOff>1320800</xdr:colOff>
                    <xdr:row>8</xdr:row>
                    <xdr:rowOff>177800</xdr:rowOff>
                  </to>
                </anchor>
              </controlPr>
            </control>
          </mc:Choice>
        </mc:AlternateContent>
      </controls>
    </mc:Choice>
  </mc:AlternateContent>
  <tableParts count="3">
    <tablePart r:id="rId5"/>
    <tablePart r:id="rId6"/>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748E8-3297-4D9F-9DE9-5BF7F01946FA}">
  <sheetPr codeName="Hoja35"/>
  <dimension ref="A1:BE100"/>
  <sheetViews>
    <sheetView showGridLines="0" zoomScale="55" zoomScaleNormal="55" workbookViewId="0">
      <selection activeCell="A49" sqref="A49:XFD49"/>
    </sheetView>
  </sheetViews>
  <sheetFormatPr baseColWidth="10" defaultColWidth="11.1640625" defaultRowHeight="15" x14ac:dyDescent="0.2"/>
  <cols>
    <col min="1" max="2" width="3.33203125" customWidth="1"/>
    <col min="3" max="3" width="19.6640625" customWidth="1"/>
    <col min="4" max="4" width="21.1640625" customWidth="1"/>
    <col min="5" max="19" width="19.6640625" customWidth="1"/>
    <col min="20" max="22" width="4" customWidth="1"/>
    <col min="23" max="40" width="12.83203125" customWidth="1"/>
    <col min="41" max="41" width="3.1640625" customWidth="1"/>
    <col min="43" max="43" width="11.1640625" style="372"/>
    <col min="44" max="44" width="11.1640625" style="372" customWidth="1"/>
  </cols>
  <sheetData>
    <row r="1" spans="1:44" ht="16.25" customHeight="1" x14ac:dyDescent="0.2">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15"/>
      <c r="AR1" s="371"/>
    </row>
    <row r="2" spans="1:44" ht="16.25" customHeight="1" x14ac:dyDescent="0.2">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15"/>
      <c r="AR2" s="371"/>
    </row>
    <row r="3" spans="1:44" ht="16.25" customHeight="1" x14ac:dyDescent="0.2">
      <c r="A3" s="83"/>
      <c r="B3" s="103"/>
      <c r="C3" s="917" t="s">
        <v>140</v>
      </c>
      <c r="D3" s="918"/>
      <c r="E3" s="918"/>
      <c r="F3" s="918"/>
      <c r="G3" s="917" t="s">
        <v>141</v>
      </c>
      <c r="H3" s="919"/>
      <c r="J3" s="917" t="s">
        <v>142</v>
      </c>
      <c r="K3" s="918"/>
      <c r="L3" s="918"/>
      <c r="M3" s="919"/>
      <c r="N3" s="186"/>
      <c r="O3" s="917" t="str">
        <f>+E6</f>
        <v>GSR Island</v>
      </c>
      <c r="P3" s="918"/>
      <c r="Q3" s="918"/>
      <c r="R3" s="918"/>
      <c r="S3" s="919"/>
      <c r="T3" s="104"/>
      <c r="U3" s="104"/>
      <c r="V3" s="83"/>
      <c r="W3" s="970" t="str">
        <f>+E6&amp;" Diagram"</f>
        <v>GSR Island Diagram</v>
      </c>
      <c r="X3" s="971"/>
      <c r="Y3" s="971"/>
      <c r="Z3" s="971"/>
      <c r="AA3" s="971"/>
      <c r="AB3" s="971"/>
      <c r="AC3" s="971"/>
      <c r="AD3" s="971"/>
      <c r="AE3" s="971"/>
      <c r="AF3" s="971"/>
      <c r="AG3" s="971"/>
      <c r="AH3" s="971"/>
      <c r="AI3" s="971"/>
      <c r="AJ3" s="971"/>
      <c r="AK3" s="971"/>
      <c r="AL3" s="971"/>
      <c r="AM3" s="971"/>
      <c r="AN3" s="972"/>
      <c r="AO3" s="104"/>
      <c r="AP3" s="83"/>
      <c r="AQ3" s="215"/>
      <c r="AR3" s="371"/>
    </row>
    <row r="4" spans="1:44" ht="16.25" customHeight="1" x14ac:dyDescent="0.2">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15"/>
      <c r="AR4" s="371"/>
    </row>
    <row r="5" spans="1:44" ht="16.25" customHeight="1" x14ac:dyDescent="0.2">
      <c r="A5" s="83"/>
      <c r="B5" s="103"/>
      <c r="C5" s="83"/>
      <c r="D5" s="920" t="s">
        <v>143</v>
      </c>
      <c r="E5" s="921"/>
      <c r="F5" s="83"/>
      <c r="G5" s="920" t="s">
        <v>40</v>
      </c>
      <c r="H5" s="921"/>
      <c r="J5" s="973"/>
      <c r="K5" s="974"/>
      <c r="L5" s="190" t="s">
        <v>144</v>
      </c>
      <c r="M5" s="191" t="s">
        <v>145</v>
      </c>
      <c r="N5" s="394"/>
      <c r="O5" s="833" t="s">
        <v>82</v>
      </c>
      <c r="P5" s="834"/>
      <c r="Q5" s="834"/>
      <c r="R5" s="834"/>
      <c r="S5" s="835"/>
      <c r="T5" s="104"/>
      <c r="U5" s="104"/>
      <c r="V5" s="83"/>
      <c r="W5" s="83"/>
      <c r="X5" s="83"/>
      <c r="Y5" s="83"/>
      <c r="Z5" s="83"/>
      <c r="AA5" s="83"/>
      <c r="AB5" s="83"/>
      <c r="AC5" s="83"/>
      <c r="AD5" s="83"/>
      <c r="AE5" s="83"/>
      <c r="AF5" s="83"/>
      <c r="AG5" s="83"/>
      <c r="AH5" s="83"/>
      <c r="AI5" s="83"/>
      <c r="AJ5" s="83"/>
      <c r="AK5" s="83"/>
      <c r="AL5" s="83"/>
      <c r="AM5" s="83"/>
      <c r="AN5" s="83"/>
      <c r="AO5" s="104"/>
      <c r="AP5" s="83"/>
      <c r="AQ5" s="215"/>
      <c r="AR5" s="371"/>
    </row>
    <row r="6" spans="1:44" ht="16.25" customHeight="1" x14ac:dyDescent="0.2">
      <c r="A6" s="83"/>
      <c r="B6" s="103"/>
      <c r="C6" s="979" t="s">
        <v>146</v>
      </c>
      <c r="D6" s="242" t="s">
        <v>147</v>
      </c>
      <c r="E6" s="409" t="str">
        <f>+'Plant Overview'!V37</f>
        <v>GSR Island</v>
      </c>
      <c r="F6" s="83"/>
      <c r="G6" s="85"/>
      <c r="H6" s="324" t="s">
        <v>43</v>
      </c>
      <c r="J6" s="975"/>
      <c r="K6" s="976"/>
      <c r="L6" s="169" t="s">
        <v>148</v>
      </c>
      <c r="M6" s="86" t="s">
        <v>149</v>
      </c>
      <c r="N6" s="394"/>
      <c r="O6" s="488"/>
      <c r="P6" s="394"/>
      <c r="Q6" s="394"/>
      <c r="R6" s="394"/>
      <c r="S6" s="489"/>
      <c r="T6" s="104"/>
      <c r="U6" s="104"/>
      <c r="V6" s="83"/>
      <c r="W6" s="83"/>
      <c r="X6" s="83"/>
      <c r="Y6" s="83"/>
      <c r="Z6" s="83"/>
      <c r="AA6" s="83"/>
      <c r="AB6" s="83"/>
      <c r="AC6" s="83"/>
      <c r="AD6" s="83"/>
      <c r="AE6" s="83"/>
      <c r="AF6" s="83"/>
      <c r="AG6" s="83"/>
      <c r="AH6" s="83"/>
      <c r="AI6" s="83"/>
      <c r="AJ6" s="83"/>
      <c r="AK6" s="83"/>
      <c r="AL6" s="83"/>
      <c r="AM6" s="83"/>
      <c r="AN6" s="83"/>
      <c r="AO6" s="104"/>
      <c r="AP6" s="83"/>
      <c r="AQ6" s="215"/>
      <c r="AR6" s="371"/>
    </row>
    <row r="7" spans="1:44" ht="16.25" customHeight="1" x14ac:dyDescent="0.2">
      <c r="A7" s="83"/>
      <c r="B7" s="103"/>
      <c r="C7" s="980"/>
      <c r="D7" s="242" t="s">
        <v>150</v>
      </c>
      <c r="E7" s="409" t="str">
        <f>+'Plant Overview'!W37</f>
        <v>U-100</v>
      </c>
      <c r="F7" s="83"/>
      <c r="G7" s="95"/>
      <c r="H7" s="324" t="s">
        <v>49</v>
      </c>
      <c r="J7" s="975"/>
      <c r="K7" s="976"/>
      <c r="L7" s="190" t="s">
        <v>151</v>
      </c>
      <c r="M7" s="191" t="s">
        <v>152</v>
      </c>
      <c r="N7" s="394"/>
      <c r="O7" s="488"/>
      <c r="P7" s="394"/>
      <c r="Q7" s="394"/>
      <c r="R7" s="394"/>
      <c r="S7" s="489"/>
      <c r="T7" s="104"/>
      <c r="U7" s="104"/>
      <c r="V7" s="83"/>
      <c r="W7" s="83"/>
      <c r="X7" s="83"/>
      <c r="Y7" s="83"/>
      <c r="Z7" s="83"/>
      <c r="AA7" s="83"/>
      <c r="AB7" s="83"/>
      <c r="AC7" s="83"/>
      <c r="AD7" s="83"/>
      <c r="AE7" s="83"/>
      <c r="AF7" s="83"/>
      <c r="AG7" s="83"/>
      <c r="AH7" s="83"/>
      <c r="AI7" s="83"/>
      <c r="AJ7" s="83"/>
      <c r="AK7" s="83"/>
      <c r="AL7" s="83"/>
      <c r="AM7" s="83"/>
      <c r="AN7" s="83"/>
      <c r="AO7" s="104"/>
      <c r="AP7" s="83"/>
      <c r="AQ7" s="215"/>
      <c r="AR7" s="371"/>
    </row>
    <row r="8" spans="1:44" ht="16.25" customHeight="1" x14ac:dyDescent="0.2">
      <c r="A8" s="83"/>
      <c r="B8" s="103"/>
      <c r="C8" s="880"/>
      <c r="D8" s="981" t="s">
        <v>153</v>
      </c>
      <c r="E8" s="983" t="s">
        <v>154</v>
      </c>
      <c r="F8" s="83"/>
      <c r="G8" s="94"/>
      <c r="H8" s="98" t="s">
        <v>51</v>
      </c>
      <c r="J8" s="975"/>
      <c r="K8" s="976"/>
      <c r="L8" s="190" t="s">
        <v>155</v>
      </c>
      <c r="M8" s="191" t="s">
        <v>156</v>
      </c>
      <c r="N8" s="394"/>
      <c r="O8" s="488"/>
      <c r="P8" s="394"/>
      <c r="Q8" s="394"/>
      <c r="R8" s="394"/>
      <c r="S8" s="489"/>
      <c r="T8" s="104"/>
      <c r="U8" s="104"/>
      <c r="V8" s="83"/>
      <c r="W8" s="83"/>
      <c r="X8" s="83"/>
      <c r="Y8" s="83"/>
      <c r="Z8" s="83"/>
      <c r="AA8" s="83"/>
      <c r="AB8" s="83"/>
      <c r="AC8" s="83"/>
      <c r="AD8" s="83"/>
      <c r="AE8" s="83"/>
      <c r="AF8" s="83"/>
      <c r="AG8" s="83"/>
      <c r="AH8" s="83"/>
      <c r="AI8" s="83"/>
      <c r="AJ8" s="83"/>
      <c r="AK8" s="83"/>
      <c r="AL8" s="83"/>
      <c r="AM8" s="83"/>
      <c r="AN8" s="83"/>
      <c r="AO8" s="104"/>
      <c r="AP8" s="83"/>
      <c r="AQ8" s="215"/>
      <c r="AR8" s="371"/>
    </row>
    <row r="9" spans="1:44" ht="16.25" customHeight="1" x14ac:dyDescent="0.2">
      <c r="A9" s="83"/>
      <c r="B9" s="103"/>
      <c r="C9" s="881"/>
      <c r="D9" s="982"/>
      <c r="E9" s="984"/>
      <c r="F9" s="83"/>
      <c r="G9" s="108"/>
      <c r="H9" s="310" t="s">
        <v>54</v>
      </c>
      <c r="J9" s="977"/>
      <c r="K9" s="978"/>
      <c r="L9" s="190" t="s">
        <v>157</v>
      </c>
      <c r="M9" s="191" t="s">
        <v>158</v>
      </c>
      <c r="N9" s="394"/>
      <c r="O9" s="490"/>
      <c r="P9" s="491"/>
      <c r="Q9" s="491"/>
      <c r="R9" s="491"/>
      <c r="S9" s="492"/>
      <c r="T9" s="104"/>
      <c r="U9" s="104"/>
      <c r="V9" s="83"/>
      <c r="W9" s="83"/>
      <c r="X9" s="83"/>
      <c r="Y9" s="83"/>
      <c r="Z9" s="83"/>
      <c r="AA9" s="83"/>
      <c r="AB9" s="83"/>
      <c r="AC9" s="83"/>
      <c r="AD9" s="83"/>
      <c r="AE9" s="83"/>
      <c r="AF9" s="83"/>
      <c r="AG9" s="83"/>
      <c r="AH9" s="83"/>
      <c r="AI9" s="83"/>
      <c r="AJ9" s="83"/>
      <c r="AK9" s="83"/>
      <c r="AL9" s="83"/>
      <c r="AM9" s="83"/>
      <c r="AN9" s="83"/>
      <c r="AO9" s="104"/>
      <c r="AP9" s="83"/>
      <c r="AQ9" s="215"/>
      <c r="AR9" s="371"/>
    </row>
    <row r="10" spans="1:44" ht="16.25" customHeight="1" x14ac:dyDescent="0.2">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15"/>
      <c r="AR10" s="371"/>
    </row>
    <row r="11" spans="1:44" ht="16.25" customHeight="1" x14ac:dyDescent="0.2">
      <c r="A11" s="83"/>
      <c r="B11" s="103"/>
      <c r="C11" s="83"/>
      <c r="D11" s="917" t="s">
        <v>159</v>
      </c>
      <c r="E11" s="918"/>
      <c r="F11" s="918"/>
      <c r="G11" s="918"/>
      <c r="H11" s="918"/>
      <c r="I11" s="918"/>
      <c r="J11" s="918"/>
      <c r="K11" s="918"/>
      <c r="L11" s="919"/>
      <c r="M11" s="917" t="s">
        <v>160</v>
      </c>
      <c r="N11" s="918"/>
      <c r="O11" s="918"/>
      <c r="P11" s="918"/>
      <c r="Q11" s="918"/>
      <c r="R11" s="919"/>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15"/>
      <c r="AR11" s="371"/>
    </row>
    <row r="12" spans="1:44" ht="16.25" customHeight="1" x14ac:dyDescent="0.2">
      <c r="A12" s="83"/>
      <c r="B12" s="103"/>
      <c r="C12" s="416" t="s">
        <v>161</v>
      </c>
      <c r="D12" s="572" t="s">
        <v>141</v>
      </c>
      <c r="E12" s="572" t="s">
        <v>162</v>
      </c>
      <c r="F12" s="417" t="s">
        <v>163</v>
      </c>
      <c r="G12" s="417" t="s">
        <v>164</v>
      </c>
      <c r="H12" s="418" t="s">
        <v>75</v>
      </c>
      <c r="I12" s="572" t="s">
        <v>165</v>
      </c>
      <c r="J12" s="569" t="s">
        <v>166</v>
      </c>
      <c r="K12" s="417" t="s">
        <v>167</v>
      </c>
      <c r="L12" s="417" t="s">
        <v>168</v>
      </c>
      <c r="M12" s="420" t="s">
        <v>169</v>
      </c>
      <c r="N12" s="420" t="s">
        <v>170</v>
      </c>
      <c r="O12" s="420" t="s">
        <v>171</v>
      </c>
      <c r="P12" s="420" t="s">
        <v>172</v>
      </c>
      <c r="Q12" s="420" t="s">
        <v>173</v>
      </c>
      <c r="R12" s="419" t="s">
        <v>174</v>
      </c>
      <c r="S12" s="420" t="s">
        <v>175</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15"/>
      <c r="AR12" s="371"/>
    </row>
    <row r="13" spans="1:44" ht="16.25" customHeight="1" x14ac:dyDescent="0.2">
      <c r="A13" s="83"/>
      <c r="B13" s="103"/>
      <c r="C13" s="182" t="s">
        <v>360</v>
      </c>
      <c r="D13" s="208" t="s">
        <v>177</v>
      </c>
      <c r="E13" s="208" t="s">
        <v>178</v>
      </c>
      <c r="F13" s="152">
        <f>+AK41</f>
        <v>133.27968833411245</v>
      </c>
      <c r="G13" s="96">
        <v>1</v>
      </c>
      <c r="H13" s="96" t="s">
        <v>179</v>
      </c>
      <c r="I13" s="96" t="s">
        <v>180</v>
      </c>
      <c r="J13" s="96" t="str">
        <f>+IF(F13&gt;'Equipment Data'!$F$239,"yes","No")</f>
        <v>No</v>
      </c>
      <c r="K13" s="96">
        <v>0.67</v>
      </c>
      <c r="L13" s="152">
        <f>+AK42</f>
        <v>3.2376857533792074</v>
      </c>
      <c r="M13" s="156">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86144.396788152197</v>
      </c>
      <c r="N13" s="155">
        <f>+IF(L13="","Input Diameter in m",IF(G13&gt;0.5,IF(((G13*L13)/(2*(850-0.6*G13))+0.00315)/0.0063&lt;1,1,((G13*L13)/(2*(850-0.6*G13))+0.00315)/0.0063),1.25))</f>
        <v>1</v>
      </c>
      <c r="O13" s="96">
        <f>+IF(I13="CS",'Equipment Data'!$C$247,IF(I13="SS Clad",'Equipment Data'!$C$248,IF(I13="SS",'Equipment Data'!$C$249,IF(I13="Ni Clad",'Equipment Data'!$C$250,IF(I13="Ni",'Equipment Data'!$C$251,IF(I13="Ti Clad",'Equipment Data'!$C$252,IF(I13="Ti",'Equipment Data'!$C$253,"N/A")))))))</f>
        <v>7.07</v>
      </c>
      <c r="P13" s="153">
        <f>+'Equipment Data'!$C$244+'Equipment Data'!$D$244*N13*O13</f>
        <v>15.117400000000002</v>
      </c>
      <c r="Q13" s="153">
        <f>+M13*P13</f>
        <v>1302279.3040052122</v>
      </c>
      <c r="R13" s="151">
        <v>1</v>
      </c>
      <c r="S13" s="199">
        <f>+IF(Tabla25879012013593[[#This Row],[Equipment]]="","",Q13*R13/10^6)*AH37</f>
        <v>2.6045586080104242</v>
      </c>
      <c r="T13" s="587">
        <f ca="1">+$S$52/$R$52*S13</f>
        <v>4.2039489333770481</v>
      </c>
      <c r="U13" s="104"/>
      <c r="V13" s="83"/>
      <c r="W13" s="83"/>
      <c r="X13" s="83"/>
      <c r="Y13" s="83"/>
      <c r="Z13" s="83"/>
      <c r="AA13" s="83"/>
      <c r="AB13" s="83"/>
      <c r="AC13" s="83"/>
      <c r="AD13" s="83"/>
      <c r="AE13" s="83"/>
      <c r="AF13" s="83"/>
      <c r="AG13" s="83"/>
      <c r="AH13" s="83"/>
      <c r="AI13" s="83"/>
      <c r="AJ13" s="83"/>
      <c r="AK13" s="83"/>
      <c r="AL13" s="83"/>
      <c r="AM13" s="83"/>
      <c r="AN13" s="83"/>
      <c r="AO13" s="104"/>
      <c r="AP13" s="83"/>
      <c r="AQ13" s="215"/>
      <c r="AR13" s="371"/>
    </row>
    <row r="14" spans="1:44" ht="16.25" customHeight="1" x14ac:dyDescent="0.2">
      <c r="A14" s="83"/>
      <c r="B14" s="103"/>
      <c r="C14" s="99" t="s">
        <v>361</v>
      </c>
      <c r="D14" s="208" t="s">
        <v>177</v>
      </c>
      <c r="E14" s="208" t="s">
        <v>178</v>
      </c>
      <c r="F14" s="152">
        <f>+AK40</f>
        <v>5.4977871437821388E-2</v>
      </c>
      <c r="G14" s="96">
        <v>32.700000000000003</v>
      </c>
      <c r="H14" s="96" t="s">
        <v>179</v>
      </c>
      <c r="I14" s="96" t="s">
        <v>180</v>
      </c>
      <c r="J14" s="96" t="str">
        <f>+IF(F14&gt;'Equipment Data'!$F$239,"yes","No")</f>
        <v>No</v>
      </c>
      <c r="K14" s="96">
        <v>0.67</v>
      </c>
      <c r="L14" s="96">
        <f>+AH40</f>
        <v>0.1</v>
      </c>
      <c r="M14" s="156">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1267.1606149074544</v>
      </c>
      <c r="N14" s="155">
        <f>+IF(L14="","Input Diameter in m",IF(G14&gt;0.5,IF(((G14*L14)/(2*(850-0.6*G14))+0.00315)/0.0063&lt;1,1,((G14*L14)/(2*(850-0.6*G14))+0.00315)/0.0063),1.25))</f>
        <v>1</v>
      </c>
      <c r="O14" s="96">
        <f>+IF(I14="CS",'Equipment Data'!$C$247,IF(I14="SS Clad",'Equipment Data'!$C$248,IF(I14="SS",'Equipment Data'!$C$249,IF(I14="Ni Clad",'Equipment Data'!$C$250,IF(I14="Ni",'Equipment Data'!$C$251,IF(I14="Ti Clad",'Equipment Data'!$C$252,IF(I14="Ti",'Equipment Data'!$C$253,"N/A")))))))</f>
        <v>7.07</v>
      </c>
      <c r="P14" s="153">
        <f>+'Equipment Data'!$C$244+'Equipment Data'!$D$244*N14*O14</f>
        <v>15.117400000000002</v>
      </c>
      <c r="Q14" s="153">
        <f>+M14*P14</f>
        <v>19156.173879801954</v>
      </c>
      <c r="R14" s="698">
        <f>+AH42</f>
        <v>800</v>
      </c>
      <c r="S14" s="193">
        <f>+IF(Tabla25879012013593[[#This Row],[Equipment]]="","",Q14*R14/10^6)*AH38</f>
        <v>30.649878207683127</v>
      </c>
      <c r="T14" s="587">
        <f t="shared" ref="T14:T43" ca="1" si="0">+$S$52/$R$52*S14</f>
        <v>49.471155075198141</v>
      </c>
      <c r="U14" s="104"/>
      <c r="V14" s="83"/>
      <c r="W14" s="83"/>
      <c r="X14" s="83"/>
      <c r="Y14" s="83"/>
      <c r="Z14" s="83"/>
      <c r="AA14" s="83"/>
      <c r="AB14" s="83"/>
      <c r="AC14" s="83"/>
      <c r="AD14" s="83"/>
      <c r="AE14" s="83"/>
      <c r="AF14" s="83"/>
      <c r="AG14" s="83"/>
      <c r="AH14" s="83"/>
      <c r="AI14" s="83"/>
      <c r="AJ14" s="83"/>
      <c r="AK14" s="83"/>
      <c r="AL14" s="83"/>
      <c r="AM14" s="83"/>
      <c r="AN14" s="83"/>
      <c r="AO14" s="104"/>
      <c r="AP14" s="83"/>
      <c r="AQ14" s="215"/>
      <c r="AR14" s="371"/>
    </row>
    <row r="15" spans="1:44" ht="16.25" customHeight="1" x14ac:dyDescent="0.2">
      <c r="A15" s="83"/>
      <c r="B15" s="103"/>
      <c r="C15" s="99" t="s">
        <v>362</v>
      </c>
      <c r="D15" s="208" t="s">
        <v>189</v>
      </c>
      <c r="E15" s="208" t="s">
        <v>363</v>
      </c>
      <c r="F15" s="96">
        <v>10045</v>
      </c>
      <c r="G15" s="96" t="s">
        <v>187</v>
      </c>
      <c r="H15" s="96" t="s">
        <v>186</v>
      </c>
      <c r="I15" s="96" t="s">
        <v>182</v>
      </c>
      <c r="J15" s="96" t="str">
        <f>+IF(F15&gt;'Equipment Data'!$J$20,"yes","No")</f>
        <v>yes</v>
      </c>
      <c r="K15" s="96">
        <v>0.67</v>
      </c>
      <c r="L15" s="96" t="s">
        <v>187</v>
      </c>
      <c r="M15" s="156">
        <f>+IF(AND(D15="Compressor",E15="Axial"),IF(F15&lt;'Equipment Data'!$J$20,10^('Equipment Data'!$C$20+'Equipment Data'!$D$20*LOG10(F15)+'Equipment Data'!$E$20*LOG10(F15)*LOG10(F15)),10^('Equipment Data'!$C$20+'Equipment Data'!$D$20*LOG10('Equipment Data'!$J$20)+'Equipment Data'!$E$20*LOG10('Equipment Data'!$J$20)*LOG10('Equipment Data'!$J$20))*(F15/'Equipment Data'!$J$20)^K15),"N/A")</f>
        <v>1346882.6166381421</v>
      </c>
      <c r="N15" s="96" t="s">
        <v>187</v>
      </c>
      <c r="O15" s="96" t="s">
        <v>187</v>
      </c>
      <c r="P15" s="152">
        <f>+IF(I15="CS",'Equipment Data'!$F$20,IF(I15="SS",'Equipment Data'!$G$20,IF(I15="Ni",'Equipment Data'!$H$20,"N/A")))</f>
        <v>3.83</v>
      </c>
      <c r="Q15" s="153">
        <f t="shared" ref="Q15:Q27" si="1">+M15*P15</f>
        <v>5158560.4217240848</v>
      </c>
      <c r="R15" s="97">
        <v>1</v>
      </c>
      <c r="S15" s="193">
        <f>+IF(Tabla25879012013593[[#This Row],[Equipment]]="","",Q15*R15/10^6)</f>
        <v>5.1585604217240846</v>
      </c>
      <c r="T15" s="587">
        <f t="shared" ca="1" si="0"/>
        <v>8.3262954866789567</v>
      </c>
      <c r="U15" s="104"/>
      <c r="V15" s="83"/>
      <c r="W15" s="83"/>
      <c r="X15" s="83"/>
      <c r="Y15" s="83"/>
      <c r="Z15" s="83"/>
      <c r="AA15" s="83"/>
      <c r="AB15" s="83"/>
      <c r="AC15" s="83"/>
      <c r="AD15" s="83"/>
      <c r="AE15" s="83"/>
      <c r="AF15" s="83"/>
      <c r="AG15" s="83"/>
      <c r="AH15" s="83"/>
      <c r="AI15" s="83"/>
      <c r="AJ15" s="83"/>
      <c r="AK15" s="83"/>
      <c r="AL15" s="83"/>
      <c r="AM15" s="83"/>
      <c r="AN15" s="83"/>
      <c r="AO15" s="104"/>
      <c r="AP15" s="83"/>
      <c r="AQ15" s="215"/>
      <c r="AR15" s="371"/>
    </row>
    <row r="16" spans="1:44" ht="16.25" customHeight="1" x14ac:dyDescent="0.2">
      <c r="A16" s="83"/>
      <c r="B16" s="103"/>
      <c r="C16" s="99" t="str">
        <f>+W39</f>
        <v>E-101</v>
      </c>
      <c r="D16" s="208" t="s">
        <v>194</v>
      </c>
      <c r="E16" s="208" t="s">
        <v>195</v>
      </c>
      <c r="F16" s="158">
        <f>+X39*0.277777777777778/AD39</f>
        <v>4952.4510485684696</v>
      </c>
      <c r="G16" s="96">
        <f>+Z39</f>
        <v>33.5</v>
      </c>
      <c r="H16" s="96" t="s">
        <v>196</v>
      </c>
      <c r="I16" s="96" t="s">
        <v>364</v>
      </c>
      <c r="J16" s="96" t="str">
        <f>+IF(F16&gt;'Equipment Data'!$L$126,"yes","No")</f>
        <v>yes</v>
      </c>
      <c r="K16" s="96">
        <v>0.67</v>
      </c>
      <c r="L16" s="96" t="s">
        <v>289</v>
      </c>
      <c r="M16" s="156">
        <f>+IF(AND(D16="Heat Exchanger",E16="Fixed tube, sheet, or U tube"),IF(F16&lt;'Equipment Data'!$L$126,10^('Equipment Data'!$C$126+'Equipment Data'!$D$126*LOG10(F16)+'Equipment Data'!$E$126*LOG10(F16)*LOG10(F16)),10^('Equipment Data'!$C$126+'Equipment Data'!$D$126*LOG10('Equipment Data'!$L$126)+'Equipment Data'!$E$126*LOG10('Equipment Data'!$L$126)*LOG10('Equipment Data'!$L$126))*(F16/'Equipment Data'!$L$126)^K16),"N/A")</f>
        <v>224817.19677495916</v>
      </c>
      <c r="N16" s="152">
        <f>+IF(L16="","Input: shell and tube / tube only",IF(L16="shell and tube",IF(G16-1&gt;5,10^('Equipment Data'!$F$126+'Equipment Data'!$G$126*LOG10(G16-1.01325)+'Equipment Data'!$H$126*LOG10(G16-1.01325)*LOG10(G16-1.01325)),1),IF(G16-1.01325&gt;5,10^('Equipment Data'!$F$127+'Equipment Data'!$G$127*LOG10(G16-1.01325)+'Equipment Data'!$H$127*LOG10(G16-1.01325)*LOG10(G16-1.01325)),1)))</f>
        <v>1.0398968160539355</v>
      </c>
      <c r="O16" s="96">
        <f>+IF(I16="CS/CS",'Equipment Data'!$C$149,IF(I16="CS/Cu",'Equipment Data'!$D$149,IF(I16="Cu/Cu",'Equipment Data'!$E$149,IF(I16="CS/SS",'Equipment Data'!$F$149,IF(I16="SS/SS",'Equipment Data'!$G$149,IF(I16="CS/Ni",'Equipment Data'!$H$149,IF(I16="Ni/Ni",'Equipment Data'!$I$149,IF(I16="CS/Ti",'Equipment Data'!$J$149,IF(I16="Ti/Ti",'Equipment Data'!$K$149,"N/A")))))))))</f>
        <v>1.81</v>
      </c>
      <c r="P16" s="152">
        <f>+'Equipment Data'!$I$126+'Equipment Data'!$J$126*N16*O16</f>
        <v>4.7544739735156547</v>
      </c>
      <c r="Q16" s="153">
        <f t="shared" si="1"/>
        <v>1068887.5108652909</v>
      </c>
      <c r="R16" s="97">
        <v>1</v>
      </c>
      <c r="S16" s="193">
        <f>+IF(Tabla25879012013593[[#This Row],[Equipment]]="","",Q16*R16/10^6)</f>
        <v>1.0688875108652909</v>
      </c>
      <c r="T16" s="587">
        <f t="shared" ca="1" si="0"/>
        <v>1.7252629667775949</v>
      </c>
      <c r="U16" s="104"/>
      <c r="V16" s="83"/>
      <c r="W16" s="83"/>
      <c r="X16" s="83"/>
      <c r="Y16" s="83"/>
      <c r="Z16" s="83"/>
      <c r="AA16" s="83"/>
      <c r="AB16" s="83"/>
      <c r="AC16" s="83"/>
      <c r="AD16" s="83"/>
      <c r="AE16" s="83"/>
      <c r="AF16" s="83"/>
      <c r="AG16" s="83"/>
      <c r="AH16" s="83"/>
      <c r="AI16" s="83"/>
      <c r="AJ16" s="83"/>
      <c r="AK16" s="83"/>
      <c r="AL16" s="83"/>
      <c r="AM16" s="83"/>
      <c r="AN16" s="83"/>
      <c r="AO16" s="104"/>
      <c r="AP16" s="83"/>
      <c r="AQ16" s="215"/>
      <c r="AR16" s="371"/>
    </row>
    <row r="17" spans="1:44" ht="16.25" customHeight="1" x14ac:dyDescent="0.2">
      <c r="A17" s="83"/>
      <c r="B17" s="103"/>
      <c r="C17" s="99" t="str">
        <f t="shared" ref="C17:C23" si="2">+W40</f>
        <v>E-102</v>
      </c>
      <c r="D17" s="208" t="s">
        <v>194</v>
      </c>
      <c r="E17" s="208" t="s">
        <v>195</v>
      </c>
      <c r="F17" s="158">
        <f t="shared" ref="F17:F24" si="3">+X40*0.277777777777778/AD40</f>
        <v>4718.6304746518299</v>
      </c>
      <c r="G17" s="96">
        <f t="shared" ref="G17:G24" si="4">+Z40</f>
        <v>33.5</v>
      </c>
      <c r="H17" s="96" t="s">
        <v>196</v>
      </c>
      <c r="I17" s="96" t="s">
        <v>364</v>
      </c>
      <c r="J17" s="96" t="str">
        <f>+IF(F17&gt;'Equipment Data'!$L$126,"yes","No")</f>
        <v>yes</v>
      </c>
      <c r="K17" s="96">
        <v>0.67</v>
      </c>
      <c r="L17" s="96" t="s">
        <v>289</v>
      </c>
      <c r="M17" s="156">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217649.01132174092</v>
      </c>
      <c r="N17" s="152">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1.0398968160539355</v>
      </c>
      <c r="O17" s="96">
        <f>+IF(I17="CS/CS",'Equipment Data'!$C$149,IF(I17="CS/Cu",'Equipment Data'!$D$149,IF(I17="Cu/Cu",'Equipment Data'!$E$149,IF(I17="CS/SS",'Equipment Data'!$F$149,IF(I17="SS/SS",'Equipment Data'!$G$149,IF(I17="CS/Ni",'Equipment Data'!$H$149,IF(I17="Ni/Ni",'Equipment Data'!$I$149,IF(I17="CS/Ti",'Equipment Data'!$J$149,IF(I17="Ti/Ti",'Equipment Data'!$K$149,"N/A")))))))))</f>
        <v>1.81</v>
      </c>
      <c r="P17" s="152">
        <f>+'Equipment Data'!$I$126+'Equipment Data'!$J$126*N17*O17</f>
        <v>4.7544739735156547</v>
      </c>
      <c r="Q17" s="153">
        <f t="shared" si="1"/>
        <v>1034806.5596906313</v>
      </c>
      <c r="R17" s="97">
        <v>1</v>
      </c>
      <c r="S17" s="193">
        <f>+IF(Tabla25879012013593[[#This Row],[Equipment]]="","",Q17*R17/10^6)</f>
        <v>1.0348065596906313</v>
      </c>
      <c r="T17" s="587">
        <f t="shared" ca="1" si="0"/>
        <v>1.6702538078749929</v>
      </c>
      <c r="U17" s="104"/>
      <c r="V17" s="83"/>
      <c r="W17" s="83"/>
      <c r="X17" s="83"/>
      <c r="Y17" s="83"/>
      <c r="Z17" s="83"/>
      <c r="AA17" s="83"/>
      <c r="AB17" s="83"/>
      <c r="AC17" s="83"/>
      <c r="AD17" s="83"/>
      <c r="AE17" s="83"/>
      <c r="AF17" s="83"/>
      <c r="AG17" s="83"/>
      <c r="AH17" s="83"/>
      <c r="AI17" s="83"/>
      <c r="AJ17" s="83"/>
      <c r="AK17" s="83"/>
      <c r="AL17" s="83"/>
      <c r="AM17" s="83"/>
      <c r="AN17" s="83"/>
      <c r="AO17" s="104"/>
      <c r="AP17" s="83"/>
      <c r="AQ17" s="215"/>
      <c r="AR17" s="371"/>
    </row>
    <row r="18" spans="1:44" ht="16.25" customHeight="1" x14ac:dyDescent="0.2">
      <c r="A18" s="83"/>
      <c r="B18" s="103"/>
      <c r="C18" s="99" t="str">
        <f t="shared" si="2"/>
        <v>E-103</v>
      </c>
      <c r="D18" s="208" t="s">
        <v>194</v>
      </c>
      <c r="E18" s="208" t="s">
        <v>195</v>
      </c>
      <c r="F18" s="158">
        <f t="shared" si="3"/>
        <v>2725.9583926882829</v>
      </c>
      <c r="G18" s="96">
        <f t="shared" si="4"/>
        <v>32.5</v>
      </c>
      <c r="H18" s="96" t="s">
        <v>196</v>
      </c>
      <c r="I18" s="96" t="s">
        <v>199</v>
      </c>
      <c r="J18" s="96" t="str">
        <f>+IF(F18&gt;'Equipment Data'!$L$126,"yes","No")</f>
        <v>yes</v>
      </c>
      <c r="K18" s="96">
        <v>0.67</v>
      </c>
      <c r="L18" s="96" t="s">
        <v>289</v>
      </c>
      <c r="M18" s="156">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150694.66564537003</v>
      </c>
      <c r="N18" s="152">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1.0388974941170899</v>
      </c>
      <c r="O18" s="96">
        <f>+IF(I18="CS/CS",'Equipment Data'!$C$149,IF(I18="CS/Cu",'Equipment Data'!$D$149,IF(I18="Cu/Cu",'Equipment Data'!$E$149,IF(I18="CS/SS",'Equipment Data'!$F$149,IF(I18="SS/SS",'Equipment Data'!$G$149,IF(I18="CS/Ni",'Equipment Data'!$H$149,IF(I18="Ni/Ni",'Equipment Data'!$I$149,IF(I18="CS/Ti",'Equipment Data'!$J$149,IF(I18="Ti/Ti",'Equipment Data'!$K$149,"N/A")))))))))</f>
        <v>2.73</v>
      </c>
      <c r="P18" s="152">
        <f>+'Equipment Data'!$I$126+'Equipment Data'!$J$126*N18*O18</f>
        <v>6.3380756638398275</v>
      </c>
      <c r="Q18" s="153">
        <f t="shared" si="1"/>
        <v>955114.19299739948</v>
      </c>
      <c r="R18" s="97">
        <v>1</v>
      </c>
      <c r="S18" s="193">
        <f>+IF(Tabla25879012013593[[#This Row],[Equipment]]="","",Q18*R18/10^6)</f>
        <v>0.95511419299739952</v>
      </c>
      <c r="T18" s="587">
        <f t="shared" ca="1" si="0"/>
        <v>1.5416244735501945</v>
      </c>
      <c r="U18" s="104"/>
      <c r="V18" s="83"/>
      <c r="W18" s="83"/>
      <c r="X18" s="83"/>
      <c r="Y18" s="83"/>
      <c r="Z18" s="83"/>
      <c r="AA18" s="83"/>
      <c r="AB18" s="83"/>
      <c r="AC18" s="83"/>
      <c r="AD18" s="83"/>
      <c r="AE18" s="83"/>
      <c r="AF18" s="83"/>
      <c r="AG18" s="83"/>
      <c r="AH18" s="83"/>
      <c r="AI18" s="83"/>
      <c r="AJ18" s="83"/>
      <c r="AK18" s="83"/>
      <c r="AL18" s="83"/>
      <c r="AM18" s="83"/>
      <c r="AN18" s="83"/>
      <c r="AO18" s="104"/>
      <c r="AP18" s="83"/>
      <c r="AQ18" s="215"/>
      <c r="AR18" s="371"/>
    </row>
    <row r="19" spans="1:44" ht="16.25" customHeight="1" x14ac:dyDescent="0.2">
      <c r="A19" s="83"/>
      <c r="B19" s="103"/>
      <c r="C19" s="99" t="str">
        <f t="shared" si="2"/>
        <v>E-104</v>
      </c>
      <c r="D19" s="208" t="s">
        <v>194</v>
      </c>
      <c r="E19" s="208" t="s">
        <v>195</v>
      </c>
      <c r="F19" s="158">
        <f t="shared" si="3"/>
        <v>4432.20993795914</v>
      </c>
      <c r="G19" s="96">
        <f t="shared" si="4"/>
        <v>32.450000000000003</v>
      </c>
      <c r="H19" s="96" t="s">
        <v>196</v>
      </c>
      <c r="I19" s="96" t="s">
        <v>331</v>
      </c>
      <c r="J19" s="96" t="str">
        <f>+IF(F19&gt;'Equipment Data'!$L$126,"yes","No")</f>
        <v>yes</v>
      </c>
      <c r="K19" s="96">
        <v>0.67</v>
      </c>
      <c r="L19" s="96" t="s">
        <v>289</v>
      </c>
      <c r="M19" s="156">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208706.32771692614</v>
      </c>
      <c r="N19" s="152">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1.0388470137736319</v>
      </c>
      <c r="O19" s="96">
        <f>+IF(I19="CS/CS",'Equipment Data'!$C$149,IF(I19="CS/Cu",'Equipment Data'!$D$149,IF(I19="Cu/Cu",'Equipment Data'!$E$149,IF(I19="CS/SS",'Equipment Data'!$F$149,IF(I19="SS/SS",'Equipment Data'!$G$149,IF(I19="CS/Ni",'Equipment Data'!$H$149,IF(I19="Ni/Ni",'Equipment Data'!$I$149,IF(I19="CS/Ti",'Equipment Data'!$J$149,IF(I19="Ti/Ti",'Equipment Data'!$K$149,"N/A")))))))))</f>
        <v>1</v>
      </c>
      <c r="P19" s="152">
        <f>+'Equipment Data'!$I$126+'Equipment Data'!$J$126*N19*O19</f>
        <v>3.3544860428642287</v>
      </c>
      <c r="Q19" s="153">
        <f t="shared" si="1"/>
        <v>700102.46338387649</v>
      </c>
      <c r="R19" s="97">
        <v>1</v>
      </c>
      <c r="S19" s="193">
        <f>+IF(Tabla25879012013593[[#This Row],[Equipment]]="","",Q19*R19/10^6)</f>
        <v>0.70010246338387649</v>
      </c>
      <c r="T19" s="587">
        <f t="shared" ca="1" si="0"/>
        <v>1.1300168078941966</v>
      </c>
      <c r="U19" s="104"/>
      <c r="V19" s="83"/>
      <c r="W19" s="83"/>
      <c r="X19" s="83"/>
      <c r="Y19" s="83"/>
      <c r="Z19" s="83"/>
      <c r="AA19" s="83"/>
      <c r="AB19" s="83"/>
      <c r="AC19" s="83"/>
      <c r="AD19" s="83"/>
      <c r="AE19" s="83"/>
      <c r="AF19" s="83"/>
      <c r="AG19" s="83"/>
      <c r="AH19" s="83"/>
      <c r="AI19" s="83"/>
      <c r="AJ19" s="83"/>
      <c r="AK19" s="83"/>
      <c r="AL19" s="83"/>
      <c r="AM19" s="83"/>
      <c r="AN19" s="83"/>
      <c r="AO19" s="104"/>
      <c r="AP19" s="83"/>
      <c r="AQ19" s="215"/>
      <c r="AR19" s="371"/>
    </row>
    <row r="20" spans="1:44" ht="16.25" customHeight="1" x14ac:dyDescent="0.2">
      <c r="A20" s="83"/>
      <c r="B20" s="103"/>
      <c r="C20" s="99" t="str">
        <f t="shared" si="2"/>
        <v>E-105</v>
      </c>
      <c r="D20" s="208" t="s">
        <v>194</v>
      </c>
      <c r="E20" s="208" t="s">
        <v>195</v>
      </c>
      <c r="F20" s="158">
        <f t="shared" si="3"/>
        <v>3404.5957245750669</v>
      </c>
      <c r="G20" s="96">
        <f t="shared" si="4"/>
        <v>1.3</v>
      </c>
      <c r="H20" s="96" t="s">
        <v>196</v>
      </c>
      <c r="I20" s="96" t="s">
        <v>331</v>
      </c>
      <c r="J20" s="96" t="str">
        <f>+IF(F20&gt;'Equipment Data'!$L$126,"yes","No")</f>
        <v>yes</v>
      </c>
      <c r="K20" s="96">
        <v>0.67</v>
      </c>
      <c r="L20" s="96" t="s">
        <v>289</v>
      </c>
      <c r="M20" s="156">
        <f>+IF(AND(D20="Heat Exchanger",E20="Fixed tube, sheet, or U tube"),IF(F20&lt;'Equipment Data'!$L$126,10^('Equipment Data'!$C$126+'Equipment Data'!$D$126*LOG10(F20)+'Equipment Data'!$E$126*LOG10(F20)*LOG10(F20)),10^('Equipment Data'!$C$126+'Equipment Data'!$D$126*LOG10('Equipment Data'!$L$126)+'Equipment Data'!$E$126*LOG10('Equipment Data'!$L$126)*LOG10('Equipment Data'!$L$126))*(F20/'Equipment Data'!$L$126)^K20),"N/A")</f>
        <v>174897.62743543088</v>
      </c>
      <c r="N20" s="152">
        <f>+IF(L20="","Input: shell and tube / tube only",IF(L20="shell and tube",IF(G20-1&gt;5,10^('Equipment Data'!$F$126+'Equipment Data'!$G$126*LOG10(G20-1.01325)+'Equipment Data'!$H$126*LOG10(G20-1.01325)*LOG10(G20-1.01325)),1),IF(G20-1.01325&gt;5,10^('Equipment Data'!$F$127+'Equipment Data'!$G$127*LOG10(G20-1.01325)+'Equipment Data'!$H$127*LOG10(G20-1.01325)*LOG10(G20-1.01325)),1)))</f>
        <v>1</v>
      </c>
      <c r="O20" s="96">
        <f>+IF(I20="CS/CS",'Equipment Data'!$C$149,IF(I20="CS/Cu",'Equipment Data'!$D$149,IF(I20="Cu/Cu",'Equipment Data'!$E$149,IF(I20="CS/SS",'Equipment Data'!$F$149,IF(I20="SS/SS",'Equipment Data'!$G$149,IF(I20="CS/Ni",'Equipment Data'!$H$149,IF(I20="Ni/Ni",'Equipment Data'!$I$149,IF(I20="CS/Ti",'Equipment Data'!$J$149,IF(I20="Ti/Ti",'Equipment Data'!$K$149,"N/A")))))))))</f>
        <v>1</v>
      </c>
      <c r="P20" s="152">
        <f>+'Equipment Data'!$I$126+'Equipment Data'!$J$126*N20*O20</f>
        <v>3.29</v>
      </c>
      <c r="Q20" s="153">
        <f t="shared" si="1"/>
        <v>575413.19426256756</v>
      </c>
      <c r="R20" s="97">
        <v>1</v>
      </c>
      <c r="S20" s="193">
        <f>+IF(Tabla25879012013593[[#This Row],[Equipment]]="","",Q20*R20/10^6)</f>
        <v>0.57541319426256754</v>
      </c>
      <c r="T20" s="587">
        <f t="shared" ca="1" si="0"/>
        <v>0.92875916741955666</v>
      </c>
      <c r="U20" s="104"/>
      <c r="V20" s="83"/>
      <c r="W20" s="83"/>
      <c r="X20" s="83"/>
      <c r="Y20" s="83"/>
      <c r="Z20" s="83"/>
      <c r="AA20" s="83"/>
      <c r="AB20" s="83"/>
      <c r="AC20" s="83"/>
      <c r="AD20" s="83"/>
      <c r="AE20" s="83"/>
      <c r="AF20" s="83"/>
      <c r="AG20" s="83"/>
      <c r="AH20" s="83"/>
      <c r="AI20" s="83"/>
      <c r="AJ20" s="83"/>
      <c r="AK20" s="83"/>
      <c r="AL20" s="83"/>
      <c r="AM20" s="83"/>
      <c r="AN20" s="83"/>
      <c r="AO20" s="104"/>
      <c r="AP20" s="83"/>
      <c r="AQ20" s="215"/>
      <c r="AR20" s="371"/>
    </row>
    <row r="21" spans="1:44" ht="16.25" customHeight="1" x14ac:dyDescent="0.2">
      <c r="A21" s="83"/>
      <c r="B21" s="103"/>
      <c r="C21" s="99" t="str">
        <f t="shared" si="2"/>
        <v>E-106</v>
      </c>
      <c r="D21" s="208" t="s">
        <v>194</v>
      </c>
      <c r="E21" s="208" t="s">
        <v>195</v>
      </c>
      <c r="F21" s="158">
        <f t="shared" si="3"/>
        <v>3099.1107653060121</v>
      </c>
      <c r="G21" s="96">
        <f t="shared" si="4"/>
        <v>1.3</v>
      </c>
      <c r="H21" s="96" t="s">
        <v>196</v>
      </c>
      <c r="I21" s="96" t="s">
        <v>331</v>
      </c>
      <c r="J21" s="96" t="str">
        <f>+IF(F21&gt;'Equipment Data'!$L$126,"yes","No")</f>
        <v>yes</v>
      </c>
      <c r="K21" s="96">
        <v>0.67</v>
      </c>
      <c r="L21" s="96" t="s">
        <v>289</v>
      </c>
      <c r="M21" s="156">
        <f>+IF(AND(D21="Heat Exchanger",E21="Fixed tube, sheet, or U tube"),IF(F21&lt;'Equipment Data'!$L$126,10^('Equipment Data'!$C$126+'Equipment Data'!$D$126*LOG10(F21)+'Equipment Data'!$E$126*LOG10(F21)*LOG10(F21)),10^('Equipment Data'!$C$126+'Equipment Data'!$D$126*LOG10('Equipment Data'!$L$126)+'Equipment Data'!$E$126*LOG10('Equipment Data'!$L$126)*LOG10('Equipment Data'!$L$126))*(F21/'Equipment Data'!$L$126)^K21),"N/A")</f>
        <v>164221.06190400978</v>
      </c>
      <c r="N21" s="152">
        <f>+IF(L21="","Input: shell and tube / tube only",IF(L21="shell and tube",IF(G21-1&gt;5,10^('Equipment Data'!$F$126+'Equipment Data'!$G$126*LOG10(G21-1.01325)+'Equipment Data'!$H$126*LOG10(G21-1.01325)*LOG10(G21-1.01325)),1),IF(G21-1.01325&gt;5,10^('Equipment Data'!$F$127+'Equipment Data'!$G$127*LOG10(G21-1.01325)+'Equipment Data'!$H$127*LOG10(G21-1.01325)*LOG10(G21-1.01325)),1)))</f>
        <v>1</v>
      </c>
      <c r="O21" s="96">
        <f>+IF(I21="CS/CS",'Equipment Data'!$C$149,IF(I21="CS/Cu",'Equipment Data'!$D$149,IF(I21="Cu/Cu",'Equipment Data'!$E$149,IF(I21="CS/SS",'Equipment Data'!$F$149,IF(I21="SS/SS",'Equipment Data'!$G$149,IF(I21="CS/Ni",'Equipment Data'!$H$149,IF(I21="Ni/Ni",'Equipment Data'!$I$149,IF(I21="CS/Ti",'Equipment Data'!$J$149,IF(I21="Ti/Ti",'Equipment Data'!$K$149,"N/A")))))))))</f>
        <v>1</v>
      </c>
      <c r="P21" s="152">
        <f>+'Equipment Data'!$I$126+'Equipment Data'!$J$126*N21*O21</f>
        <v>3.29</v>
      </c>
      <c r="Q21" s="153">
        <f t="shared" si="1"/>
        <v>540287.2936641922</v>
      </c>
      <c r="R21" s="97">
        <v>1</v>
      </c>
      <c r="S21" s="193">
        <f>+IF(Tabla25879012013593[[#This Row],[Equipment]]="","",Q21*R21/10^6)</f>
        <v>0.54028729366419215</v>
      </c>
      <c r="T21" s="587">
        <f t="shared" ca="1" si="0"/>
        <v>0.87206338338141243</v>
      </c>
      <c r="U21" s="104"/>
      <c r="V21" s="83"/>
      <c r="W21" s="83"/>
      <c r="X21" s="83"/>
      <c r="Y21" s="83"/>
      <c r="Z21" s="83"/>
      <c r="AA21" s="83"/>
      <c r="AB21" s="83"/>
      <c r="AC21" s="83"/>
      <c r="AD21" s="83"/>
      <c r="AE21" s="83"/>
      <c r="AF21" s="83"/>
      <c r="AG21" s="83"/>
      <c r="AH21" s="83"/>
      <c r="AI21" s="83"/>
      <c r="AJ21" s="83"/>
      <c r="AK21" s="83"/>
      <c r="AL21" s="83"/>
      <c r="AM21" s="83"/>
      <c r="AN21" s="83"/>
      <c r="AO21" s="104"/>
      <c r="AP21" s="83"/>
      <c r="AQ21" s="215"/>
      <c r="AR21" s="371"/>
    </row>
    <row r="22" spans="1:44" ht="16.25" customHeight="1" x14ac:dyDescent="0.2">
      <c r="A22" s="83"/>
      <c r="B22" s="103"/>
      <c r="C22" s="99" t="str">
        <f t="shared" si="2"/>
        <v>E-107</v>
      </c>
      <c r="D22" s="208" t="s">
        <v>194</v>
      </c>
      <c r="E22" s="208" t="s">
        <v>195</v>
      </c>
      <c r="F22" s="158">
        <f t="shared" si="3"/>
        <v>6619.3455639368312</v>
      </c>
      <c r="G22" s="96">
        <f t="shared" si="4"/>
        <v>1</v>
      </c>
      <c r="H22" s="96" t="s">
        <v>196</v>
      </c>
      <c r="I22" s="96" t="s">
        <v>331</v>
      </c>
      <c r="J22" s="96" t="str">
        <f>+IF(F22&gt;'Equipment Data'!$L$126,"yes","No")</f>
        <v>yes</v>
      </c>
      <c r="K22" s="96">
        <v>0.67</v>
      </c>
      <c r="L22" s="96" t="str">
        <f>+L21</f>
        <v>tube only</v>
      </c>
      <c r="M22" s="156">
        <f>+IF(AND(D22="Heat Exchanger",E22="Fixed tube, sheet, or U tube"),IF(F22&lt;'Equipment Data'!$L$126,10^('Equipment Data'!$C$126+'Equipment Data'!$D$126*LOG10(F22)+'Equipment Data'!$E$126*LOG10(F22)*LOG10(F22)),10^('Equipment Data'!$C$126+'Equipment Data'!$D$126*LOG10('Equipment Data'!$L$126)+'Equipment Data'!$E$126*LOG10('Equipment Data'!$L$126)*LOG10('Equipment Data'!$L$126))*(F22/'Equipment Data'!$L$126)^K22),"N/A")</f>
        <v>273052.45539748506</v>
      </c>
      <c r="N22" s="152">
        <f>+IF(L22="","Input: shell and tube / tube only",IF(L22="shell and tube",IF(G22-1&gt;5,10^('Equipment Data'!$F$126+'Equipment Data'!$G$126*LOG10(G22-1.01325)+'Equipment Data'!$H$126*LOG10(G22-1.01325)*LOG10(G22-1.01325)),1),IF(G22-1.01325&gt;5,10^('Equipment Data'!$F$127+'Equipment Data'!$G$127*LOG10(G22-1.01325)+'Equipment Data'!$H$127*LOG10(G22-1.01325)*LOG10(G22-1.01325)),1)))</f>
        <v>1</v>
      </c>
      <c r="O22" s="96">
        <f>+IF(I22="CS/CS",'Equipment Data'!$C$149,IF(I22="CS/Cu",'Equipment Data'!$D$149,IF(I22="Cu/Cu",'Equipment Data'!$E$149,IF(I22="CS/SS",'Equipment Data'!$F$149,IF(I22="SS/SS",'Equipment Data'!$G$149,IF(I22="CS/Ni",'Equipment Data'!$H$149,IF(I22="Ni/Ni",'Equipment Data'!$I$149,IF(I22="CS/Ti",'Equipment Data'!$J$149,IF(I22="Ti/Ti",'Equipment Data'!$K$149,"N/A")))))))))</f>
        <v>1</v>
      </c>
      <c r="P22" s="152">
        <f>+'Equipment Data'!$I$126+'Equipment Data'!$J$126*N22*O22</f>
        <v>3.29</v>
      </c>
      <c r="Q22" s="153">
        <f t="shared" si="1"/>
        <v>898342.57825772581</v>
      </c>
      <c r="R22" s="97">
        <v>1</v>
      </c>
      <c r="S22" s="193">
        <f>+IF(Tabla25879012013593[[#This Row],[Equipment]]="","",Q22*R22/10^6)</f>
        <v>0.89834257825772579</v>
      </c>
      <c r="T22" s="587">
        <f t="shared" ca="1" si="0"/>
        <v>1.4499909167176008</v>
      </c>
      <c r="U22" s="104"/>
      <c r="V22" s="83"/>
      <c r="W22" s="83"/>
      <c r="X22" s="83"/>
      <c r="Y22" s="83"/>
      <c r="Z22" s="83"/>
      <c r="AA22" s="83"/>
      <c r="AB22" s="83"/>
      <c r="AC22" s="83"/>
      <c r="AD22" s="83"/>
      <c r="AE22" s="83"/>
      <c r="AF22" s="83"/>
      <c r="AG22" s="83"/>
      <c r="AH22" s="83"/>
      <c r="AI22" s="83"/>
      <c r="AJ22" s="83"/>
      <c r="AK22" s="83"/>
      <c r="AL22" s="83"/>
      <c r="AM22" s="83"/>
      <c r="AN22" s="83"/>
      <c r="AO22" s="104"/>
      <c r="AP22" s="83"/>
      <c r="AQ22" s="215"/>
      <c r="AR22" s="371"/>
    </row>
    <row r="23" spans="1:44" ht="16.25" customHeight="1" x14ac:dyDescent="0.2">
      <c r="A23" s="83"/>
      <c r="B23" s="103"/>
      <c r="C23" s="99" t="str">
        <f t="shared" si="2"/>
        <v>E-108</v>
      </c>
      <c r="D23" s="208" t="s">
        <v>194</v>
      </c>
      <c r="E23" s="208" t="s">
        <v>195</v>
      </c>
      <c r="F23" s="158">
        <f t="shared" si="3"/>
        <v>1083.2131956653257</v>
      </c>
      <c r="G23" s="96">
        <f t="shared" si="4"/>
        <v>6</v>
      </c>
      <c r="H23" s="96" t="s">
        <v>196</v>
      </c>
      <c r="I23" s="96" t="s">
        <v>331</v>
      </c>
      <c r="J23" s="96" t="str">
        <f>+IF(F23&gt;'Equipment Data'!$L$126,"yes","No")</f>
        <v>yes</v>
      </c>
      <c r="K23" s="96">
        <v>0.67</v>
      </c>
      <c r="L23" s="96" t="str">
        <f>+L22</f>
        <v>tube only</v>
      </c>
      <c r="M23" s="156">
        <f>+IF(AND(D23="Heat Exchanger",E23="Fixed tube, sheet, or U tube"),IF(F23&lt;'Equipment Data'!$L$126,10^('Equipment Data'!$C$126+'Equipment Data'!$D$126*LOG10(F23)+'Equipment Data'!$E$126*LOG10(F23)*LOG10(F23)),10^('Equipment Data'!$C$126+'Equipment Data'!$D$126*LOG10('Equipment Data'!$L$126)+'Equipment Data'!$E$126*LOG10('Equipment Data'!$L$126)*LOG10('Equipment Data'!$L$126))*(F23/'Equipment Data'!$L$126)^K23),"N/A")</f>
        <v>81200.432248335346</v>
      </c>
      <c r="N23" s="152">
        <f>+IF(L23="","Input: shell and tube / tube only",IF(L23="shell and tube",IF(G23-1&gt;5,10^('Equipment Data'!$F$126+'Equipment Data'!$G$126*LOG10(G23-1.01325)+'Equipment Data'!$H$126*LOG10(G23-1.01325)*LOG10(G23-1.01325)),1),IF(G23-1.01325&gt;5,10^('Equipment Data'!$F$127+'Equipment Data'!$G$127*LOG10(G23-1.01325)+'Equipment Data'!$H$127*LOG10(G23-1.01325)*LOG10(G23-1.01325)),1)))</f>
        <v>1</v>
      </c>
      <c r="O23" s="96">
        <f>+IF(I23="CS/CS",'Equipment Data'!$C$149,IF(I23="CS/Cu",'Equipment Data'!$D$149,IF(I23="Cu/Cu",'Equipment Data'!$E$149,IF(I23="CS/SS",'Equipment Data'!$F$149,IF(I23="SS/SS",'Equipment Data'!$G$149,IF(I23="CS/Ni",'Equipment Data'!$H$149,IF(I23="Ni/Ni",'Equipment Data'!$I$149,IF(I23="CS/Ti",'Equipment Data'!$J$149,IF(I23="Ti/Ti",'Equipment Data'!$K$149,"N/A")))))))))</f>
        <v>1</v>
      </c>
      <c r="P23" s="152">
        <f>+'Equipment Data'!$I$126+'Equipment Data'!$J$126*N23*O23</f>
        <v>3.29</v>
      </c>
      <c r="Q23" s="153">
        <f t="shared" si="1"/>
        <v>267149.42209702329</v>
      </c>
      <c r="R23" s="97">
        <v>1</v>
      </c>
      <c r="S23" s="193">
        <f>+IF(Tabla25879012013593[[#This Row],[Equipment]]="","",Q23*R23/10^6)</f>
        <v>0.2671494220970233</v>
      </c>
      <c r="T23" s="587">
        <f t="shared" ca="1" si="0"/>
        <v>0.43119879300200448</v>
      </c>
      <c r="U23" s="104"/>
      <c r="V23" s="83"/>
      <c r="W23" s="83"/>
      <c r="X23" s="83"/>
      <c r="Y23" s="83"/>
      <c r="Z23" s="83"/>
      <c r="AA23" s="83"/>
      <c r="AB23" s="83"/>
      <c r="AC23" s="83"/>
      <c r="AD23" s="83"/>
      <c r="AE23" s="83"/>
      <c r="AF23" s="83"/>
      <c r="AG23" s="83"/>
      <c r="AH23" s="83"/>
      <c r="AI23" s="83"/>
      <c r="AJ23" s="83"/>
      <c r="AK23" s="83"/>
      <c r="AL23" s="83"/>
      <c r="AM23" s="83"/>
      <c r="AN23" s="83"/>
      <c r="AO23" s="104"/>
      <c r="AP23" s="83"/>
      <c r="AQ23" s="215"/>
      <c r="AR23" s="371"/>
    </row>
    <row r="24" spans="1:44" ht="16.25" customHeight="1" x14ac:dyDescent="0.2">
      <c r="A24" s="83"/>
      <c r="B24" s="103"/>
      <c r="C24" s="99" t="str">
        <f>+W47</f>
        <v>C-101</v>
      </c>
      <c r="D24" s="208" t="s">
        <v>194</v>
      </c>
      <c r="E24" s="208" t="s">
        <v>195</v>
      </c>
      <c r="F24" s="158">
        <f t="shared" si="3"/>
        <v>1649.5816499587918</v>
      </c>
      <c r="G24" s="96">
        <f t="shared" si="4"/>
        <v>6</v>
      </c>
      <c r="H24" s="96" t="s">
        <v>196</v>
      </c>
      <c r="I24" s="96" t="s">
        <v>331</v>
      </c>
      <c r="J24" s="96" t="str">
        <f>+IF(F24&gt;'Equipment Data'!$L$126,"yes","No")</f>
        <v>yes</v>
      </c>
      <c r="K24" s="96">
        <v>0.67</v>
      </c>
      <c r="L24" s="96" t="str">
        <f>+L23</f>
        <v>tube only</v>
      </c>
      <c r="M24" s="156">
        <f>+IF(AND(D24="Heat Exchanger",E24="Fixed tube, sheet, or U tube"),IF(F24&lt;'Equipment Data'!$L$126,10^('Equipment Data'!$C$126+'Equipment Data'!$D$126*LOG10(F24)+'Equipment Data'!$E$126*LOG10(F24)*LOG10(F24)),10^('Equipment Data'!$C$126+'Equipment Data'!$D$126*LOG10('Equipment Data'!$L$126)+'Equipment Data'!$E$126*LOG10('Equipment Data'!$L$126)*LOG10('Equipment Data'!$L$126))*(F24/'Equipment Data'!$L$126)^K24),"N/A")</f>
        <v>107631.7638042343</v>
      </c>
      <c r="N24" s="152">
        <f>+IF(L24="","Input: shell and tube / tube only",IF(L24="shell and tube",IF(G24-1&gt;5,10^('Equipment Data'!$F$126+'Equipment Data'!$G$126*LOG10(G24-1.01325)+'Equipment Data'!$H$126*LOG10(G24-1.01325)*LOG10(G24-1.01325)),1),IF(G24-1.01325&gt;5,10^('Equipment Data'!$F$127+'Equipment Data'!$G$127*LOG10(G24-1.01325)+'Equipment Data'!$H$127*LOG10(G24-1.01325)*LOG10(G24-1.01325)),1)))</f>
        <v>1</v>
      </c>
      <c r="O24" s="96">
        <f>+IF(I24="CS/CS",'Equipment Data'!$C$149,IF(I24="CS/Cu",'Equipment Data'!$D$149,IF(I24="Cu/Cu",'Equipment Data'!$E$149,IF(I24="CS/SS",'Equipment Data'!$F$149,IF(I24="SS/SS",'Equipment Data'!$G$149,IF(I24="CS/Ni",'Equipment Data'!$H$149,IF(I24="Ni/Ni",'Equipment Data'!$I$149,IF(I24="CS/Ti",'Equipment Data'!$J$149,IF(I24="Ti/Ti",'Equipment Data'!$K$149,"N/A")))))))))</f>
        <v>1</v>
      </c>
      <c r="P24" s="152">
        <f>+'Equipment Data'!$I$126+'Equipment Data'!$J$126*N24*O24</f>
        <v>3.29</v>
      </c>
      <c r="Q24" s="153">
        <f t="shared" si="1"/>
        <v>354108.50291593088</v>
      </c>
      <c r="R24" s="97">
        <v>1</v>
      </c>
      <c r="S24" s="193">
        <f>+IF(Tabla25879012013593[[#This Row],[Equipment]]="","",Q24*R24/10^6)</f>
        <v>0.35410850291593088</v>
      </c>
      <c r="T24" s="587">
        <f t="shared" ca="1" si="0"/>
        <v>0.57155713776405559</v>
      </c>
      <c r="U24" s="104"/>
      <c r="V24" s="83"/>
      <c r="W24" s="83"/>
      <c r="X24" s="83"/>
      <c r="Y24" s="83"/>
      <c r="Z24" s="83"/>
      <c r="AA24" s="83"/>
      <c r="AB24" s="83"/>
      <c r="AC24" s="83"/>
      <c r="AD24" s="83"/>
      <c r="AE24" s="83"/>
      <c r="AF24" s="83"/>
      <c r="AG24" s="83"/>
      <c r="AH24" s="83"/>
      <c r="AI24" s="83"/>
      <c r="AJ24" s="83"/>
      <c r="AK24" s="83"/>
      <c r="AL24" s="83"/>
      <c r="AM24" s="83"/>
      <c r="AN24" s="83"/>
      <c r="AO24" s="104"/>
      <c r="AP24" s="83"/>
      <c r="AQ24" s="215"/>
      <c r="AR24" s="371"/>
    </row>
    <row r="25" spans="1:44" ht="16.25" customHeight="1" x14ac:dyDescent="0.2">
      <c r="A25" s="83"/>
      <c r="B25" s="103"/>
      <c r="C25" s="99" t="s">
        <v>188</v>
      </c>
      <c r="D25" s="208" t="s">
        <v>189</v>
      </c>
      <c r="E25" s="208" t="s">
        <v>190</v>
      </c>
      <c r="F25" s="96">
        <v>12030</v>
      </c>
      <c r="G25" s="96" t="s">
        <v>187</v>
      </c>
      <c r="H25" s="96" t="s">
        <v>186</v>
      </c>
      <c r="I25" s="96" t="s">
        <v>182</v>
      </c>
      <c r="J25" s="96" t="str">
        <f>+IF(F25&gt;'Equipment Data'!$J$19,"yes","No")</f>
        <v>yes</v>
      </c>
      <c r="K25" s="96">
        <v>0.67</v>
      </c>
      <c r="L25" s="96" t="s">
        <v>187</v>
      </c>
      <c r="M25" s="156">
        <f>+IF(AND(D25="Compressor",E25="Centrifugal"),IF(F25&lt;'Equipment Data'!$J$19,10^('Equipment Data'!$C$19+'Equipment Data'!$D$19*LOG10(F25)+'Equipment Data'!$E$19*LOG10(F25)*LOG10(F25)),10^('Equipment Data'!$C$19+'Equipment Data'!$D$19*LOG10('Equipment Data'!$J$19)+'Equipment Data'!$E$19*LOG10('Equipment Data'!$J$19)*LOG10('Equipment Data'!$J$19))*(F25/'Equipment Data'!$J$19)^K25),"N/A")</f>
        <v>1519851.8539334426</v>
      </c>
      <c r="N25" s="96" t="s">
        <v>187</v>
      </c>
      <c r="O25" s="158" t="s">
        <v>187</v>
      </c>
      <c r="P25" s="152">
        <f>+IF(I25="CS",'Equipment Data'!$F$19,IF(I25="SS",'Equipment Data'!$G$19,IF(I25="Ni",'Equipment Data'!$H$19,"N/A")))</f>
        <v>2.74</v>
      </c>
      <c r="Q25" s="153">
        <f t="shared" si="1"/>
        <v>4164394.0797776333</v>
      </c>
      <c r="R25" s="97">
        <v>1</v>
      </c>
      <c r="S25" s="193">
        <f>+IF(Tabla25879012013593[[#This Row],[Equipment]]="","",Q25*R25/10^6)</f>
        <v>4.1643940797776331</v>
      </c>
      <c r="T25" s="587">
        <f t="shared" ca="1" si="0"/>
        <v>6.7216379758165941</v>
      </c>
      <c r="U25" s="104"/>
      <c r="V25" s="83"/>
      <c r="W25" s="83"/>
      <c r="X25" s="83"/>
      <c r="Y25" s="83"/>
      <c r="Z25" s="83"/>
      <c r="AA25" s="83"/>
      <c r="AB25" s="83"/>
      <c r="AC25" s="83"/>
      <c r="AD25" s="83"/>
      <c r="AE25" s="83"/>
      <c r="AF25" s="83"/>
      <c r="AG25" s="83"/>
      <c r="AH25" s="83"/>
      <c r="AI25" s="83"/>
      <c r="AJ25" s="83"/>
      <c r="AK25" s="83"/>
      <c r="AL25" s="83"/>
      <c r="AM25" s="83"/>
      <c r="AN25" s="83"/>
      <c r="AO25" s="104"/>
      <c r="AP25" s="83"/>
      <c r="AQ25" s="215"/>
      <c r="AR25" s="371"/>
    </row>
    <row r="26" spans="1:44" ht="16.25" customHeight="1" x14ac:dyDescent="0.2">
      <c r="A26" s="83"/>
      <c r="B26" s="103"/>
      <c r="C26" s="99" t="s">
        <v>365</v>
      </c>
      <c r="D26" s="208" t="s">
        <v>189</v>
      </c>
      <c r="E26" s="208" t="s">
        <v>190</v>
      </c>
      <c r="F26" s="96">
        <v>12030</v>
      </c>
      <c r="G26" s="96" t="s">
        <v>187</v>
      </c>
      <c r="H26" s="96" t="s">
        <v>186</v>
      </c>
      <c r="I26" s="96" t="s">
        <v>182</v>
      </c>
      <c r="J26" s="96" t="str">
        <f>+IF(F26&gt;'Equipment Data'!$J$19,"yes","No")</f>
        <v>yes</v>
      </c>
      <c r="K26" s="96">
        <v>0.67</v>
      </c>
      <c r="L26" s="96" t="s">
        <v>187</v>
      </c>
      <c r="M26" s="156">
        <f>+IF(AND(D26="Compressor",E26="Centrifugal"),IF(F26&lt;'Equipment Data'!$J$19,10^('Equipment Data'!$C$19+'Equipment Data'!$D$19*LOG10(F26)+'Equipment Data'!$E$19*LOG10(F26)*LOG10(F26)),10^('Equipment Data'!$C$19+'Equipment Data'!$D$19*LOG10('Equipment Data'!$J$19)+'Equipment Data'!$E$19*LOG10('Equipment Data'!$J$19)*LOG10('Equipment Data'!$J$19))*(F26/'Equipment Data'!$J$19)^K26),"N/A")</f>
        <v>1519851.8539334426</v>
      </c>
      <c r="N26" s="96" t="s">
        <v>187</v>
      </c>
      <c r="O26" s="158" t="s">
        <v>187</v>
      </c>
      <c r="P26" s="152">
        <f>+IF(I26="CS",'Equipment Data'!$F$19,IF(I26="SS",'Equipment Data'!$G$19,IF(I26="Ni",'Equipment Data'!$H$19,"N/A")))</f>
        <v>2.74</v>
      </c>
      <c r="Q26" s="153">
        <f t="shared" si="1"/>
        <v>4164394.0797776333</v>
      </c>
      <c r="R26" s="97">
        <v>1</v>
      </c>
      <c r="S26" s="193">
        <f>+IF(Tabla25879012013593[[#This Row],[Equipment]]="","",Q26*R26/10^6)</f>
        <v>4.1643940797776331</v>
      </c>
      <c r="T26" s="587">
        <f t="shared" ca="1" si="0"/>
        <v>6.7216379758165941</v>
      </c>
      <c r="U26" s="104"/>
      <c r="V26" s="83"/>
      <c r="W26" s="83"/>
      <c r="X26" s="83"/>
      <c r="Y26" s="83"/>
      <c r="Z26" s="83"/>
      <c r="AA26" s="83"/>
      <c r="AB26" s="83"/>
      <c r="AC26" s="83"/>
      <c r="AD26" s="83"/>
      <c r="AE26" s="83"/>
      <c r="AF26" s="83"/>
      <c r="AG26" s="83"/>
      <c r="AH26" s="83"/>
      <c r="AI26" s="83"/>
      <c r="AJ26" s="83"/>
      <c r="AK26" s="83"/>
      <c r="AL26" s="83"/>
      <c r="AM26" s="83"/>
      <c r="AN26" s="83"/>
      <c r="AO26" s="104"/>
      <c r="AP26" s="83"/>
      <c r="AQ26" s="215"/>
      <c r="AR26" s="371"/>
    </row>
    <row r="27" spans="1:44" ht="16.25" customHeight="1" x14ac:dyDescent="0.2">
      <c r="A27" s="83"/>
      <c r="B27" s="103"/>
      <c r="C27" s="99" t="s">
        <v>366</v>
      </c>
      <c r="D27" s="208" t="s">
        <v>192</v>
      </c>
      <c r="E27" s="208" t="s">
        <v>367</v>
      </c>
      <c r="F27" s="96">
        <f>+F25+F26</f>
        <v>24060</v>
      </c>
      <c r="G27" s="96" t="s">
        <v>187</v>
      </c>
      <c r="H27" s="96" t="s">
        <v>186</v>
      </c>
      <c r="I27" s="96" t="s">
        <v>187</v>
      </c>
      <c r="J27" s="96" t="str">
        <f>+IF(F27&gt;'Equipment Data'!$H$43,"yes","No")</f>
        <v>yes</v>
      </c>
      <c r="K27" s="96">
        <v>0.67</v>
      </c>
      <c r="L27" s="96" t="s">
        <v>187</v>
      </c>
      <c r="M27" s="156">
        <f>+IF(AND(D27="Drive",E27="Gas Turbine"),IF(F27&lt;'Equipment Data'!$H$45,10^('Equipment Data'!$C$45+'Equipment Data'!$D$45*LOG10(F27)+'Equipment Data'!$E$45*LOG10(F27)*LOG10(F27)),10^('Equipment Data'!$C$45+LOG10('Equipment Data'!$H$45)*'Equipment Data'!$D$45+'Equipment Data'!$E$45*LOG10('Equipment Data'!$H$45)*LOG10('Equipment Data'!$H$45))*(F27/'Equipment Data'!$H$45)^K27),"N/A")</f>
        <v>6702784.1118327053</v>
      </c>
      <c r="N27" s="96" t="s">
        <v>187</v>
      </c>
      <c r="O27" s="96" t="s">
        <v>187</v>
      </c>
      <c r="P27" s="152">
        <f>+'Equipment Data'!$F$45</f>
        <v>3.5</v>
      </c>
      <c r="Q27" s="153">
        <f t="shared" si="1"/>
        <v>23459744.391414467</v>
      </c>
      <c r="R27" s="97">
        <v>1</v>
      </c>
      <c r="S27" s="193">
        <f>+IF(Tabla25879012013593[[#This Row],[Equipment]]="","",Q27*R27/10^6)</f>
        <v>23.459744391414468</v>
      </c>
      <c r="T27" s="587">
        <f t="shared" ca="1" si="0"/>
        <v>37.865750883187772</v>
      </c>
      <c r="U27" s="104"/>
      <c r="V27" s="83"/>
      <c r="W27" s="83"/>
      <c r="X27" s="83"/>
      <c r="Y27" s="83"/>
      <c r="Z27" s="83"/>
      <c r="AA27" s="83"/>
      <c r="AB27" s="83"/>
      <c r="AC27" s="83"/>
      <c r="AD27" s="83"/>
      <c r="AE27" s="83"/>
      <c r="AF27" s="83"/>
      <c r="AG27" s="83"/>
      <c r="AH27" s="83"/>
      <c r="AI27" s="83"/>
      <c r="AJ27" s="83"/>
      <c r="AK27" s="83"/>
      <c r="AL27" s="83"/>
      <c r="AM27" s="83"/>
      <c r="AN27" s="83"/>
      <c r="AO27" s="104"/>
      <c r="AP27" s="83"/>
      <c r="AQ27" s="215"/>
      <c r="AR27" s="371"/>
    </row>
    <row r="28" spans="1:44" ht="16.25" customHeight="1" x14ac:dyDescent="0.2">
      <c r="A28" s="83"/>
      <c r="B28" s="103"/>
      <c r="C28" s="99"/>
      <c r="D28" s="208"/>
      <c r="E28" s="208"/>
      <c r="F28" s="158"/>
      <c r="G28" s="158"/>
      <c r="H28" s="395" t="str">
        <f>IF(Tabla27889112113694[[#This Row],[Subtype]]="","",VLOOKUP(Tabla27889112113694[[#This Row],[Subtype]],'Unit-X00 Equipment'!$E$13:$H$107,4,FALSE))</f>
        <v/>
      </c>
      <c r="I28" s="96"/>
      <c r="J28" s="96"/>
      <c r="K28" s="96"/>
      <c r="L28" s="96"/>
      <c r="M28" s="234"/>
      <c r="N28" s="158"/>
      <c r="O28" s="158"/>
      <c r="P28" s="158"/>
      <c r="Q28" s="158"/>
      <c r="R28" s="97"/>
      <c r="S28" s="193" t="str">
        <f>+IF(Tabla25879012013593[[#This Row],[Equipment]]="","",Q28*R28/10^6)</f>
        <v/>
      </c>
      <c r="T28" s="587"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15"/>
      <c r="AR28" s="371"/>
    </row>
    <row r="29" spans="1:44" ht="16.25" customHeight="1" x14ac:dyDescent="0.2">
      <c r="A29" s="83"/>
      <c r="B29" s="103"/>
      <c r="C29" s="99"/>
      <c r="D29" s="208"/>
      <c r="E29" s="208"/>
      <c r="F29" s="158"/>
      <c r="G29" s="158"/>
      <c r="H29" s="395" t="str">
        <f>IF(Tabla27889112113694[[#This Row],[Subtype]]="","",VLOOKUP(Tabla27889112113694[[#This Row],[Subtype]],'Unit-X00 Equipment'!$E$13:$H$107,4,FALSE))</f>
        <v/>
      </c>
      <c r="I29" s="96"/>
      <c r="J29" s="96"/>
      <c r="K29" s="96"/>
      <c r="L29" s="96"/>
      <c r="M29" s="234"/>
      <c r="N29" s="158"/>
      <c r="O29" s="158"/>
      <c r="P29" s="158"/>
      <c r="Q29" s="158"/>
      <c r="R29" s="97"/>
      <c r="S29" s="193" t="str">
        <f>+IF(Tabla25879012013593[[#This Row],[Equipment]]="","",Q29*R29/10^6)</f>
        <v/>
      </c>
      <c r="T29" s="587"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15"/>
      <c r="AR29" s="371"/>
    </row>
    <row r="30" spans="1:44" ht="16.25" customHeight="1" x14ac:dyDescent="0.2">
      <c r="A30" s="83"/>
      <c r="B30" s="103"/>
      <c r="C30" s="99"/>
      <c r="D30" s="208"/>
      <c r="E30" s="208"/>
      <c r="F30" s="158"/>
      <c r="G30" s="158"/>
      <c r="H30" s="395" t="str">
        <f>IF(Tabla27889112113694[[#This Row],[Subtype]]="","",VLOOKUP(Tabla27889112113694[[#This Row],[Subtype]],'Unit-X00 Equipment'!$E$13:$H$107,4,FALSE))</f>
        <v/>
      </c>
      <c r="I30" s="96"/>
      <c r="J30" s="96"/>
      <c r="K30" s="96"/>
      <c r="L30" s="96"/>
      <c r="M30" s="234"/>
      <c r="N30" s="158"/>
      <c r="O30" s="158"/>
      <c r="P30" s="158"/>
      <c r="Q30" s="158"/>
      <c r="R30" s="97"/>
      <c r="S30" s="193" t="str">
        <f>+IF(Tabla25879012013593[[#This Row],[Equipment]]="","",Q30*R30/10^6)</f>
        <v/>
      </c>
      <c r="T30" s="587"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15"/>
      <c r="AR30" s="371"/>
    </row>
    <row r="31" spans="1:44" ht="16.25" customHeight="1" x14ac:dyDescent="0.2">
      <c r="A31" s="83"/>
      <c r="B31" s="103"/>
      <c r="C31" s="99"/>
      <c r="D31" s="208"/>
      <c r="E31" s="208"/>
      <c r="F31" s="158"/>
      <c r="G31" s="158"/>
      <c r="H31" s="395" t="str">
        <f>IF(Tabla27889112113694[[#This Row],[Subtype]]="","",VLOOKUP(Tabla27889112113694[[#This Row],[Subtype]],'Unit-X00 Equipment'!$E$13:$H$107,4,FALSE))</f>
        <v/>
      </c>
      <c r="I31" s="96"/>
      <c r="J31" s="96"/>
      <c r="K31" s="96"/>
      <c r="L31" s="96"/>
      <c r="M31" s="234"/>
      <c r="N31" s="158"/>
      <c r="O31" s="158"/>
      <c r="P31" s="158"/>
      <c r="Q31" s="158"/>
      <c r="R31" s="97"/>
      <c r="S31" s="193" t="str">
        <f>+IF(Tabla25879012013593[[#This Row],[Equipment]]="","",Q31*R31/10^6)</f>
        <v/>
      </c>
      <c r="T31" s="587"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15"/>
      <c r="AR31" s="371"/>
    </row>
    <row r="32" spans="1:44" ht="16.25" customHeight="1" x14ac:dyDescent="0.2">
      <c r="A32" s="83"/>
      <c r="B32" s="103"/>
      <c r="C32" s="99"/>
      <c r="D32" s="208"/>
      <c r="E32" s="208"/>
      <c r="F32" s="158"/>
      <c r="G32" s="158"/>
      <c r="H32" s="395" t="str">
        <f>IF(Tabla27889112113694[[#This Row],[Subtype]]="","",VLOOKUP(Tabla27889112113694[[#This Row],[Subtype]],'Unit-X00 Equipment'!$E$13:$H$107,4,FALSE))</f>
        <v/>
      </c>
      <c r="I32" s="96"/>
      <c r="J32" s="96"/>
      <c r="K32" s="96"/>
      <c r="L32" s="96"/>
      <c r="M32" s="156"/>
      <c r="N32" s="96"/>
      <c r="O32" s="96"/>
      <c r="P32" s="152"/>
      <c r="Q32" s="153"/>
      <c r="R32" s="97"/>
      <c r="S32" s="193" t="str">
        <f>+IF(Tabla25879012013593[[#This Row],[Equipment]]="","",Q32*R32/10^6)</f>
        <v/>
      </c>
      <c r="T32" s="587"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15"/>
      <c r="AR32" s="371"/>
    </row>
    <row r="33" spans="1:44" ht="16.25" customHeight="1" x14ac:dyDescent="0.2">
      <c r="A33" s="83"/>
      <c r="B33" s="103"/>
      <c r="C33" s="99"/>
      <c r="D33" s="208"/>
      <c r="E33" s="208"/>
      <c r="F33" s="158"/>
      <c r="G33" s="158"/>
      <c r="H33" s="395" t="str">
        <f>IF(Tabla27889112113694[[#This Row],[Subtype]]="","",VLOOKUP(Tabla27889112113694[[#This Row],[Subtype]],'Unit-X00 Equipment'!$E$13:$H$107,4,FALSE))</f>
        <v/>
      </c>
      <c r="I33" s="96"/>
      <c r="J33" s="96"/>
      <c r="K33" s="96"/>
      <c r="L33" s="96"/>
      <c r="M33" s="156"/>
      <c r="N33" s="96"/>
      <c r="O33" s="96"/>
      <c r="P33" s="158"/>
      <c r="Q33" s="153"/>
      <c r="R33" s="97"/>
      <c r="S33" s="193" t="str">
        <f>+IF(Tabla25879012013593[[#This Row],[Equipment]]="","",Q33*R33/10^6)</f>
        <v/>
      </c>
      <c r="T33" s="587"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15"/>
      <c r="AR33" s="371"/>
    </row>
    <row r="34" spans="1:44" ht="16.25" customHeight="1" x14ac:dyDescent="0.2">
      <c r="A34" s="83"/>
      <c r="B34" s="103"/>
      <c r="C34" s="363"/>
      <c r="D34" s="208"/>
      <c r="E34" s="208"/>
      <c r="F34" s="158"/>
      <c r="G34" s="158"/>
      <c r="H34" s="395" t="str">
        <f>IF(Tabla27889112113694[[#This Row],[Subtype]]="","",VLOOKUP(Tabla27889112113694[[#This Row],[Subtype]],'Unit-X00 Equipment'!$E$13:$H$107,4,FALSE))</f>
        <v/>
      </c>
      <c r="I34" s="96"/>
      <c r="J34" s="96"/>
      <c r="K34" s="96"/>
      <c r="L34" s="96"/>
      <c r="M34" s="156"/>
      <c r="N34" s="96"/>
      <c r="O34" s="96"/>
      <c r="P34" s="96"/>
      <c r="Q34" s="153"/>
      <c r="R34" s="97"/>
      <c r="S34" s="193" t="str">
        <f>+IF(Tabla25879012013593[[#This Row],[Equipment]]="","",Q34*R34/10^6)</f>
        <v/>
      </c>
      <c r="T34" s="587" t="e">
        <f t="shared" ca="1" si="0"/>
        <v>#VALUE!</v>
      </c>
      <c r="U34" s="83"/>
      <c r="V34" s="112"/>
      <c r="W34" s="914" t="str">
        <f>+E6&amp;" Calculations"</f>
        <v>GSR Island Calculations</v>
      </c>
      <c r="X34" s="915"/>
      <c r="Y34" s="915"/>
      <c r="Z34" s="915"/>
      <c r="AA34" s="915"/>
      <c r="AB34" s="915"/>
      <c r="AC34" s="915"/>
      <c r="AD34" s="915"/>
      <c r="AE34" s="915"/>
      <c r="AF34" s="915"/>
      <c r="AG34" s="915"/>
      <c r="AH34" s="915"/>
      <c r="AI34" s="915"/>
      <c r="AJ34" s="915"/>
      <c r="AK34" s="915"/>
      <c r="AL34" s="915"/>
      <c r="AM34" s="915"/>
      <c r="AN34" s="916"/>
      <c r="AO34" s="104"/>
      <c r="AP34" s="83"/>
      <c r="AQ34" s="215"/>
      <c r="AR34" s="371"/>
    </row>
    <row r="35" spans="1:44" ht="16.25" customHeight="1" x14ac:dyDescent="0.2">
      <c r="A35" s="83"/>
      <c r="B35" s="103"/>
      <c r="C35" s="363"/>
      <c r="D35" s="208"/>
      <c r="E35" s="208"/>
      <c r="F35" s="158"/>
      <c r="G35" s="158"/>
      <c r="H35" s="395" t="str">
        <f>IF(Tabla27889112113694[[#This Row],[Subtype]]="","",VLOOKUP(Tabla27889112113694[[#This Row],[Subtype]],'Unit-X00 Equipment'!$E$13:$H$107,4,FALSE))</f>
        <v/>
      </c>
      <c r="I35" s="96"/>
      <c r="J35" s="96"/>
      <c r="K35" s="96"/>
      <c r="L35" s="96"/>
      <c r="M35" s="156"/>
      <c r="N35" s="96"/>
      <c r="O35" s="96"/>
      <c r="P35" s="96"/>
      <c r="Q35" s="153"/>
      <c r="R35" s="97"/>
      <c r="S35" s="193" t="str">
        <f>+IF(Tabla25879012013593[[#This Row],[Equipment]]="","",Q35*R35/10^6)</f>
        <v/>
      </c>
      <c r="T35" s="587" t="e">
        <f t="shared" ca="1" si="0"/>
        <v>#VALUE!</v>
      </c>
      <c r="U35" s="83"/>
      <c r="V35" s="311"/>
      <c r="W35" s="395"/>
      <c r="X35" s="395"/>
      <c r="Y35" s="395"/>
      <c r="Z35" s="395"/>
      <c r="AA35" s="395"/>
      <c r="AB35" s="96"/>
      <c r="AC35" s="395"/>
      <c r="AD35" s="395"/>
      <c r="AE35" s="395"/>
      <c r="AF35" s="395"/>
      <c r="AG35" s="395"/>
      <c r="AH35" s="395"/>
      <c r="AI35" s="395"/>
      <c r="AJ35" s="395"/>
      <c r="AK35" s="395"/>
      <c r="AL35" s="395"/>
      <c r="AM35" s="395"/>
      <c r="AN35" s="395"/>
      <c r="AO35" s="104"/>
      <c r="AP35" s="83"/>
      <c r="AQ35" s="215"/>
      <c r="AR35" s="371"/>
    </row>
    <row r="36" spans="1:44" ht="16.25" customHeight="1" x14ac:dyDescent="0.2">
      <c r="A36" s="83"/>
      <c r="B36" s="103"/>
      <c r="C36" s="363"/>
      <c r="D36" s="208"/>
      <c r="E36" s="208"/>
      <c r="F36" s="158"/>
      <c r="G36" s="158"/>
      <c r="H36" s="395" t="str">
        <f>IF(Tabla27889112113694[[#This Row],[Subtype]]="","",VLOOKUP(Tabla27889112113694[[#This Row],[Subtype]],'Unit-X00 Equipment'!$E$13:$H$107,4,FALSE))</f>
        <v/>
      </c>
      <c r="I36" s="96"/>
      <c r="J36" s="96"/>
      <c r="K36" s="96"/>
      <c r="L36" s="96"/>
      <c r="M36" s="156"/>
      <c r="N36" s="96"/>
      <c r="O36" s="96"/>
      <c r="P36" s="96"/>
      <c r="Q36" s="153"/>
      <c r="R36" s="97"/>
      <c r="S36" s="193" t="str">
        <f>+IF(Tabla25879012013593[[#This Row],[Equipment]]="","",Q36*R36/10^6)</f>
        <v/>
      </c>
      <c r="T36" s="587" t="e">
        <f t="shared" ca="1" si="0"/>
        <v>#VALUE!</v>
      </c>
      <c r="U36" s="83"/>
      <c r="V36" s="311"/>
      <c r="W36" s="966" t="s">
        <v>335</v>
      </c>
      <c r="X36" s="996"/>
      <c r="Y36" s="996"/>
      <c r="Z36" s="996"/>
      <c r="AA36" s="996"/>
      <c r="AB36" s="996"/>
      <c r="AC36" s="996"/>
      <c r="AD36" s="967"/>
      <c r="AE36" s="189"/>
      <c r="AF36" s="877" t="s">
        <v>368</v>
      </c>
      <c r="AG36" s="878"/>
      <c r="AH36" s="878"/>
      <c r="AI36" s="986"/>
      <c r="AJ36" s="986"/>
      <c r="AK36" s="879"/>
      <c r="AL36" s="189"/>
      <c r="AM36" s="189"/>
      <c r="AN36" s="189"/>
      <c r="AO36" s="104"/>
      <c r="AP36" s="83"/>
      <c r="AQ36" s="215"/>
      <c r="AR36" s="371"/>
    </row>
    <row r="37" spans="1:44" ht="16.25" customHeight="1" x14ac:dyDescent="0.2">
      <c r="A37" s="83"/>
      <c r="B37" s="103"/>
      <c r="C37" s="363"/>
      <c r="D37" s="208"/>
      <c r="E37" s="208"/>
      <c r="F37" s="158"/>
      <c r="G37" s="158"/>
      <c r="H37" s="395" t="str">
        <f>IF(Tabla27889112113694[[#This Row],[Subtype]]="","",VLOOKUP(Tabla27889112113694[[#This Row],[Subtype]],'Unit-X00 Equipment'!$E$13:$H$107,4,FALSE))</f>
        <v/>
      </c>
      <c r="I37" s="96"/>
      <c r="J37" s="96"/>
      <c r="K37" s="96"/>
      <c r="L37" s="96"/>
      <c r="M37" s="156"/>
      <c r="N37" s="96"/>
      <c r="O37" s="96"/>
      <c r="P37" s="96"/>
      <c r="Q37" s="153"/>
      <c r="R37" s="97"/>
      <c r="S37" s="193" t="str">
        <f>+IF(Tabla25879012013593[[#This Row],[Equipment]]="","",Q37*R37/10^6)</f>
        <v/>
      </c>
      <c r="T37" s="587" t="e">
        <f t="shared" ca="1" si="0"/>
        <v>#VALUE!</v>
      </c>
      <c r="U37" s="83"/>
      <c r="V37" s="311"/>
      <c r="W37" s="942" t="s">
        <v>336</v>
      </c>
      <c r="X37" s="899"/>
      <c r="Y37" s="900"/>
      <c r="Z37" s="942" t="s">
        <v>200</v>
      </c>
      <c r="AA37" s="900"/>
      <c r="AB37" s="942" t="s">
        <v>201</v>
      </c>
      <c r="AC37" s="899"/>
      <c r="AD37" s="316" t="s">
        <v>202</v>
      </c>
      <c r="AE37" s="395"/>
      <c r="AF37" s="892" t="s">
        <v>369</v>
      </c>
      <c r="AG37" s="894"/>
      <c r="AH37" s="743">
        <v>2</v>
      </c>
      <c r="AI37" s="1001" t="s">
        <v>370</v>
      </c>
      <c r="AJ37" s="1002"/>
      <c r="AK37" s="640">
        <v>15</v>
      </c>
      <c r="AL37" s="395"/>
      <c r="AM37" s="395"/>
      <c r="AN37" s="395"/>
      <c r="AO37" s="104"/>
      <c r="AP37" s="83"/>
      <c r="AQ37" s="215"/>
      <c r="AR37" s="371"/>
    </row>
    <row r="38" spans="1:44" ht="16.25" customHeight="1" x14ac:dyDescent="0.2">
      <c r="A38" s="83"/>
      <c r="B38" s="103"/>
      <c r="C38" s="363"/>
      <c r="D38" s="208"/>
      <c r="E38" s="208"/>
      <c r="F38" s="158"/>
      <c r="G38" s="158"/>
      <c r="H38" s="395" t="str">
        <f>IF(Tabla27889112113694[[#This Row],[Subtype]]="","",VLOOKUP(Tabla27889112113694[[#This Row],[Subtype]],'Unit-X00 Equipment'!$E$13:$H$107,4,FALSE))</f>
        <v/>
      </c>
      <c r="I38" s="96"/>
      <c r="J38" s="96"/>
      <c r="K38" s="96"/>
      <c r="L38" s="96"/>
      <c r="M38" s="156"/>
      <c r="N38" s="96"/>
      <c r="O38" s="96"/>
      <c r="P38" s="96"/>
      <c r="Q38" s="153"/>
      <c r="R38" s="97"/>
      <c r="S38" s="193" t="str">
        <f>+IF(Tabla25879012013593[[#This Row],[Equipment]]="","",Q38*R38/10^6)</f>
        <v/>
      </c>
      <c r="T38" s="587" t="e">
        <f t="shared" ca="1" si="0"/>
        <v>#VALUE!</v>
      </c>
      <c r="U38" s="83"/>
      <c r="V38" s="311"/>
      <c r="W38" s="316" t="s">
        <v>203</v>
      </c>
      <c r="X38" s="316" t="s">
        <v>204</v>
      </c>
      <c r="Y38" s="316" t="s">
        <v>205</v>
      </c>
      <c r="Z38" s="641" t="s">
        <v>206</v>
      </c>
      <c r="AA38" s="641" t="s">
        <v>207</v>
      </c>
      <c r="AB38" s="642" t="s">
        <v>206</v>
      </c>
      <c r="AC38" s="641" t="s">
        <v>207</v>
      </c>
      <c r="AD38" s="166" t="s">
        <v>208</v>
      </c>
      <c r="AE38" s="395"/>
      <c r="AF38" s="892" t="s">
        <v>371</v>
      </c>
      <c r="AG38" s="894"/>
      <c r="AH38" s="311">
        <v>2</v>
      </c>
      <c r="AI38" s="892" t="s">
        <v>372</v>
      </c>
      <c r="AJ38" s="894"/>
      <c r="AK38" s="643">
        <v>0.3</v>
      </c>
      <c r="AL38" s="644"/>
      <c r="AM38" s="644"/>
      <c r="AN38" s="395"/>
      <c r="AO38" s="84"/>
      <c r="AP38" s="83"/>
      <c r="AQ38" s="215"/>
      <c r="AR38" s="371"/>
    </row>
    <row r="39" spans="1:44" ht="16.25" customHeight="1" x14ac:dyDescent="0.2">
      <c r="A39" s="83"/>
      <c r="B39" s="103"/>
      <c r="C39" s="92"/>
      <c r="D39" s="209"/>
      <c r="E39" s="209"/>
      <c r="F39" s="588"/>
      <c r="G39" s="588"/>
      <c r="H39" s="395" t="str">
        <f>IF(Tabla27889112113694[[#This Row],[Subtype]]="","",VLOOKUP(Tabla27889112113694[[#This Row],[Subtype]],'Unit-X00 Equipment'!$E$13:$H$107,4,FALSE))</f>
        <v/>
      </c>
      <c r="M39" s="235"/>
      <c r="Q39" s="236"/>
      <c r="R39" s="84"/>
      <c r="S39" s="193" t="str">
        <f>+IF(Tabla25879012013593[[#This Row],[Equipment]]="","",Q39*R39/10^6)</f>
        <v/>
      </c>
      <c r="T39" s="587" t="e">
        <f t="shared" ca="1" si="0"/>
        <v>#VALUE!</v>
      </c>
      <c r="U39" s="83"/>
      <c r="V39" s="311"/>
      <c r="W39" s="316" t="s">
        <v>209</v>
      </c>
      <c r="X39" s="316">
        <v>698444.56732070202</v>
      </c>
      <c r="Y39" s="309" t="s">
        <v>213</v>
      </c>
      <c r="Z39" s="625">
        <v>33.5</v>
      </c>
      <c r="AA39" s="749">
        <f>IF(Z39="Ph. Ch.",$Y$53,IF(Z39="Liquid",$Y$52,$Y$50*Z39^$Y$51))</f>
        <v>467.29523897991959</v>
      </c>
      <c r="AB39" s="244">
        <v>1.1000000000000001</v>
      </c>
      <c r="AC39" s="750">
        <f>IF(AB39="Ph. Ch.",$Y$53,IF(AB39="Liquid",$Y$52,$Y$50*AB39^$Y$51))</f>
        <v>42.759721796653317</v>
      </c>
      <c r="AD39" s="645">
        <f>1/(1/AA39+1/AC39)</f>
        <v>39.175022207919959</v>
      </c>
      <c r="AE39" s="395"/>
      <c r="AF39" s="1003" t="s">
        <v>373</v>
      </c>
      <c r="AG39" s="1004"/>
      <c r="AH39" s="639">
        <v>0.33</v>
      </c>
      <c r="AI39" s="892" t="s">
        <v>374</v>
      </c>
      <c r="AJ39" s="894"/>
      <c r="AK39" s="548">
        <v>2000</v>
      </c>
      <c r="AL39" s="395"/>
      <c r="AM39" s="395"/>
      <c r="AN39" s="395"/>
      <c r="AO39" s="104"/>
      <c r="AP39" s="83"/>
      <c r="AQ39" s="215"/>
      <c r="AR39" s="371"/>
    </row>
    <row r="40" spans="1:44" ht="16.25" customHeight="1" x14ac:dyDescent="0.2">
      <c r="A40" s="83"/>
      <c r="B40" s="103"/>
      <c r="C40" s="92"/>
      <c r="D40" s="209"/>
      <c r="E40" s="209"/>
      <c r="F40" s="588"/>
      <c r="G40" s="588"/>
      <c r="H40" s="395" t="str">
        <f>IF(Tabla27889112113694[[#This Row],[Subtype]]="","",VLOOKUP(Tabla27889112113694[[#This Row],[Subtype]],'Unit-X00 Equipment'!$E$13:$H$107,4,FALSE))</f>
        <v/>
      </c>
      <c r="M40" s="235"/>
      <c r="Q40" s="236"/>
      <c r="R40" s="84"/>
      <c r="S40" s="193" t="str">
        <f>+IF(Tabla25879012013593[[#This Row],[Equipment]]="","",Q40*R40/10^6)</f>
        <v/>
      </c>
      <c r="T40" s="587" t="e">
        <f t="shared" ca="1" si="0"/>
        <v>#VALUE!</v>
      </c>
      <c r="U40" s="83"/>
      <c r="V40" s="311"/>
      <c r="W40" s="316" t="s">
        <v>212</v>
      </c>
      <c r="X40">
        <v>703556.88975971495</v>
      </c>
      <c r="Y40" s="646" t="s">
        <v>213</v>
      </c>
      <c r="Z40" s="273">
        <v>33.5</v>
      </c>
      <c r="AA40" s="159">
        <f t="shared" ref="AA40:AA46" si="5">IF(Z40="Ph. Ch.",$Y$53,IF(Z40="Liquid",$Y$52,$Y$50*Z40^$Y$51))</f>
        <v>467.29523897991959</v>
      </c>
      <c r="AB40" s="96">
        <v>1.2</v>
      </c>
      <c r="AC40" s="214">
        <f t="shared" ref="AC40:AC46" si="6">IF(AB40="Ph. Ch.",$Y$53,IF(AB40="Liquid",$Y$52,$Y$50*AB40^$Y$51))</f>
        <v>45.445079087955548</v>
      </c>
      <c r="AD40" s="647">
        <f t="shared" ref="AD40:AD46" si="7">1/(1/AA40+1/AC40)</f>
        <v>41.417201543445501</v>
      </c>
      <c r="AE40" s="395"/>
      <c r="AF40" s="892" t="s">
        <v>375</v>
      </c>
      <c r="AG40" s="894"/>
      <c r="AH40" s="311">
        <v>0.1</v>
      </c>
      <c r="AI40" s="892" t="s">
        <v>376</v>
      </c>
      <c r="AJ40" s="894"/>
      <c r="AK40" s="304">
        <f>+AH40*AH40*PI()/4*AH41</f>
        <v>5.4977871437821388E-2</v>
      </c>
      <c r="AL40" s="395"/>
      <c r="AM40" s="395"/>
      <c r="AN40" s="395"/>
      <c r="AO40" s="104"/>
      <c r="AP40" s="83"/>
      <c r="AQ40" s="215"/>
      <c r="AR40" s="371"/>
    </row>
    <row r="41" spans="1:44" ht="16.25" customHeight="1" x14ac:dyDescent="0.2">
      <c r="A41" s="83"/>
      <c r="B41" s="103"/>
      <c r="C41" s="99"/>
      <c r="D41" s="208"/>
      <c r="E41" s="208"/>
      <c r="F41" s="158"/>
      <c r="G41" s="158"/>
      <c r="H41" s="395" t="str">
        <f>IF(Tabla27889112113694[[#This Row],[Subtype]]="","",VLOOKUP(Tabla27889112113694[[#This Row],[Subtype]],'Unit-X00 Equipment'!$E$13:$H$107,4,FALSE))</f>
        <v/>
      </c>
      <c r="I41" s="96"/>
      <c r="J41" s="96"/>
      <c r="K41" s="96"/>
      <c r="L41" s="96"/>
      <c r="M41" s="156"/>
      <c r="N41" s="96"/>
      <c r="O41" s="96"/>
      <c r="P41" s="152"/>
      <c r="Q41" s="153"/>
      <c r="R41" s="97"/>
      <c r="S41" s="193" t="str">
        <f>+IF(Tabla25879012013593[[#This Row],[Equipment]]="","",Q41*R41/10^6)</f>
        <v/>
      </c>
      <c r="T41" s="587" t="e">
        <f t="shared" ca="1" si="0"/>
        <v>#VALUE!</v>
      </c>
      <c r="U41" s="83"/>
      <c r="V41" s="311"/>
      <c r="W41" s="316" t="s">
        <v>214</v>
      </c>
      <c r="X41" s="648">
        <v>426830.81467209099</v>
      </c>
      <c r="Y41" s="649" t="s">
        <v>213</v>
      </c>
      <c r="Z41" s="273">
        <v>32.5</v>
      </c>
      <c r="AA41" s="159">
        <f t="shared" si="5"/>
        <v>457.48656430679631</v>
      </c>
      <c r="AB41" s="96">
        <v>1.3</v>
      </c>
      <c r="AC41" s="214">
        <f t="shared" si="6"/>
        <v>48.064047251718101</v>
      </c>
      <c r="AD41" s="647">
        <f t="shared" si="7"/>
        <v>43.494469873315495</v>
      </c>
      <c r="AE41" s="395"/>
      <c r="AF41" s="892" t="s">
        <v>377</v>
      </c>
      <c r="AG41" s="894"/>
      <c r="AH41" s="311">
        <v>7</v>
      </c>
      <c r="AI41" s="892" t="s">
        <v>378</v>
      </c>
      <c r="AJ41" s="894"/>
      <c r="AK41" s="650">
        <f>+AK40*AH42/AH39</f>
        <v>133.27968833411245</v>
      </c>
      <c r="AL41" s="395"/>
      <c r="AM41" s="395"/>
      <c r="AN41" s="395"/>
      <c r="AO41" s="104"/>
      <c r="AP41" s="83"/>
      <c r="AQ41" s="215"/>
      <c r="AR41" s="371"/>
    </row>
    <row r="42" spans="1:44" ht="16.25" customHeight="1" x14ac:dyDescent="0.2">
      <c r="A42" s="83"/>
      <c r="B42" s="103"/>
      <c r="C42" s="99"/>
      <c r="D42" s="208"/>
      <c r="E42" s="208"/>
      <c r="F42" s="158"/>
      <c r="G42" s="158"/>
      <c r="H42" s="395" t="str">
        <f>IF(Tabla27889112113694[[#This Row],[Subtype]]="","",VLOOKUP(Tabla27889112113694[[#This Row],[Subtype]],'Unit-X00 Equipment'!$E$13:$H$107,4,FALSE))</f>
        <v/>
      </c>
      <c r="I42" s="96"/>
      <c r="J42" s="96"/>
      <c r="K42" s="96"/>
      <c r="L42" s="96"/>
      <c r="M42" s="156"/>
      <c r="N42" s="96"/>
      <c r="O42" s="96"/>
      <c r="P42" s="158"/>
      <c r="Q42" s="153"/>
      <c r="R42" s="97"/>
      <c r="S42" s="193" t="str">
        <f>+IF(Tabla25879012013593[[#This Row],[Equipment]]="","",Q42*R42/10^6)</f>
        <v/>
      </c>
      <c r="T42" s="587" t="e">
        <f t="shared" ca="1" si="0"/>
        <v>#VALUE!</v>
      </c>
      <c r="U42" s="83"/>
      <c r="V42" s="311"/>
      <c r="W42" s="316" t="s">
        <v>215</v>
      </c>
      <c r="X42" s="651">
        <v>693924.69664758304</v>
      </c>
      <c r="Y42" s="649" t="str">
        <f>+Y41</f>
        <v>gas-gas</v>
      </c>
      <c r="Z42" s="273">
        <v>32.450000000000003</v>
      </c>
      <c r="AA42" s="159">
        <f t="shared" si="5"/>
        <v>456.99377269756241</v>
      </c>
      <c r="AB42" s="96">
        <v>1.3</v>
      </c>
      <c r="AC42" s="214">
        <f t="shared" si="6"/>
        <v>48.064047251718101</v>
      </c>
      <c r="AD42" s="647">
        <f t="shared" si="7"/>
        <v>43.490011276099743</v>
      </c>
      <c r="AE42" s="395"/>
      <c r="AF42" s="892" t="s">
        <v>379</v>
      </c>
      <c r="AG42" s="894"/>
      <c r="AH42" s="743">
        <f>+ROUNDUP(AB50*('Plant Overview'!I71/AB51)^AB52,0)</f>
        <v>800</v>
      </c>
      <c r="AI42" s="892" t="s">
        <v>380</v>
      </c>
      <c r="AJ42" s="894"/>
      <c r="AK42" s="304">
        <f>(4*AK41/PI()/AK43)^(1/3)</f>
        <v>3.2376857533792074</v>
      </c>
      <c r="AL42" s="395"/>
      <c r="AM42" s="395"/>
      <c r="AN42" s="395"/>
      <c r="AO42" s="104"/>
      <c r="AP42" s="83"/>
      <c r="AQ42" s="215"/>
      <c r="AR42" s="371"/>
    </row>
    <row r="43" spans="1:44" ht="16.25" customHeight="1" x14ac:dyDescent="0.2">
      <c r="A43" s="83"/>
      <c r="B43" s="103"/>
      <c r="C43" s="363"/>
      <c r="D43" s="208"/>
      <c r="E43" s="208"/>
      <c r="F43" s="158"/>
      <c r="G43" s="158"/>
      <c r="H43" s="395" t="str">
        <f>IF(Tabla27889112113694[[#This Row],[Subtype]]="","",VLOOKUP(Tabla27889112113694[[#This Row],[Subtype]],'Unit-X00 Equipment'!$E$13:$H$107,4,FALSE))</f>
        <v/>
      </c>
      <c r="I43" s="96"/>
      <c r="J43" s="96"/>
      <c r="K43" s="96"/>
      <c r="L43" s="96"/>
      <c r="M43" s="283"/>
      <c r="N43" s="275"/>
      <c r="O43" s="275"/>
      <c r="P43" s="275"/>
      <c r="Q43" s="284"/>
      <c r="R43" s="98"/>
      <c r="S43" s="193" t="str">
        <f>+IF(Tabla25879012013593[[#This Row],[Equipment]]="","",Q43*R43/10^6)</f>
        <v/>
      </c>
      <c r="T43" s="587" t="e">
        <f t="shared" ca="1" si="0"/>
        <v>#VALUE!</v>
      </c>
      <c r="U43" s="83"/>
      <c r="V43" s="311"/>
      <c r="W43" s="316" t="s">
        <v>217</v>
      </c>
      <c r="X43" s="648">
        <v>294549.56960215198</v>
      </c>
      <c r="Y43" s="646" t="s">
        <v>213</v>
      </c>
      <c r="Z43" s="273">
        <v>1.3</v>
      </c>
      <c r="AA43" s="159">
        <f t="shared" si="5"/>
        <v>48.064047251718101</v>
      </c>
      <c r="AB43" s="96">
        <v>1.3</v>
      </c>
      <c r="AC43" s="214">
        <f t="shared" si="6"/>
        <v>48.064047251718101</v>
      </c>
      <c r="AD43" s="647">
        <f t="shared" si="7"/>
        <v>24.032023625859054</v>
      </c>
      <c r="AE43" s="395"/>
      <c r="AF43" s="892" t="s">
        <v>381</v>
      </c>
      <c r="AG43" s="894"/>
      <c r="AH43" s="311">
        <v>3400</v>
      </c>
      <c r="AI43" s="892" t="s">
        <v>382</v>
      </c>
      <c r="AJ43" s="894"/>
      <c r="AK43" s="548">
        <v>5</v>
      </c>
      <c r="AL43" s="395"/>
      <c r="AM43" s="395"/>
      <c r="AN43" s="395"/>
      <c r="AO43" s="104"/>
      <c r="AP43" s="83"/>
      <c r="AQ43" s="215"/>
      <c r="AR43" s="371"/>
    </row>
    <row r="44" spans="1:44" ht="16.25" customHeight="1" x14ac:dyDescent="0.2">
      <c r="A44" s="83"/>
      <c r="B44" s="103"/>
      <c r="C44" s="364"/>
      <c r="D44" s="918" t="s">
        <v>220</v>
      </c>
      <c r="E44" s="918"/>
      <c r="F44" s="918"/>
      <c r="G44" s="918"/>
      <c r="H44" s="918"/>
      <c r="I44" s="918"/>
      <c r="J44" s="918"/>
      <c r="K44" s="918"/>
      <c r="L44" s="918"/>
      <c r="M44" s="947"/>
      <c r="N44" s="947"/>
      <c r="O44" s="947"/>
      <c r="P44" s="947"/>
      <c r="Q44" s="947"/>
      <c r="R44" s="947"/>
      <c r="S44" s="180"/>
      <c r="T44" s="104"/>
      <c r="U44" s="83"/>
      <c r="V44" s="311"/>
      <c r="W44" s="316" t="s">
        <v>383</v>
      </c>
      <c r="X44" s="648">
        <v>252461.575301042</v>
      </c>
      <c r="Y44" s="646" t="s">
        <v>213</v>
      </c>
      <c r="Z44" s="273">
        <v>1.3</v>
      </c>
      <c r="AA44" s="159">
        <f t="shared" si="5"/>
        <v>48.064047251718101</v>
      </c>
      <c r="AB44" s="96">
        <v>1.1000000000000001</v>
      </c>
      <c r="AC44" s="214">
        <f t="shared" si="6"/>
        <v>42.759721796653317</v>
      </c>
      <c r="AD44" s="647">
        <f t="shared" si="7"/>
        <v>22.628495937116341</v>
      </c>
      <c r="AE44" s="395"/>
      <c r="AF44" s="945" t="s">
        <v>384</v>
      </c>
      <c r="AG44" s="946"/>
      <c r="AH44" s="312">
        <v>0.45</v>
      </c>
      <c r="AI44" s="312"/>
      <c r="AJ44" s="654"/>
      <c r="AK44" s="654"/>
      <c r="AL44" s="395"/>
      <c r="AM44" s="395"/>
      <c r="AN44" s="395"/>
      <c r="AO44" s="104"/>
      <c r="AP44" s="83"/>
      <c r="AQ44" s="215"/>
      <c r="AR44" s="371"/>
    </row>
    <row r="45" spans="1:44" ht="16.25" customHeight="1" x14ac:dyDescent="0.2">
      <c r="A45" s="83"/>
      <c r="B45" s="103"/>
      <c r="C45" s="421" t="s">
        <v>223</v>
      </c>
      <c r="D45" s="415" t="s">
        <v>224</v>
      </c>
      <c r="E45" s="415" t="s">
        <v>225</v>
      </c>
      <c r="F45" s="571" t="s">
        <v>226</v>
      </c>
      <c r="G45" s="571" t="s">
        <v>50</v>
      </c>
      <c r="H45" s="571" t="s">
        <v>227</v>
      </c>
      <c r="I45" s="415" t="s">
        <v>228</v>
      </c>
      <c r="J45" s="415" t="s">
        <v>75</v>
      </c>
      <c r="K45" s="424" t="s">
        <v>155</v>
      </c>
      <c r="L45" s="424" t="s">
        <v>157</v>
      </c>
      <c r="M45" s="422" t="s">
        <v>229</v>
      </c>
      <c r="N45" s="423" t="s">
        <v>230</v>
      </c>
      <c r="O45" s="419" t="s">
        <v>231</v>
      </c>
      <c r="P45" s="415" t="s">
        <v>151</v>
      </c>
      <c r="Q45" s="415" t="s">
        <v>148</v>
      </c>
      <c r="R45" s="420" t="s">
        <v>144</v>
      </c>
      <c r="S45" s="420" t="s">
        <v>232</v>
      </c>
      <c r="T45" s="104"/>
      <c r="U45" s="83"/>
      <c r="V45" s="311"/>
      <c r="W45" s="316" t="s">
        <v>385</v>
      </c>
      <c r="X45" s="648">
        <v>928427.68948724295</v>
      </c>
      <c r="Y45" s="646" t="s">
        <v>386</v>
      </c>
      <c r="Z45" s="273">
        <v>1</v>
      </c>
      <c r="AA45" s="159">
        <f t="shared" si="5"/>
        <v>40</v>
      </c>
      <c r="AB45" s="96" t="s">
        <v>341</v>
      </c>
      <c r="AC45" s="214">
        <f t="shared" si="6"/>
        <v>1500</v>
      </c>
      <c r="AD45" s="647">
        <f t="shared" si="7"/>
        <v>38.961038961038959</v>
      </c>
      <c r="AE45" s="395"/>
      <c r="AF45" s="385"/>
      <c r="AG45" s="655"/>
      <c r="AH45" s="395"/>
      <c r="AI45" s="395"/>
      <c r="AJ45" s="395"/>
      <c r="AK45" s="395"/>
      <c r="AL45" s="395"/>
      <c r="AM45" s="395"/>
      <c r="AN45" s="655"/>
      <c r="AO45" s="104"/>
      <c r="AP45" s="83"/>
      <c r="AQ45" s="215"/>
      <c r="AR45" s="371"/>
    </row>
    <row r="46" spans="1:44" ht="16.25" customHeight="1" x14ac:dyDescent="0.2">
      <c r="A46" s="83"/>
      <c r="B46" s="103"/>
      <c r="C46" s="273" t="s">
        <v>256</v>
      </c>
      <c r="D46" s="276" t="s">
        <v>257</v>
      </c>
      <c r="E46" s="277" t="s">
        <v>258</v>
      </c>
      <c r="F46" s="277" t="s">
        <v>53</v>
      </c>
      <c r="G46" s="277">
        <v>2005</v>
      </c>
      <c r="H46" s="277" t="s">
        <v>48</v>
      </c>
      <c r="I46" s="277" t="s">
        <v>259</v>
      </c>
      <c r="J46" s="277" t="s">
        <v>57</v>
      </c>
      <c r="K46" s="96">
        <v>1</v>
      </c>
      <c r="L46" s="96">
        <v>0.67</v>
      </c>
      <c r="M46" s="276">
        <v>1</v>
      </c>
      <c r="N46" s="195">
        <v>413.82</v>
      </c>
      <c r="O46" s="198">
        <v>0.66</v>
      </c>
      <c r="P46" s="656">
        <v>1</v>
      </c>
      <c r="Q46" s="195">
        <f>+'Plant Overview'!F57</f>
        <v>791.38818139243176</v>
      </c>
      <c r="R46" s="193">
        <f t="shared" ref="R46:R50" si="8">IF(ISBLANK(Q46),"",(P46/M46)^K46*O46*((Q46/P46)/(N46/M46))^L46)</f>
        <v>1.0190635118737716</v>
      </c>
      <c r="S46" s="193" cm="1">
        <f t="array" aca="1" ref="S46" ca="1">IF(ISBLANK(Q46),"",IF(R46&gt;0,R46*INDIRECT(ADDRESS(MATCH(G46,'Cost Conversion'!$B$3:$B$48,0)+2,4,1,1,"Cost conversion"))*INDIRECT(ADDRESS(MATCH(H46,'Cost Conversion'!$F$3:$F$22,0)+2,8,1,1,"Cost conversion"))/IF(F46="$",'Cost Conversion'!$L$2,1),0))</f>
        <v>1.3852237113247163</v>
      </c>
      <c r="T46" s="607">
        <f ca="1">+S46</f>
        <v>1.3852237113247163</v>
      </c>
      <c r="U46" s="83"/>
      <c r="V46" s="311"/>
      <c r="W46" s="316" t="s">
        <v>387</v>
      </c>
      <c r="X46" s="648">
        <v>500006.021760598</v>
      </c>
      <c r="Y46" s="646" t="s">
        <v>386</v>
      </c>
      <c r="Z46" s="273">
        <v>6</v>
      </c>
      <c r="AA46" s="158">
        <f t="shared" si="5"/>
        <v>140.20576345628771</v>
      </c>
      <c r="AB46" s="96" t="s">
        <v>341</v>
      </c>
      <c r="AC46" s="214">
        <f t="shared" si="6"/>
        <v>1500</v>
      </c>
      <c r="AD46" s="647">
        <f t="shared" si="7"/>
        <v>128.22089146989904</v>
      </c>
      <c r="AE46" s="395"/>
      <c r="AF46" s="385"/>
      <c r="AG46" s="655"/>
      <c r="AH46" s="395"/>
      <c r="AI46" s="395"/>
      <c r="AJ46" s="395"/>
      <c r="AK46" s="395"/>
      <c r="AL46" s="395"/>
      <c r="AM46" s="395"/>
      <c r="AN46" s="655"/>
      <c r="AO46" s="104"/>
      <c r="AP46" s="83"/>
      <c r="AQ46" s="215"/>
      <c r="AR46" s="371"/>
    </row>
    <row r="47" spans="1:44" ht="16.25" customHeight="1" x14ac:dyDescent="0.2">
      <c r="A47" s="83"/>
      <c r="B47" s="103"/>
      <c r="C47" s="273" t="s">
        <v>262</v>
      </c>
      <c r="D47" s="273" t="s">
        <v>263</v>
      </c>
      <c r="E47" s="96" t="str">
        <f>+E46</f>
        <v>Spallina</v>
      </c>
      <c r="F47" s="96" t="s">
        <v>53</v>
      </c>
      <c r="G47" s="96">
        <v>2008</v>
      </c>
      <c r="H47" s="96" t="s">
        <v>48</v>
      </c>
      <c r="I47" s="96" t="str">
        <f>+I46</f>
        <v>Thermal Input</v>
      </c>
      <c r="J47" s="96" t="str">
        <f>+J46</f>
        <v>MW</v>
      </c>
      <c r="K47" s="96">
        <v>1</v>
      </c>
      <c r="L47" s="96">
        <v>0.75</v>
      </c>
      <c r="M47" s="273">
        <v>1</v>
      </c>
      <c r="N47" s="158">
        <v>1800</v>
      </c>
      <c r="O47" s="158">
        <v>17.5</v>
      </c>
      <c r="P47" s="153">
        <v>1</v>
      </c>
      <c r="Q47" s="158">
        <f>+Q46</f>
        <v>791.38818139243176</v>
      </c>
      <c r="R47" s="193">
        <f t="shared" si="8"/>
        <v>9.4487822361054192</v>
      </c>
      <c r="S47" s="193" cm="1">
        <f t="array" aca="1" ref="S47" ca="1">IF(ISBLANK(Q47),"",IF(R47&gt;0,R47*INDIRECT(ADDRESS(MATCH(G47,'Cost Conversion'!$B$3:$B$48,0)+2,4,1,1,"Cost conversion"))*INDIRECT(ADDRESS(MATCH(H47,'Cost Conversion'!$F$3:$F$22,0)+2,8,1,1,"Cost conversion"))/IF(F47="$",'Cost Conversion'!$L$2,1),0))</f>
        <v>10.450956907437234</v>
      </c>
      <c r="T47" s="607">
        <f t="shared" ref="T47:T50" ca="1" si="9">+S47</f>
        <v>10.450956907437234</v>
      </c>
      <c r="U47" s="83"/>
      <c r="V47" s="311"/>
      <c r="W47" s="316" t="s">
        <v>388</v>
      </c>
      <c r="X47" s="648">
        <v>761438.98695637099</v>
      </c>
      <c r="Y47" s="646" t="s">
        <v>386</v>
      </c>
      <c r="Z47" s="274">
        <v>6</v>
      </c>
      <c r="AA47" s="370">
        <f t="shared" ref="AA47" si="10">IF(Z47="Ph. Ch.",$Y$53,IF(Z47="Liquid",$Y$52,$Y$50*Z47^$Y$51))</f>
        <v>140.20576345628771</v>
      </c>
      <c r="AB47" s="275" t="s">
        <v>341</v>
      </c>
      <c r="AC47" s="751">
        <f t="shared" ref="AC47" si="11">IF(AB47="Ph. Ch.",$Y$53,IF(AB47="Liquid",$Y$52,$Y$50*AB47^$Y$51))</f>
        <v>1500</v>
      </c>
      <c r="AD47" s="653">
        <f t="shared" ref="AD47" si="12">1/(1/AA47+1/AC47)</f>
        <v>128.22089146989904</v>
      </c>
      <c r="AE47" s="395"/>
      <c r="AF47" s="395"/>
      <c r="AG47" s="395"/>
      <c r="AH47" s="395"/>
      <c r="AI47" s="395"/>
      <c r="AJ47" s="395"/>
      <c r="AK47" s="395"/>
      <c r="AL47" s="395"/>
      <c r="AM47" s="395"/>
      <c r="AN47" s="395"/>
      <c r="AO47" s="104"/>
      <c r="AP47" s="83"/>
      <c r="AQ47" s="215"/>
      <c r="AR47" s="371"/>
    </row>
    <row r="48" spans="1:44" ht="16.25" customHeight="1" x14ac:dyDescent="0.2">
      <c r="A48" s="83"/>
      <c r="B48" s="103"/>
      <c r="C48" s="273" t="s">
        <v>234</v>
      </c>
      <c r="D48" s="273" t="s">
        <v>235</v>
      </c>
      <c r="E48" s="96"/>
      <c r="F48" s="96" t="s">
        <v>236</v>
      </c>
      <c r="G48" s="96">
        <v>2020</v>
      </c>
      <c r="H48" s="96" t="s">
        <v>237</v>
      </c>
      <c r="I48" s="96" t="s">
        <v>238</v>
      </c>
      <c r="J48" s="96" t="s">
        <v>179</v>
      </c>
      <c r="K48" s="96">
        <v>1</v>
      </c>
      <c r="L48" s="96">
        <v>1</v>
      </c>
      <c r="M48" s="273">
        <v>1</v>
      </c>
      <c r="N48" s="96">
        <v>1</v>
      </c>
      <c r="O48" s="96">
        <f>+AK39/10^6</f>
        <v>2E-3</v>
      </c>
      <c r="P48" s="96">
        <v>1</v>
      </c>
      <c r="Q48" s="158">
        <f>+(AK42+2*AK38)^2*PI()/4*(AK42*AK43+2*AK38)-AK41</f>
        <v>60.915629009180151</v>
      </c>
      <c r="R48" s="193">
        <f t="shared" si="8"/>
        <v>0.12183125801836031</v>
      </c>
      <c r="S48" s="193" cm="1">
        <f t="array" aca="1" ref="S48" ca="1">IF(ISBLANK(Q48),"",IF(R48&gt;0,R48*INDIRECT(ADDRESS(MATCH(G48,'Cost Conversion'!$B$3:$B$48,0)+2,4,1,1,"Cost conversion"))*INDIRECT(ADDRESS(MATCH(H48,'Cost Conversion'!$F$3:$F$22,0)+2,8,1,1,"Cost conversion"))/IF(F48="$",'Cost Conversion'!$L$2,1),0))</f>
        <v>0.12328981716421819</v>
      </c>
      <c r="T48" s="607">
        <f t="shared" ca="1" si="9"/>
        <v>0.12328981716421819</v>
      </c>
      <c r="U48" s="83"/>
      <c r="V48" s="103"/>
      <c r="W48" s="210"/>
      <c r="X48" s="210"/>
      <c r="Y48" s="210"/>
      <c r="Z48" s="210"/>
      <c r="AA48" s="210"/>
      <c r="AB48" s="210"/>
      <c r="AC48" s="210"/>
      <c r="AD48" s="210"/>
      <c r="AE48" s="210"/>
      <c r="AF48" s="657"/>
      <c r="AG48" s="230" t="s">
        <v>252</v>
      </c>
      <c r="AH48" s="230" t="s">
        <v>2</v>
      </c>
      <c r="AI48" s="963" t="s">
        <v>82</v>
      </c>
      <c r="AJ48" s="964"/>
      <c r="AK48" s="964"/>
      <c r="AL48" s="964"/>
      <c r="AM48" s="964"/>
      <c r="AN48" s="965"/>
      <c r="AO48" s="104"/>
      <c r="AP48" s="83"/>
      <c r="AQ48" s="215"/>
      <c r="AR48" s="371"/>
    </row>
    <row r="49" spans="1:57" ht="16.25" customHeight="1" x14ac:dyDescent="0.2">
      <c r="A49" s="83"/>
      <c r="B49" s="103"/>
      <c r="C49" s="273" t="s">
        <v>389</v>
      </c>
      <c r="D49" s="273" t="s">
        <v>308</v>
      </c>
      <c r="E49" s="96"/>
      <c r="F49" s="96" t="s">
        <v>236</v>
      </c>
      <c r="G49" s="96">
        <v>2020</v>
      </c>
      <c r="H49" s="96" t="s">
        <v>237</v>
      </c>
      <c r="I49" s="96" t="s">
        <v>247</v>
      </c>
      <c r="J49" s="96" t="s">
        <v>248</v>
      </c>
      <c r="K49" s="96">
        <v>1</v>
      </c>
      <c r="L49" s="96">
        <v>1</v>
      </c>
      <c r="M49" s="273">
        <v>1</v>
      </c>
      <c r="N49" s="96">
        <v>1</v>
      </c>
      <c r="O49" s="96">
        <f>+AK37*1000/10^6</f>
        <v>1.4999999999999999E-2</v>
      </c>
      <c r="P49" s="96">
        <v>1</v>
      </c>
      <c r="Q49" s="158">
        <f>+AK40*AH42*AH44*AH43/1000</f>
        <v>67.292914639893382</v>
      </c>
      <c r="R49" s="193">
        <f t="shared" si="8"/>
        <v>1.0093937195984006</v>
      </c>
      <c r="S49" s="193" cm="1">
        <f t="array" aca="1" ref="S49" ca="1">IF(ISBLANK(Q49),"",IF(R49&gt;0,R49*INDIRECT(ADDRESS(MATCH(G49,'Cost Conversion'!$B$3:$B$48,0)+2,4,1,1,"Cost conversion"))*INDIRECT(ADDRESS(MATCH(H49,'Cost Conversion'!$F$3:$F$22,0)+2,8,1,1,"Cost conversion"))/IF(F49="$",'Cost Conversion'!$L$2,1),0))</f>
        <v>1.0214781424750805</v>
      </c>
      <c r="T49" s="607">
        <f t="shared" ca="1" si="9"/>
        <v>1.0214781424750805</v>
      </c>
      <c r="U49" s="83"/>
      <c r="V49" s="103"/>
      <c r="W49" s="966" t="s">
        <v>250</v>
      </c>
      <c r="X49" s="967"/>
      <c r="Y49" s="316" t="s">
        <v>251</v>
      </c>
      <c r="Z49" s="210"/>
      <c r="AA49" s="877" t="s">
        <v>250</v>
      </c>
      <c r="AB49" s="878"/>
      <c r="AC49" s="879"/>
      <c r="AD49" s="210"/>
      <c r="AE49" s="210"/>
      <c r="AF49" s="657"/>
      <c r="AG49" s="658"/>
      <c r="AH49" s="659"/>
      <c r="AI49" s="948" t="s">
        <v>390</v>
      </c>
      <c r="AJ49" s="949"/>
      <c r="AK49" s="949"/>
      <c r="AL49" s="949"/>
      <c r="AM49" s="949"/>
      <c r="AN49" s="950"/>
      <c r="AO49" s="104"/>
      <c r="AP49" s="83"/>
      <c r="AQ49" s="215"/>
      <c r="AR49" s="371"/>
    </row>
    <row r="50" spans="1:57" ht="16.25" customHeight="1" x14ac:dyDescent="0.2">
      <c r="A50" s="83"/>
      <c r="B50" s="103"/>
      <c r="C50" s="273" t="s">
        <v>391</v>
      </c>
      <c r="D50" s="273" t="s">
        <v>392</v>
      </c>
      <c r="E50" s="96" t="s">
        <v>393</v>
      </c>
      <c r="F50" s="96" t="s">
        <v>53</v>
      </c>
      <c r="G50" s="96">
        <v>2013</v>
      </c>
      <c r="H50" s="96" t="s">
        <v>48</v>
      </c>
      <c r="I50" s="96" t="str">
        <f>+I46</f>
        <v>Thermal Input</v>
      </c>
      <c r="J50" s="96" t="str">
        <f t="shared" ref="J50:K50" si="13">+J46</f>
        <v>MW</v>
      </c>
      <c r="K50" s="96">
        <f t="shared" si="13"/>
        <v>1</v>
      </c>
      <c r="L50" s="96">
        <v>0.75</v>
      </c>
      <c r="M50" s="274">
        <v>1</v>
      </c>
      <c r="N50" s="275">
        <v>719</v>
      </c>
      <c r="O50" s="275">
        <v>6.64</v>
      </c>
      <c r="P50" s="275">
        <v>1</v>
      </c>
      <c r="Q50" s="370">
        <f>+Q46</f>
        <v>791.38818139243176</v>
      </c>
      <c r="R50" s="193">
        <f t="shared" si="8"/>
        <v>7.1353220850957282</v>
      </c>
      <c r="S50" s="193" cm="1">
        <f t="array" aca="1" ref="S50" ca="1">IF(ISBLANK(Q50),"",IF(R50&gt;0,R50*INDIRECT(ADDRESS(MATCH(G50,'Cost Conversion'!$B$3:$B$48,0)+2,4,1,1,"Cost conversion"))*INDIRECT(ADDRESS(MATCH(H50,'Cost Conversion'!$F$3:$F$22,0)+2,8,1,1,"Cost conversion"))/IF(F50="$",'Cost Conversion'!$L$2,1),0))</f>
        <v>8.0048071364634996</v>
      </c>
      <c r="T50" s="746">
        <f t="shared" ca="1" si="9"/>
        <v>8.0048071364634996</v>
      </c>
      <c r="U50" s="83"/>
      <c r="V50" s="103"/>
      <c r="W50" s="968" t="s">
        <v>255</v>
      </c>
      <c r="X50" s="969"/>
      <c r="Y50" s="661">
        <v>40</v>
      </c>
      <c r="Z50" s="210"/>
      <c r="AA50" s="150" t="s">
        <v>394</v>
      </c>
      <c r="AB50" s="662">
        <v>162</v>
      </c>
      <c r="AC50" s="166" t="s">
        <v>395</v>
      </c>
      <c r="AD50" s="210"/>
      <c r="AE50" s="210"/>
      <c r="AF50" s="657"/>
      <c r="AG50" s="488"/>
      <c r="AH50" s="663"/>
      <c r="AI50" s="951"/>
      <c r="AJ50" s="952"/>
      <c r="AK50" s="952"/>
      <c r="AL50" s="952"/>
      <c r="AM50" s="952"/>
      <c r="AN50" s="953"/>
      <c r="AO50" s="104"/>
      <c r="AP50" s="83"/>
      <c r="AQ50" s="215"/>
      <c r="AR50" s="371"/>
    </row>
    <row r="51" spans="1:57" ht="16.25" customHeight="1" x14ac:dyDescent="0.2">
      <c r="A51" s="83"/>
      <c r="B51" s="103"/>
      <c r="C51" s="200"/>
      <c r="D51" s="274"/>
      <c r="E51" s="275"/>
      <c r="F51" s="275"/>
      <c r="G51" s="275"/>
      <c r="H51" s="275"/>
      <c r="I51" s="275"/>
      <c r="J51" s="275"/>
      <c r="K51" s="275"/>
      <c r="L51" s="98"/>
      <c r="M51" s="425" t="s">
        <v>272</v>
      </c>
      <c r="N51" s="418" t="s">
        <v>226</v>
      </c>
      <c r="O51" s="570" t="s">
        <v>50</v>
      </c>
      <c r="P51" s="943" t="s">
        <v>47</v>
      </c>
      <c r="Q51" s="944"/>
      <c r="R51" s="420" t="s">
        <v>273</v>
      </c>
      <c r="S51" s="426" t="s">
        <v>274</v>
      </c>
      <c r="T51" s="104"/>
      <c r="U51" s="83"/>
      <c r="V51" s="103"/>
      <c r="W51" s="892" t="s">
        <v>261</v>
      </c>
      <c r="X51" s="894"/>
      <c r="Y51" s="661">
        <v>0.7</v>
      </c>
      <c r="Z51" s="210"/>
      <c r="AA51" s="664" t="s">
        <v>396</v>
      </c>
      <c r="AB51" s="306">
        <f>8333.33/3600</f>
        <v>2.3148138888888887</v>
      </c>
      <c r="AC51" s="665" t="s">
        <v>78</v>
      </c>
      <c r="AD51" s="210"/>
      <c r="AE51" s="210"/>
      <c r="AF51" s="657"/>
      <c r="AG51" s="488"/>
      <c r="AH51" s="663"/>
      <c r="AI51" s="951"/>
      <c r="AJ51" s="952"/>
      <c r="AK51" s="952"/>
      <c r="AL51" s="952"/>
      <c r="AM51" s="952"/>
      <c r="AN51" s="953"/>
      <c r="AO51" s="104"/>
      <c r="AP51" s="83"/>
      <c r="AQ51" s="215"/>
      <c r="AR51" s="371"/>
    </row>
    <row r="52" spans="1:57" ht="16.25" customHeight="1" x14ac:dyDescent="0.2">
      <c r="A52" s="83"/>
      <c r="B52" s="103"/>
      <c r="C52" s="577"/>
      <c r="D52" s="365"/>
      <c r="E52" s="365"/>
      <c r="F52" s="365"/>
      <c r="G52" s="365"/>
      <c r="H52" s="365"/>
      <c r="I52" s="365"/>
      <c r="J52" s="365"/>
      <c r="K52" s="365"/>
      <c r="L52" s="573"/>
      <c r="M52" s="502" t="s">
        <v>276</v>
      </c>
      <c r="N52" s="409" t="s">
        <v>236</v>
      </c>
      <c r="O52" s="475">
        <v>2001</v>
      </c>
      <c r="P52" s="871" t="s">
        <v>237</v>
      </c>
      <c r="Q52" s="873"/>
      <c r="R52" s="427">
        <f>+IF(SUM(S13:S43)&gt;0,IF(G3="Equipment",SUM(S13:S43),"NaN"),"")</f>
        <v>76.595741506521989</v>
      </c>
      <c r="S52" s="428" cm="1">
        <f t="array" aca="1" ref="S52" ca="1">+IF(R52="","",R52*INDIRECT(ADDRESS(MATCH(O52,'Cost Conversion'!$B$3:$B$48,0)+2,4,1,1,"Cost conversion"))*INDIRECT(ADDRESS(MATCH(P52,'Cost Conversion'!$F$3:$F$22,0)+2,8,1,1,"Cost conversion"))/IF(N52="$",'Cost Conversion'!$L$2,1))</f>
        <v>123.63115378445669</v>
      </c>
      <c r="T52" s="104"/>
      <c r="U52" s="83"/>
      <c r="V52" s="103"/>
      <c r="W52" s="892" t="s">
        <v>265</v>
      </c>
      <c r="X52" s="894"/>
      <c r="Y52" s="661">
        <v>1500</v>
      </c>
      <c r="Z52" s="210"/>
      <c r="AA52" s="741" t="s">
        <v>397</v>
      </c>
      <c r="AB52" s="742">
        <v>0.8</v>
      </c>
      <c r="AC52" s="665"/>
      <c r="AD52" s="210"/>
      <c r="AE52" s="210"/>
      <c r="AF52" s="657"/>
      <c r="AG52" s="488"/>
      <c r="AH52" s="663"/>
      <c r="AI52" s="951"/>
      <c r="AJ52" s="952"/>
      <c r="AK52" s="952"/>
      <c r="AL52" s="952"/>
      <c r="AM52" s="952"/>
      <c r="AN52" s="953"/>
      <c r="AO52" s="104"/>
      <c r="AP52" s="83"/>
      <c r="AQ52" s="215"/>
      <c r="AR52" s="371"/>
    </row>
    <row r="53" spans="1:57" ht="16.25" customHeight="1" x14ac:dyDescent="0.2">
      <c r="A53" s="83"/>
      <c r="B53" s="103"/>
      <c r="C53" s="574"/>
      <c r="D53" s="575"/>
      <c r="E53" s="575"/>
      <c r="F53" s="575"/>
      <c r="G53" s="575"/>
      <c r="H53" s="575"/>
      <c r="I53" s="575"/>
      <c r="J53" s="575"/>
      <c r="K53" s="575"/>
      <c r="L53" s="576"/>
      <c r="M53" s="409" t="s">
        <v>278</v>
      </c>
      <c r="N53" s="127"/>
      <c r="O53" s="133"/>
      <c r="P53" s="871"/>
      <c r="Q53" s="873"/>
      <c r="R53" s="427" t="s">
        <v>187</v>
      </c>
      <c r="S53" s="428">
        <f ca="1">+IF(SUM(S46:S50)&gt;0,SUM(S46:S50),"")</f>
        <v>20.985755714864752</v>
      </c>
      <c r="T53" s="104"/>
      <c r="U53" s="83"/>
      <c r="V53" s="103"/>
      <c r="W53" s="945" t="s">
        <v>269</v>
      </c>
      <c r="X53" s="946"/>
      <c r="Y53" s="533">
        <v>5000</v>
      </c>
      <c r="Z53" s="210"/>
      <c r="AA53" s="210"/>
      <c r="AB53" s="210"/>
      <c r="AC53" s="210"/>
      <c r="AD53" s="210"/>
      <c r="AE53" s="210"/>
      <c r="AF53" s="657"/>
      <c r="AG53" s="490"/>
      <c r="AH53" s="666"/>
      <c r="AI53" s="954"/>
      <c r="AJ53" s="955"/>
      <c r="AK53" s="955"/>
      <c r="AL53" s="955"/>
      <c r="AM53" s="955"/>
      <c r="AN53" s="956"/>
      <c r="AO53" s="104"/>
      <c r="AP53" s="83"/>
      <c r="AQ53" s="215"/>
      <c r="AR53" s="371"/>
    </row>
    <row r="54" spans="1:57" ht="16.25" customHeight="1" x14ac:dyDescent="0.2">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15"/>
      <c r="AR54" s="371"/>
    </row>
    <row r="55" spans="1:57" ht="16.25" customHeight="1" x14ac:dyDescent="0.2">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15"/>
      <c r="AR55" s="371"/>
    </row>
    <row r="56" spans="1:57" ht="16.25" customHeight="1" x14ac:dyDescent="0.2">
      <c r="A56" s="83"/>
      <c r="B56" s="917" t="str">
        <f>+"BEC Distribution: "&amp;E6</f>
        <v>BEC Distribution: GSR Island</v>
      </c>
      <c r="C56" s="918"/>
      <c r="D56" s="918"/>
      <c r="E56" s="918"/>
      <c r="F56" s="918"/>
      <c r="G56" s="919"/>
      <c r="H56" s="917" t="str">
        <f>"Estimate Benchmark: "&amp;E6</f>
        <v>Estimate Benchmark: GSR Island</v>
      </c>
      <c r="I56" s="918"/>
      <c r="J56" s="918"/>
      <c r="K56" s="918"/>
      <c r="L56" s="918"/>
      <c r="M56" s="918"/>
      <c r="N56" s="919"/>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15"/>
      <c r="AR56" s="371"/>
    </row>
    <row r="57" spans="1:57" ht="16.25" customHeight="1" x14ac:dyDescent="0.2">
      <c r="A57" s="83"/>
      <c r="B57" s="100"/>
      <c r="C57" s="101"/>
      <c r="D57" s="101"/>
      <c r="E57" s="101"/>
      <c r="F57" s="101"/>
      <c r="G57" s="102"/>
      <c r="H57" s="100"/>
      <c r="I57" s="101"/>
      <c r="J57" s="101"/>
      <c r="K57" s="101"/>
      <c r="L57" s="101"/>
      <c r="M57" s="101"/>
      <c r="N57" s="102"/>
      <c r="O57" s="161"/>
      <c r="P57" s="376"/>
      <c r="Q57" s="376"/>
      <c r="R57" s="215"/>
      <c r="S57" s="372"/>
      <c r="T57" s="215"/>
      <c r="U57" s="215"/>
      <c r="V57" s="215"/>
      <c r="W57" s="215"/>
      <c r="X57" s="215"/>
      <c r="Y57" s="215"/>
      <c r="Z57" s="215"/>
      <c r="AA57" s="215"/>
      <c r="AB57" s="215"/>
      <c r="AC57" s="215"/>
      <c r="AD57" s="215"/>
      <c r="AE57" s="215"/>
      <c r="AF57" s="215"/>
      <c r="AG57" s="215"/>
      <c r="AH57" s="215"/>
      <c r="AI57" s="215"/>
      <c r="AJ57" s="215"/>
      <c r="AK57" s="215"/>
      <c r="AL57" s="215"/>
      <c r="AM57" s="215"/>
      <c r="AN57" s="215"/>
      <c r="AO57" s="215"/>
      <c r="AP57" s="215"/>
      <c r="AQ57" s="215"/>
      <c r="AR57" s="371"/>
      <c r="AS57" s="372"/>
      <c r="AT57" s="372"/>
      <c r="AU57" s="372"/>
      <c r="AV57" s="372"/>
      <c r="AW57" s="372"/>
      <c r="AX57" s="372"/>
      <c r="AY57" s="372"/>
      <c r="AZ57" s="372"/>
      <c r="BA57" s="372"/>
      <c r="BB57" s="372"/>
      <c r="BC57" s="372"/>
      <c r="BD57" s="372"/>
      <c r="BE57" s="372"/>
    </row>
    <row r="58" spans="1:57" ht="16.25" customHeight="1" x14ac:dyDescent="0.2">
      <c r="A58" s="83"/>
      <c r="B58" s="103"/>
      <c r="C58" s="83"/>
      <c r="D58" s="83"/>
      <c r="E58" s="83"/>
      <c r="F58" s="83"/>
      <c r="G58" s="104"/>
      <c r="H58" s="103"/>
      <c r="I58" s="83"/>
      <c r="J58" s="83"/>
      <c r="K58" s="83"/>
      <c r="L58" s="83"/>
      <c r="M58" s="83"/>
      <c r="N58" s="104"/>
      <c r="O58" s="164"/>
      <c r="P58" s="376"/>
      <c r="Q58" s="376"/>
      <c r="R58" s="215"/>
      <c r="S58" s="372"/>
      <c r="T58" s="215"/>
      <c r="U58" s="215"/>
      <c r="V58" s="215"/>
      <c r="W58" s="215"/>
      <c r="X58" s="215"/>
      <c r="Y58" s="215"/>
      <c r="Z58" s="215"/>
      <c r="AA58" s="215"/>
      <c r="AB58" s="215"/>
      <c r="AC58" s="215"/>
      <c r="AD58" s="215"/>
      <c r="AE58" s="215"/>
      <c r="AF58" s="215"/>
      <c r="AG58" s="215"/>
      <c r="AH58" s="215"/>
      <c r="AI58" s="215"/>
      <c r="AJ58" s="215"/>
      <c r="AK58" s="215"/>
      <c r="AL58" s="215"/>
      <c r="AM58" s="215"/>
      <c r="AN58" s="215"/>
      <c r="AO58" s="215"/>
      <c r="AP58" s="215"/>
      <c r="AQ58" s="215"/>
      <c r="AR58" s="371"/>
      <c r="AS58" s="372"/>
      <c r="AT58" s="372"/>
      <c r="AU58" s="372"/>
      <c r="AV58" s="372"/>
      <c r="AW58" s="372"/>
      <c r="AX58" s="372"/>
      <c r="AY58" s="372"/>
      <c r="AZ58" s="372"/>
      <c r="BA58" s="372"/>
      <c r="BB58" s="372"/>
      <c r="BC58" s="372"/>
      <c r="BD58" s="372"/>
      <c r="BE58" s="372"/>
    </row>
    <row r="59" spans="1:57" ht="16.25" customHeight="1" x14ac:dyDescent="0.2">
      <c r="A59" s="83"/>
      <c r="B59" s="103"/>
      <c r="C59" s="83"/>
      <c r="D59" s="83"/>
      <c r="E59" s="83"/>
      <c r="F59" s="83"/>
      <c r="G59" s="104"/>
      <c r="H59" s="103"/>
      <c r="I59" s="83"/>
      <c r="J59" s="83"/>
      <c r="K59" s="83"/>
      <c r="L59" s="83"/>
      <c r="M59" s="83"/>
      <c r="N59" s="104"/>
      <c r="O59" s="160"/>
      <c r="P59" s="215"/>
      <c r="Q59" s="215"/>
      <c r="R59" s="215"/>
      <c r="S59" s="215"/>
      <c r="T59" s="215"/>
      <c r="U59" s="215"/>
      <c r="V59" s="215"/>
      <c r="W59" s="215"/>
      <c r="X59" s="215"/>
      <c r="Y59" s="215"/>
      <c r="Z59" s="215"/>
      <c r="AA59" s="215"/>
      <c r="AB59" s="215"/>
      <c r="AC59" s="215"/>
      <c r="AD59" s="215"/>
      <c r="AE59" s="215"/>
      <c r="AF59" s="215"/>
      <c r="AG59" s="215"/>
      <c r="AH59" s="215"/>
      <c r="AI59" s="215"/>
      <c r="AJ59" s="215"/>
      <c r="AK59" s="215"/>
      <c r="AL59" s="215"/>
      <c r="AM59" s="215"/>
      <c r="AN59" s="215"/>
      <c r="AO59" s="215"/>
      <c r="AP59" s="215"/>
      <c r="AQ59" s="215"/>
      <c r="AR59" s="371"/>
      <c r="AS59" s="372"/>
      <c r="AT59" s="372"/>
      <c r="AU59" s="372"/>
      <c r="AV59" s="372"/>
      <c r="AW59" s="372"/>
      <c r="AX59" s="372"/>
      <c r="AY59" s="372"/>
      <c r="AZ59" s="372"/>
      <c r="BA59" s="372"/>
      <c r="BB59" s="372"/>
      <c r="BC59" s="372"/>
      <c r="BD59" s="372"/>
      <c r="BE59" s="372"/>
    </row>
    <row r="60" spans="1:57" ht="16.25" customHeight="1" x14ac:dyDescent="0.2">
      <c r="A60" s="83"/>
      <c r="B60" s="103"/>
      <c r="C60" s="83"/>
      <c r="D60" s="83"/>
      <c r="E60" s="83"/>
      <c r="F60" s="83"/>
      <c r="G60" s="104"/>
      <c r="H60" s="103"/>
      <c r="I60" s="83"/>
      <c r="J60" s="83"/>
      <c r="K60" s="83"/>
      <c r="L60" s="83"/>
      <c r="M60" s="83"/>
      <c r="N60" s="104"/>
      <c r="O60" s="83"/>
      <c r="P60" s="215"/>
      <c r="Q60" s="215"/>
      <c r="R60" s="215"/>
      <c r="S60" s="215"/>
      <c r="T60" s="215"/>
      <c r="U60" s="215"/>
      <c r="V60" s="372"/>
      <c r="W60" s="215"/>
      <c r="X60" s="215"/>
      <c r="Y60" s="215"/>
      <c r="Z60" s="215"/>
      <c r="AA60" s="215"/>
      <c r="AB60" s="215"/>
      <c r="AC60" s="215"/>
      <c r="AD60" s="215"/>
      <c r="AE60" s="215"/>
      <c r="AF60" s="215"/>
      <c r="AG60" s="215"/>
      <c r="AH60" s="215"/>
      <c r="AI60" s="215"/>
      <c r="AJ60" s="215"/>
      <c r="AK60" s="215"/>
      <c r="AL60" s="215"/>
      <c r="AM60" s="215"/>
      <c r="AN60" s="215"/>
      <c r="AO60" s="215"/>
      <c r="AP60" s="215"/>
      <c r="AQ60" s="215"/>
      <c r="AR60" s="371"/>
      <c r="AS60" s="372"/>
      <c r="AT60" s="372"/>
      <c r="AU60" s="372"/>
      <c r="AV60" s="372"/>
      <c r="AW60" s="372"/>
      <c r="AX60" s="372"/>
      <c r="AY60" s="372"/>
      <c r="AZ60" s="372"/>
      <c r="BA60" s="372"/>
      <c r="BB60" s="372"/>
      <c r="BC60" s="372"/>
      <c r="BD60" s="372"/>
      <c r="BE60" s="372"/>
    </row>
    <row r="61" spans="1:57" ht="16.25" customHeight="1" x14ac:dyDescent="0.2">
      <c r="A61" s="83"/>
      <c r="B61" s="103"/>
      <c r="C61" s="83"/>
      <c r="D61" s="83"/>
      <c r="E61" s="83"/>
      <c r="F61" s="83"/>
      <c r="G61" s="104"/>
      <c r="H61" s="103"/>
      <c r="I61" s="83"/>
      <c r="J61" s="83"/>
      <c r="K61" s="83"/>
      <c r="L61" s="83"/>
      <c r="M61" s="83"/>
      <c r="N61" s="104"/>
      <c r="O61" s="83"/>
      <c r="P61" s="215"/>
      <c r="Q61" s="215"/>
      <c r="R61" s="215"/>
      <c r="S61" s="215"/>
      <c r="T61" s="215"/>
      <c r="U61" s="215"/>
      <c r="V61" s="215"/>
      <c r="W61" s="215"/>
      <c r="X61" s="215"/>
      <c r="Y61" s="215"/>
      <c r="Z61" s="215"/>
      <c r="AA61" s="215"/>
      <c r="AB61" s="215"/>
      <c r="AC61" s="215"/>
      <c r="AD61" s="215"/>
      <c r="AE61" s="215"/>
      <c r="AF61" s="215"/>
      <c r="AG61" s="215"/>
      <c r="AH61" s="215"/>
      <c r="AI61" s="215"/>
      <c r="AJ61" s="215"/>
      <c r="AK61" s="215"/>
      <c r="AL61" s="215"/>
      <c r="AM61" s="215"/>
      <c r="AN61" s="215"/>
      <c r="AO61" s="215"/>
      <c r="AP61" s="215"/>
      <c r="AQ61" s="215"/>
      <c r="AR61" s="371"/>
      <c r="AS61" s="372"/>
      <c r="AT61" s="372"/>
      <c r="AU61" s="372"/>
      <c r="AV61" s="372"/>
      <c r="AW61" s="372"/>
      <c r="AX61" s="372"/>
      <c r="AY61" s="372"/>
      <c r="AZ61" s="372"/>
      <c r="BA61" s="372"/>
      <c r="BB61" s="372"/>
      <c r="BC61" s="372"/>
      <c r="BD61" s="372"/>
      <c r="BE61" s="372"/>
    </row>
    <row r="62" spans="1:57" ht="16.25" customHeight="1" x14ac:dyDescent="0.2">
      <c r="A62" s="83"/>
      <c r="B62" s="103"/>
      <c r="C62" s="83"/>
      <c r="D62" s="83"/>
      <c r="E62" s="83"/>
      <c r="F62" s="83"/>
      <c r="G62" s="104"/>
      <c r="H62" s="103"/>
      <c r="I62" s="83"/>
      <c r="J62" s="83"/>
      <c r="K62" s="83"/>
      <c r="L62" s="83"/>
      <c r="M62" s="83"/>
      <c r="N62" s="104"/>
      <c r="O62" s="83"/>
      <c r="P62" s="215"/>
      <c r="Q62" s="215"/>
      <c r="R62" s="215"/>
      <c r="S62" s="215"/>
      <c r="T62" s="376"/>
      <c r="U62" s="215"/>
      <c r="V62" s="215"/>
      <c r="W62" s="215"/>
      <c r="X62" s="215"/>
      <c r="Y62" s="215"/>
      <c r="Z62" s="215"/>
      <c r="AA62" s="215"/>
      <c r="AB62" s="215"/>
      <c r="AC62" s="215"/>
      <c r="AD62" s="215"/>
      <c r="AE62" s="215"/>
      <c r="AF62" s="215"/>
      <c r="AG62" s="215"/>
      <c r="AH62" s="215"/>
      <c r="AI62" s="215"/>
      <c r="AJ62" s="215"/>
      <c r="AK62" s="215"/>
      <c r="AL62" s="215"/>
      <c r="AM62" s="215"/>
      <c r="AN62" s="215"/>
      <c r="AO62" s="215"/>
      <c r="AP62" s="215"/>
      <c r="AQ62" s="215"/>
      <c r="AR62" s="371"/>
      <c r="AS62" s="372"/>
      <c r="AT62" s="372"/>
      <c r="AU62" s="372"/>
      <c r="AV62" s="372"/>
      <c r="AW62" s="372"/>
      <c r="AX62" s="372"/>
      <c r="AY62" s="372"/>
      <c r="AZ62" s="372"/>
      <c r="BA62" s="372"/>
      <c r="BB62" s="372"/>
      <c r="BC62" s="372"/>
      <c r="BD62" s="372"/>
      <c r="BE62" s="372"/>
    </row>
    <row r="63" spans="1:57" ht="16.25" customHeight="1" x14ac:dyDescent="0.2">
      <c r="A63" s="83"/>
      <c r="B63" s="103"/>
      <c r="C63" s="83"/>
      <c r="D63" s="83"/>
      <c r="E63" s="83"/>
      <c r="F63" s="83"/>
      <c r="G63" s="104"/>
      <c r="H63" s="103"/>
      <c r="I63" s="83"/>
      <c r="J63" s="83"/>
      <c r="K63" s="83"/>
      <c r="L63" s="83"/>
      <c r="M63" s="83"/>
      <c r="N63" s="104"/>
      <c r="O63" s="83"/>
      <c r="P63" s="215"/>
      <c r="Q63" s="215"/>
      <c r="R63" s="215"/>
      <c r="S63" s="215"/>
      <c r="T63" s="376"/>
      <c r="U63" s="215"/>
      <c r="V63" s="215"/>
      <c r="W63" s="215"/>
      <c r="X63" s="215"/>
      <c r="Y63" s="215"/>
      <c r="Z63" s="215"/>
      <c r="AA63" s="215"/>
      <c r="AB63" s="215"/>
      <c r="AC63" s="215"/>
      <c r="AD63" s="215"/>
      <c r="AE63" s="215"/>
      <c r="AF63" s="215"/>
      <c r="AG63" s="215"/>
      <c r="AH63" s="215"/>
      <c r="AI63" s="215"/>
      <c r="AJ63" s="215"/>
      <c r="AK63" s="215"/>
      <c r="AL63" s="215"/>
      <c r="AM63" s="215"/>
      <c r="AN63" s="215"/>
      <c r="AO63" s="215"/>
      <c r="AP63" s="215"/>
      <c r="AQ63" s="215"/>
      <c r="AR63" s="371"/>
      <c r="AS63" s="372"/>
      <c r="AT63" s="372"/>
      <c r="AU63" s="372"/>
      <c r="AV63" s="372"/>
      <c r="AW63" s="372"/>
      <c r="AX63" s="372"/>
      <c r="AY63" s="372"/>
      <c r="AZ63" s="372"/>
      <c r="BA63" s="372"/>
      <c r="BB63" s="372"/>
      <c r="BC63" s="372"/>
      <c r="BD63" s="372"/>
      <c r="BE63" s="372"/>
    </row>
    <row r="64" spans="1:57" ht="16.25" customHeight="1" x14ac:dyDescent="0.2">
      <c r="A64" s="83"/>
      <c r="B64" s="103"/>
      <c r="C64" s="83"/>
      <c r="D64" s="83"/>
      <c r="E64" s="83"/>
      <c r="F64" s="83"/>
      <c r="G64" s="104"/>
      <c r="H64" s="103"/>
      <c r="I64" s="83"/>
      <c r="J64" s="83"/>
      <c r="K64" s="83"/>
      <c r="L64" s="83"/>
      <c r="M64" s="83"/>
      <c r="N64" s="104"/>
      <c r="O64" s="83"/>
      <c r="P64" s="215"/>
      <c r="Q64" s="215"/>
      <c r="R64" s="215"/>
      <c r="S64" s="215"/>
      <c r="T64" s="215"/>
      <c r="U64" s="215"/>
      <c r="V64" s="215"/>
      <c r="W64" s="215"/>
      <c r="X64" s="215"/>
      <c r="Y64" s="215"/>
      <c r="Z64" s="215"/>
      <c r="AA64" s="215"/>
      <c r="AB64" s="215"/>
      <c r="AC64" s="215"/>
      <c r="AD64" s="215"/>
      <c r="AE64" s="215"/>
      <c r="AF64" s="215"/>
      <c r="AG64" s="215"/>
      <c r="AH64" s="215"/>
      <c r="AI64" s="215"/>
      <c r="AJ64" s="215"/>
      <c r="AK64" s="215"/>
      <c r="AL64" s="215"/>
      <c r="AM64" s="215"/>
      <c r="AN64" s="215"/>
      <c r="AO64" s="215"/>
      <c r="AP64" s="215"/>
      <c r="AQ64" s="215"/>
      <c r="AR64" s="371"/>
      <c r="AS64" s="372"/>
      <c r="AT64" s="372"/>
      <c r="AU64" s="372"/>
      <c r="AV64" s="372"/>
      <c r="AW64" s="372"/>
      <c r="AX64" s="372"/>
      <c r="AY64" s="372"/>
      <c r="AZ64" s="372"/>
      <c r="BA64" s="372"/>
      <c r="BB64" s="372"/>
      <c r="BC64" s="372"/>
      <c r="BD64" s="372"/>
      <c r="BE64" s="372"/>
    </row>
    <row r="65" spans="1:57" ht="16.25" customHeight="1" x14ac:dyDescent="0.2">
      <c r="A65" s="83"/>
      <c r="B65" s="103"/>
      <c r="C65" s="83"/>
      <c r="D65" s="83"/>
      <c r="E65" s="83"/>
      <c r="F65" s="83"/>
      <c r="G65" s="104"/>
      <c r="H65" s="103"/>
      <c r="I65" s="83"/>
      <c r="J65" s="83"/>
      <c r="K65" s="83"/>
      <c r="L65" s="83"/>
      <c r="M65" s="83"/>
      <c r="N65" s="104"/>
      <c r="O65" s="83"/>
      <c r="P65" s="215"/>
      <c r="Q65" s="215"/>
      <c r="R65" s="215"/>
      <c r="S65" s="215"/>
      <c r="T65" s="215"/>
      <c r="U65" s="215"/>
      <c r="V65" s="215"/>
      <c r="W65" s="215"/>
      <c r="X65" s="215"/>
      <c r="Y65" s="215"/>
      <c r="Z65" s="215"/>
      <c r="AA65" s="215"/>
      <c r="AB65" s="215"/>
      <c r="AC65" s="215"/>
      <c r="AD65" s="215"/>
      <c r="AE65" s="215"/>
      <c r="AF65" s="215"/>
      <c r="AG65" s="215"/>
      <c r="AH65" s="215"/>
      <c r="AI65" s="215"/>
      <c r="AJ65" s="215"/>
      <c r="AK65" s="215"/>
      <c r="AL65" s="215"/>
      <c r="AM65" s="215"/>
      <c r="AN65" s="215"/>
      <c r="AO65" s="215"/>
      <c r="AP65" s="215"/>
      <c r="AQ65" s="215"/>
      <c r="AR65" s="371"/>
      <c r="AS65" s="372"/>
      <c r="AT65" s="372"/>
      <c r="AU65" s="372"/>
      <c r="AV65" s="372"/>
      <c r="AW65" s="372"/>
      <c r="AX65" s="372"/>
      <c r="AY65" s="372"/>
      <c r="AZ65" s="372"/>
      <c r="BA65" s="372"/>
      <c r="BB65" s="372"/>
      <c r="BC65" s="372"/>
      <c r="BD65" s="372"/>
      <c r="BE65" s="372"/>
    </row>
    <row r="66" spans="1:57" ht="16.25" customHeight="1" x14ac:dyDescent="0.2">
      <c r="A66" s="83"/>
      <c r="B66" s="103"/>
      <c r="C66" s="83"/>
      <c r="D66" s="83"/>
      <c r="E66" s="83"/>
      <c r="F66" s="83"/>
      <c r="G66" s="104"/>
      <c r="H66" s="103"/>
      <c r="I66" s="83"/>
      <c r="J66" s="83"/>
      <c r="K66" s="83"/>
      <c r="L66" s="83"/>
      <c r="M66" s="83"/>
      <c r="N66" s="104"/>
      <c r="O66" s="83"/>
      <c r="P66" s="215"/>
      <c r="Q66" s="215"/>
      <c r="R66" s="215"/>
      <c r="S66" s="215"/>
      <c r="T66" s="215"/>
      <c r="U66" s="215"/>
      <c r="V66" s="215"/>
      <c r="W66" s="215"/>
      <c r="X66" s="215"/>
      <c r="Y66" s="215"/>
      <c r="Z66" s="215"/>
      <c r="AA66" s="215"/>
      <c r="AB66" s="215"/>
      <c r="AC66" s="215"/>
      <c r="AD66" s="215"/>
      <c r="AE66" s="215"/>
      <c r="AF66" s="215"/>
      <c r="AG66" s="215"/>
      <c r="AH66" s="215"/>
      <c r="AI66" s="215"/>
      <c r="AJ66" s="215"/>
      <c r="AK66" s="215"/>
      <c r="AL66" s="215"/>
      <c r="AM66" s="215"/>
      <c r="AN66" s="215"/>
      <c r="AO66" s="215"/>
      <c r="AP66" s="215"/>
      <c r="AQ66" s="215"/>
      <c r="AR66" s="371"/>
      <c r="AS66" s="372"/>
      <c r="AT66" s="372"/>
      <c r="AU66" s="372"/>
      <c r="AV66" s="372"/>
      <c r="AW66" s="372"/>
      <c r="AX66" s="372"/>
      <c r="AY66" s="372"/>
      <c r="AZ66" s="372"/>
      <c r="BA66" s="372"/>
      <c r="BB66" s="372"/>
      <c r="BC66" s="372"/>
      <c r="BD66" s="372"/>
      <c r="BE66" s="372"/>
    </row>
    <row r="67" spans="1:57" ht="16.25" customHeight="1" x14ac:dyDescent="0.2">
      <c r="A67" s="83"/>
      <c r="B67" s="103"/>
      <c r="C67" s="83"/>
      <c r="D67" s="83"/>
      <c r="E67" s="83"/>
      <c r="F67" s="83"/>
      <c r="G67" s="104"/>
      <c r="H67" s="103"/>
      <c r="I67" s="83"/>
      <c r="J67" s="83"/>
      <c r="K67" s="83"/>
      <c r="L67" s="83"/>
      <c r="M67" s="83"/>
      <c r="N67" s="104"/>
      <c r="O67" s="83"/>
      <c r="P67" s="215"/>
      <c r="Q67" s="215"/>
      <c r="R67" s="215"/>
      <c r="S67" s="215"/>
      <c r="T67" s="215"/>
      <c r="U67" s="215"/>
      <c r="V67" s="215"/>
      <c r="W67" s="215"/>
      <c r="X67" s="215"/>
      <c r="Y67" s="215"/>
      <c r="Z67" s="215"/>
      <c r="AA67" s="215"/>
      <c r="AB67" s="215"/>
      <c r="AC67" s="215"/>
      <c r="AD67" s="215"/>
      <c r="AE67" s="215"/>
      <c r="AF67" s="215"/>
      <c r="AG67" s="215"/>
      <c r="AH67" s="215"/>
      <c r="AI67" s="215"/>
      <c r="AJ67" s="215"/>
      <c r="AK67" s="215"/>
      <c r="AL67" s="215"/>
      <c r="AM67" s="215"/>
      <c r="AN67" s="215"/>
      <c r="AO67" s="215"/>
      <c r="AP67" s="215"/>
      <c r="AQ67" s="215"/>
      <c r="AR67" s="371"/>
      <c r="AS67" s="372"/>
      <c r="AT67" s="372"/>
      <c r="AU67" s="372"/>
      <c r="AV67" s="372"/>
      <c r="AW67" s="372"/>
      <c r="AX67" s="372"/>
      <c r="AY67" s="372"/>
      <c r="AZ67" s="372"/>
      <c r="BA67" s="372"/>
      <c r="BB67" s="372"/>
      <c r="BC67" s="372"/>
      <c r="BD67" s="372"/>
      <c r="BE67" s="372"/>
    </row>
    <row r="68" spans="1:57" ht="16.25" customHeight="1" x14ac:dyDescent="0.2">
      <c r="A68" s="83"/>
      <c r="B68" s="103"/>
      <c r="C68" s="83"/>
      <c r="D68" s="83"/>
      <c r="E68" s="83"/>
      <c r="F68" s="83"/>
      <c r="G68" s="104"/>
      <c r="H68" s="103"/>
      <c r="I68" s="83"/>
      <c r="J68" s="83"/>
      <c r="K68" s="83"/>
      <c r="L68" s="83"/>
      <c r="M68" s="83"/>
      <c r="N68" s="104"/>
      <c r="O68" s="161"/>
      <c r="P68" s="376"/>
      <c r="Q68" s="376"/>
      <c r="R68" s="376"/>
      <c r="S68" s="376"/>
      <c r="T68" s="376"/>
      <c r="U68" s="377"/>
      <c r="V68" s="371"/>
      <c r="W68" s="371"/>
      <c r="X68" s="371"/>
      <c r="Y68" s="215"/>
      <c r="Z68" s="215"/>
      <c r="AA68" s="215"/>
      <c r="AB68" s="215"/>
      <c r="AC68" s="215"/>
      <c r="AD68" s="215"/>
      <c r="AE68" s="215"/>
      <c r="AF68" s="215"/>
      <c r="AG68" s="215"/>
      <c r="AH68" s="215"/>
      <c r="AI68" s="215"/>
      <c r="AJ68" s="215"/>
      <c r="AK68" s="215"/>
      <c r="AL68" s="215"/>
      <c r="AM68" s="215"/>
      <c r="AN68" s="215"/>
      <c r="AO68" s="215"/>
      <c r="AP68" s="215"/>
      <c r="AQ68" s="215"/>
      <c r="AR68" s="371"/>
      <c r="AS68" s="372"/>
      <c r="AT68" s="372"/>
      <c r="AU68" s="372"/>
      <c r="AV68" s="372"/>
      <c r="AW68" s="372"/>
      <c r="AX68" s="372"/>
      <c r="AY68" s="372"/>
      <c r="AZ68" s="372"/>
      <c r="BA68" s="372"/>
      <c r="BB68" s="372"/>
      <c r="BC68" s="372"/>
      <c r="BD68" s="372"/>
      <c r="BE68" s="372"/>
    </row>
    <row r="69" spans="1:57" ht="16.25" customHeight="1" x14ac:dyDescent="0.2">
      <c r="A69" s="83"/>
      <c r="B69" s="103"/>
      <c r="C69" s="83"/>
      <c r="D69" s="83"/>
      <c r="E69" s="83"/>
      <c r="F69" s="83"/>
      <c r="G69" s="104"/>
      <c r="H69" s="103"/>
      <c r="I69" s="83"/>
      <c r="J69" s="83"/>
      <c r="K69" s="83"/>
      <c r="L69" s="83"/>
      <c r="M69" s="83"/>
      <c r="N69" s="104"/>
      <c r="O69" s="161"/>
      <c r="P69" s="376"/>
      <c r="Q69" s="376"/>
      <c r="R69" s="376"/>
      <c r="S69" s="376"/>
      <c r="T69" s="376"/>
      <c r="U69" s="376"/>
      <c r="V69" s="376"/>
      <c r="W69" s="376"/>
      <c r="X69" s="376"/>
      <c r="Y69" s="215"/>
      <c r="Z69" s="215"/>
      <c r="AA69" s="215"/>
      <c r="AB69" s="215"/>
      <c r="AC69" s="215"/>
      <c r="AD69" s="215"/>
      <c r="AE69" s="215"/>
      <c r="AF69" s="215"/>
      <c r="AG69" s="215"/>
      <c r="AH69" s="215"/>
      <c r="AI69" s="215"/>
      <c r="AJ69" s="215"/>
      <c r="AK69" s="215"/>
      <c r="AL69" s="215"/>
      <c r="AM69" s="215"/>
      <c r="AN69" s="215"/>
      <c r="AO69" s="215"/>
      <c r="AP69" s="215"/>
      <c r="AQ69" s="215"/>
      <c r="AR69" s="371"/>
      <c r="AS69" s="372"/>
      <c r="AT69" s="372"/>
      <c r="AU69" s="372"/>
      <c r="AV69" s="372"/>
      <c r="AW69" s="372"/>
      <c r="AX69" s="372"/>
      <c r="AY69" s="372"/>
      <c r="AZ69" s="372"/>
      <c r="BA69" s="372"/>
      <c r="BB69" s="372"/>
      <c r="BC69" s="372"/>
      <c r="BD69" s="372"/>
      <c r="BE69" s="372"/>
    </row>
    <row r="70" spans="1:57" ht="16.25" customHeight="1" x14ac:dyDescent="0.2">
      <c r="A70" s="83"/>
      <c r="B70" s="103"/>
      <c r="C70" s="83"/>
      <c r="D70" s="83"/>
      <c r="E70" s="83"/>
      <c r="F70" s="83"/>
      <c r="G70" s="104"/>
      <c r="H70" s="103"/>
      <c r="I70" s="83"/>
      <c r="J70" s="83"/>
      <c r="K70" s="83"/>
      <c r="L70" s="83"/>
      <c r="M70" s="83"/>
      <c r="N70" s="104"/>
      <c r="O70" s="161"/>
      <c r="P70" s="374"/>
      <c r="Q70" s="376"/>
      <c r="R70" s="377"/>
      <c r="S70" s="377"/>
      <c r="T70" s="377"/>
      <c r="U70" s="377"/>
      <c r="V70" s="377"/>
      <c r="W70" s="376"/>
      <c r="X70" s="376"/>
      <c r="Y70" s="215"/>
      <c r="Z70" s="215"/>
      <c r="AA70" s="215"/>
      <c r="AB70" s="215"/>
      <c r="AC70" s="215"/>
      <c r="AD70" s="215"/>
      <c r="AE70" s="215"/>
      <c r="AF70" s="215"/>
      <c r="AG70" s="215"/>
      <c r="AH70" s="215"/>
      <c r="AI70" s="215"/>
      <c r="AJ70" s="215"/>
      <c r="AK70" s="215"/>
      <c r="AL70" s="215"/>
      <c r="AM70" s="215"/>
      <c r="AN70" s="215"/>
      <c r="AO70" s="215"/>
      <c r="AP70" s="215"/>
      <c r="AQ70" s="215"/>
      <c r="AR70" s="371"/>
      <c r="AS70" s="372"/>
      <c r="AT70" s="372"/>
      <c r="AU70" s="372"/>
      <c r="AV70" s="372"/>
      <c r="AW70" s="372"/>
      <c r="AX70" s="372"/>
      <c r="AY70" s="372"/>
      <c r="AZ70" s="372"/>
      <c r="BA70" s="372"/>
      <c r="BB70" s="372"/>
      <c r="BC70" s="372"/>
      <c r="BD70" s="372"/>
      <c r="BE70" s="372"/>
    </row>
    <row r="71" spans="1:57" ht="16.25" customHeight="1" x14ac:dyDescent="0.2">
      <c r="A71" s="83"/>
      <c r="B71" s="103"/>
      <c r="C71" s="83"/>
      <c r="D71" s="83"/>
      <c r="E71" s="83"/>
      <c r="F71" s="83"/>
      <c r="G71" s="104"/>
      <c r="H71" s="103"/>
      <c r="I71" s="83"/>
      <c r="J71" s="83"/>
      <c r="K71" s="83"/>
      <c r="L71" s="83"/>
      <c r="M71" s="83"/>
      <c r="N71" s="104"/>
      <c r="O71" s="83"/>
      <c r="P71" s="215"/>
      <c r="Q71" s="215"/>
      <c r="R71" s="215"/>
      <c r="S71" s="215"/>
      <c r="T71" s="215"/>
      <c r="U71" s="215"/>
      <c r="V71" s="215"/>
      <c r="W71" s="215"/>
      <c r="X71" s="215"/>
      <c r="Y71" s="215"/>
      <c r="Z71" s="215"/>
      <c r="AA71" s="215"/>
      <c r="AB71" s="215"/>
      <c r="AC71" s="215"/>
      <c r="AD71" s="215"/>
      <c r="AE71" s="215"/>
      <c r="AF71" s="215"/>
      <c r="AG71" s="215"/>
      <c r="AH71" s="215"/>
      <c r="AI71" s="215"/>
      <c r="AJ71" s="215"/>
      <c r="AK71" s="215"/>
      <c r="AL71" s="215"/>
      <c r="AM71" s="215"/>
      <c r="AN71" s="215"/>
      <c r="AO71" s="215"/>
      <c r="AP71" s="215"/>
      <c r="AQ71" s="215"/>
      <c r="AR71" s="371"/>
      <c r="AS71" s="372"/>
      <c r="AT71" s="372"/>
      <c r="AU71" s="372"/>
      <c r="AV71" s="372"/>
      <c r="AW71" s="372"/>
      <c r="AX71" s="372"/>
      <c r="AY71" s="372"/>
      <c r="AZ71" s="372"/>
      <c r="BA71" s="372"/>
      <c r="BB71" s="372"/>
      <c r="BC71" s="372"/>
      <c r="BD71" s="372"/>
      <c r="BE71" s="372"/>
    </row>
    <row r="72" spans="1:57" ht="16.25" customHeight="1" x14ac:dyDescent="0.2">
      <c r="A72" s="83"/>
      <c r="B72" s="103"/>
      <c r="C72" s="83"/>
      <c r="D72" s="83"/>
      <c r="E72" s="83"/>
      <c r="F72" s="83"/>
      <c r="G72" s="104"/>
      <c r="H72" s="103"/>
      <c r="I72" s="83"/>
      <c r="J72" s="83"/>
      <c r="K72" s="83"/>
      <c r="L72" s="83"/>
      <c r="M72" s="83"/>
      <c r="N72" s="104"/>
      <c r="O72" s="162"/>
      <c r="P72" s="371"/>
      <c r="Q72" s="371"/>
      <c r="R72" s="371"/>
      <c r="S72" s="371"/>
      <c r="T72" s="215"/>
      <c r="U72" s="215"/>
      <c r="V72" s="215"/>
      <c r="W72" s="215"/>
      <c r="X72" s="215"/>
      <c r="Y72" s="215"/>
      <c r="Z72" s="215"/>
      <c r="AA72" s="215"/>
      <c r="AB72" s="215"/>
      <c r="AC72" s="215"/>
      <c r="AD72" s="215"/>
      <c r="AE72" s="215"/>
      <c r="AF72" s="215"/>
      <c r="AG72" s="215"/>
      <c r="AH72" s="215"/>
      <c r="AI72" s="215"/>
      <c r="AJ72" s="215"/>
      <c r="AK72" s="215"/>
      <c r="AL72" s="215"/>
      <c r="AM72" s="215"/>
      <c r="AN72" s="215"/>
      <c r="AO72" s="215"/>
      <c r="AP72" s="215"/>
      <c r="AQ72" s="215"/>
      <c r="AR72" s="371"/>
      <c r="AS72" s="372"/>
      <c r="AT72" s="372"/>
      <c r="AU72" s="372"/>
      <c r="AV72" s="372"/>
      <c r="AW72" s="372"/>
      <c r="AX72" s="372"/>
      <c r="AY72" s="372"/>
      <c r="AZ72" s="372"/>
      <c r="BA72" s="372"/>
      <c r="BB72" s="372"/>
      <c r="BC72" s="372"/>
      <c r="BD72" s="372"/>
      <c r="BE72" s="372"/>
    </row>
    <row r="73" spans="1:57" ht="16.25" customHeight="1" x14ac:dyDescent="0.2">
      <c r="A73" s="83"/>
      <c r="B73" s="103"/>
      <c r="C73" s="83"/>
      <c r="D73" s="83"/>
      <c r="E73" s="83"/>
      <c r="F73" s="83"/>
      <c r="G73" s="104"/>
      <c r="H73" s="103"/>
      <c r="I73" s="83"/>
      <c r="J73" s="83"/>
      <c r="K73" s="83"/>
      <c r="L73" s="83"/>
      <c r="M73" s="83"/>
      <c r="N73" s="104"/>
      <c r="O73" s="162"/>
      <c r="P73" s="371"/>
      <c r="Q73" s="371"/>
      <c r="R73" s="371"/>
      <c r="S73" s="371"/>
      <c r="T73" s="215"/>
      <c r="U73" s="215"/>
      <c r="V73" s="215"/>
      <c r="W73" s="215"/>
      <c r="X73" s="215"/>
      <c r="Y73" s="215"/>
      <c r="Z73" s="215"/>
      <c r="AA73" s="215"/>
      <c r="AB73" s="215"/>
      <c r="AC73" s="215"/>
      <c r="AD73" s="215"/>
      <c r="AE73" s="215"/>
      <c r="AF73" s="215"/>
      <c r="AG73" s="215"/>
      <c r="AH73" s="215"/>
      <c r="AI73" s="215"/>
      <c r="AJ73" s="215"/>
      <c r="AK73" s="215"/>
      <c r="AL73" s="215"/>
      <c r="AM73" s="215"/>
      <c r="AN73" s="215"/>
      <c r="AO73" s="215"/>
      <c r="AP73" s="215"/>
      <c r="AQ73" s="215"/>
      <c r="AR73" s="371"/>
      <c r="AS73" s="372"/>
      <c r="AT73" s="372"/>
      <c r="AU73" s="372"/>
      <c r="AV73" s="372"/>
      <c r="AW73" s="372"/>
      <c r="AX73" s="372"/>
      <c r="AY73" s="372"/>
      <c r="AZ73" s="372"/>
      <c r="BA73" s="372"/>
      <c r="BB73" s="372"/>
      <c r="BC73" s="372"/>
      <c r="BD73" s="372"/>
      <c r="BE73" s="372"/>
    </row>
    <row r="74" spans="1:57" ht="16.25" customHeight="1" x14ac:dyDescent="0.2">
      <c r="A74" s="83"/>
      <c r="B74" s="103"/>
      <c r="C74" s="83"/>
      <c r="D74" s="83"/>
      <c r="E74" s="83"/>
      <c r="F74" s="83"/>
      <c r="G74" s="104"/>
      <c r="H74" s="103"/>
      <c r="I74" s="83"/>
      <c r="J74" s="83"/>
      <c r="K74" s="83"/>
      <c r="L74" s="83"/>
      <c r="M74" s="83"/>
      <c r="N74" s="104"/>
      <c r="O74" s="161"/>
      <c r="P74" s="376"/>
      <c r="Q74" s="376"/>
      <c r="R74" s="376"/>
      <c r="S74" s="376"/>
      <c r="T74" s="215"/>
      <c r="U74" s="215"/>
      <c r="V74" s="215"/>
      <c r="W74" s="215"/>
      <c r="X74" s="215"/>
      <c r="Y74" s="215"/>
      <c r="Z74" s="215"/>
      <c r="AA74" s="215"/>
      <c r="AB74" s="215"/>
      <c r="AC74" s="215"/>
      <c r="AD74" s="215"/>
      <c r="AE74" s="215"/>
      <c r="AF74" s="215"/>
      <c r="AG74" s="215"/>
      <c r="AH74" s="215"/>
      <c r="AI74" s="215"/>
      <c r="AJ74" s="215"/>
      <c r="AK74" s="215"/>
      <c r="AL74" s="215"/>
      <c r="AM74" s="215"/>
      <c r="AN74" s="215"/>
      <c r="AO74" s="215"/>
      <c r="AP74" s="215"/>
      <c r="AQ74" s="215"/>
      <c r="AR74" s="371"/>
      <c r="AS74" s="372"/>
      <c r="AT74" s="372"/>
      <c r="AU74" s="372"/>
      <c r="AV74" s="372"/>
      <c r="AW74" s="372"/>
      <c r="AX74" s="372"/>
      <c r="AY74" s="372"/>
      <c r="AZ74" s="372"/>
      <c r="BA74" s="372"/>
      <c r="BB74" s="372"/>
      <c r="BC74" s="372"/>
      <c r="BD74" s="372"/>
      <c r="BE74" s="372"/>
    </row>
    <row r="75" spans="1:57" ht="16.25" customHeight="1" x14ac:dyDescent="0.2">
      <c r="A75" s="83"/>
      <c r="B75" s="103"/>
      <c r="C75" s="83"/>
      <c r="D75" s="83"/>
      <c r="E75" s="83"/>
      <c r="F75" s="83"/>
      <c r="G75" s="104"/>
      <c r="H75" s="103"/>
      <c r="I75" s="83"/>
      <c r="J75" s="83"/>
      <c r="K75" s="83"/>
      <c r="L75" s="83"/>
      <c r="M75" s="83"/>
      <c r="N75" s="104"/>
      <c r="O75" s="163"/>
      <c r="P75" s="373"/>
      <c r="Q75" s="377"/>
      <c r="R75" s="376"/>
      <c r="S75" s="376"/>
      <c r="T75" s="215"/>
      <c r="U75" s="215"/>
      <c r="V75" s="215"/>
      <c r="W75" s="215"/>
      <c r="X75" s="215"/>
      <c r="Y75" s="215"/>
      <c r="Z75" s="215"/>
      <c r="AA75" s="215"/>
      <c r="AB75" s="215"/>
      <c r="AC75" s="215"/>
      <c r="AD75" s="215"/>
      <c r="AE75" s="215"/>
      <c r="AF75" s="215"/>
      <c r="AG75" s="215"/>
      <c r="AH75" s="215"/>
      <c r="AI75" s="215"/>
      <c r="AJ75" s="215"/>
      <c r="AK75" s="215"/>
      <c r="AL75" s="215"/>
      <c r="AM75" s="215"/>
      <c r="AN75" s="215"/>
      <c r="AO75" s="215"/>
      <c r="AP75" s="215"/>
      <c r="AQ75" s="215"/>
      <c r="AR75" s="371"/>
      <c r="AS75" s="372"/>
      <c r="AT75" s="372"/>
      <c r="AU75" s="372"/>
      <c r="AV75" s="372"/>
      <c r="AW75" s="372"/>
      <c r="AX75" s="372"/>
      <c r="AY75" s="372"/>
      <c r="AZ75" s="372"/>
      <c r="BA75" s="372"/>
      <c r="BB75" s="372"/>
      <c r="BC75" s="372"/>
      <c r="BD75" s="372"/>
      <c r="BE75" s="372"/>
    </row>
    <row r="76" spans="1:57" ht="16.25" customHeight="1" x14ac:dyDescent="0.2">
      <c r="A76" s="83"/>
      <c r="B76" s="103"/>
      <c r="C76" s="83"/>
      <c r="D76" s="83"/>
      <c r="E76" s="83"/>
      <c r="F76" s="83"/>
      <c r="G76" s="104"/>
      <c r="H76" s="103"/>
      <c r="I76" s="83"/>
      <c r="J76" s="83"/>
      <c r="K76" s="83"/>
      <c r="L76" s="83"/>
      <c r="M76" s="83"/>
      <c r="N76" s="104"/>
      <c r="O76" s="162"/>
      <c r="P76" s="371"/>
      <c r="Q76" s="371"/>
      <c r="R76" s="371"/>
      <c r="S76" s="371"/>
      <c r="T76" s="215"/>
      <c r="U76" s="215"/>
      <c r="V76" s="215"/>
      <c r="W76" s="215"/>
      <c r="X76" s="215"/>
      <c r="Y76" s="215"/>
      <c r="Z76" s="215"/>
      <c r="AA76" s="215"/>
      <c r="AB76" s="215"/>
      <c r="AC76" s="215"/>
      <c r="AD76" s="215"/>
      <c r="AE76" s="215"/>
      <c r="AF76" s="215"/>
      <c r="AG76" s="215"/>
      <c r="AH76" s="215"/>
      <c r="AI76" s="215"/>
      <c r="AJ76" s="215"/>
      <c r="AK76" s="215"/>
      <c r="AL76" s="215"/>
      <c r="AM76" s="215"/>
      <c r="AN76" s="215"/>
      <c r="AO76" s="215"/>
      <c r="AP76" s="215"/>
      <c r="AQ76" s="215"/>
      <c r="AR76" s="371"/>
      <c r="AS76" s="372"/>
      <c r="AT76" s="372"/>
      <c r="AU76" s="372"/>
      <c r="AV76" s="372"/>
      <c r="AW76" s="372"/>
      <c r="AX76" s="372"/>
      <c r="AY76" s="372"/>
      <c r="AZ76" s="372"/>
      <c r="BA76" s="372"/>
      <c r="BB76" s="372"/>
      <c r="BC76" s="372"/>
      <c r="BD76" s="372"/>
      <c r="BE76" s="372"/>
    </row>
    <row r="77" spans="1:57" ht="16.25" customHeight="1" x14ac:dyDescent="0.2">
      <c r="A77" s="83"/>
      <c r="B77" s="103"/>
      <c r="C77" s="83"/>
      <c r="D77" s="83"/>
      <c r="E77" s="83"/>
      <c r="F77" s="83"/>
      <c r="G77" s="104"/>
      <c r="H77" s="103"/>
      <c r="I77" s="83"/>
      <c r="J77" s="83"/>
      <c r="K77" s="83"/>
      <c r="L77" s="83"/>
      <c r="M77" s="83"/>
      <c r="N77" s="104"/>
      <c r="O77" s="162"/>
      <c r="P77" s="371"/>
      <c r="Q77" s="371"/>
      <c r="R77" s="371"/>
      <c r="S77" s="371"/>
      <c r="T77" s="215"/>
      <c r="U77" s="215"/>
      <c r="V77" s="215"/>
      <c r="W77" s="215"/>
      <c r="X77" s="215"/>
      <c r="Y77" s="215"/>
      <c r="Z77" s="215"/>
      <c r="AA77" s="215"/>
      <c r="AB77" s="215"/>
      <c r="AC77" s="215"/>
      <c r="AD77" s="215"/>
      <c r="AE77" s="215"/>
      <c r="AF77" s="215"/>
      <c r="AG77" s="215"/>
      <c r="AH77" s="215"/>
      <c r="AI77" s="215"/>
      <c r="AJ77" s="215"/>
      <c r="AK77" s="215"/>
      <c r="AL77" s="215"/>
      <c r="AM77" s="215"/>
      <c r="AN77" s="215"/>
      <c r="AO77" s="215"/>
      <c r="AP77" s="215"/>
      <c r="AQ77" s="215"/>
      <c r="AR77" s="371"/>
      <c r="AS77" s="372"/>
      <c r="AT77" s="372"/>
      <c r="AU77" s="372"/>
      <c r="AV77" s="372"/>
      <c r="AW77" s="372"/>
      <c r="AX77" s="372"/>
      <c r="AY77" s="372"/>
      <c r="AZ77" s="372"/>
      <c r="BA77" s="372"/>
      <c r="BB77" s="372"/>
      <c r="BC77" s="372"/>
      <c r="BD77" s="372"/>
      <c r="BE77" s="372"/>
    </row>
    <row r="78" spans="1:57" ht="16.25" customHeight="1" x14ac:dyDescent="0.2">
      <c r="A78" s="83"/>
      <c r="B78" s="103"/>
      <c r="C78" s="83"/>
      <c r="D78" s="83"/>
      <c r="E78" s="83"/>
      <c r="F78" s="83"/>
      <c r="G78" s="104"/>
      <c r="H78" s="103"/>
      <c r="I78" s="83"/>
      <c r="J78" s="83"/>
      <c r="K78" s="83"/>
      <c r="L78" s="83"/>
      <c r="M78" s="83"/>
      <c r="N78" s="104"/>
      <c r="O78" s="162"/>
      <c r="P78" s="371"/>
      <c r="Q78" s="371"/>
      <c r="R78" s="371"/>
      <c r="S78" s="371"/>
      <c r="T78" s="215"/>
      <c r="U78" s="215"/>
      <c r="V78" s="215"/>
      <c r="W78" s="215"/>
      <c r="X78" s="215"/>
      <c r="Y78" s="215"/>
      <c r="Z78" s="215"/>
      <c r="AA78" s="215"/>
      <c r="AB78" s="215"/>
      <c r="AC78" s="215"/>
      <c r="AD78" s="215"/>
      <c r="AE78" s="215"/>
      <c r="AF78" s="215"/>
      <c r="AG78" s="215"/>
      <c r="AH78" s="215"/>
      <c r="AI78" s="215"/>
      <c r="AJ78" s="215"/>
      <c r="AK78" s="215"/>
      <c r="AL78" s="215"/>
      <c r="AM78" s="215"/>
      <c r="AN78" s="215"/>
      <c r="AO78" s="215"/>
      <c r="AP78" s="215"/>
      <c r="AQ78" s="215"/>
      <c r="AR78" s="371"/>
      <c r="AS78" s="372"/>
      <c r="AT78" s="372"/>
      <c r="AU78" s="372"/>
      <c r="AV78" s="372"/>
      <c r="AW78" s="372"/>
      <c r="AX78" s="372"/>
      <c r="AY78" s="372"/>
      <c r="AZ78" s="372"/>
      <c r="BA78" s="372"/>
      <c r="BB78" s="372"/>
      <c r="BC78" s="372"/>
      <c r="BD78" s="372"/>
      <c r="BE78" s="372"/>
    </row>
    <row r="79" spans="1:57" ht="16.25" customHeight="1" x14ac:dyDescent="0.2">
      <c r="A79" s="83"/>
      <c r="B79" s="103"/>
      <c r="C79" s="83"/>
      <c r="D79" s="83"/>
      <c r="E79" s="83"/>
      <c r="F79" s="83"/>
      <c r="G79" s="104"/>
      <c r="H79" s="103"/>
      <c r="I79" s="83"/>
      <c r="J79" s="83"/>
      <c r="K79" s="83"/>
      <c r="L79" s="83"/>
      <c r="M79" s="83"/>
      <c r="N79" s="104"/>
      <c r="O79" s="162"/>
      <c r="P79" s="371"/>
      <c r="Q79" s="371"/>
      <c r="R79" s="371"/>
      <c r="S79" s="371"/>
      <c r="T79" s="215"/>
      <c r="U79" s="215"/>
      <c r="V79" s="215"/>
      <c r="W79" s="215"/>
      <c r="X79" s="215"/>
      <c r="Y79" s="215"/>
      <c r="Z79" s="215"/>
      <c r="AA79" s="215"/>
      <c r="AB79" s="215"/>
      <c r="AC79" s="215"/>
      <c r="AD79" s="215"/>
      <c r="AE79" s="215"/>
      <c r="AF79" s="215"/>
      <c r="AG79" s="215"/>
      <c r="AH79" s="215"/>
      <c r="AI79" s="215"/>
      <c r="AJ79" s="215"/>
      <c r="AK79" s="215"/>
      <c r="AL79" s="215"/>
      <c r="AM79" s="215"/>
      <c r="AN79" s="215"/>
      <c r="AO79" s="215"/>
      <c r="AP79" s="215"/>
      <c r="AQ79" s="215"/>
      <c r="AR79" s="371"/>
      <c r="AS79" s="372"/>
      <c r="AT79" s="372"/>
      <c r="AU79" s="372"/>
      <c r="AV79" s="372"/>
      <c r="AW79" s="372"/>
      <c r="AX79" s="372"/>
      <c r="AY79" s="372"/>
      <c r="AZ79" s="372"/>
      <c r="BA79" s="372"/>
      <c r="BB79" s="372"/>
      <c r="BC79" s="372"/>
      <c r="BD79" s="372"/>
      <c r="BE79" s="372"/>
    </row>
    <row r="80" spans="1:57" ht="16.25" customHeight="1" x14ac:dyDescent="0.2">
      <c r="A80" s="83"/>
      <c r="B80" s="933" t="s">
        <v>281</v>
      </c>
      <c r="C80" s="934"/>
      <c r="D80" s="934"/>
      <c r="E80" s="934"/>
      <c r="F80" s="934"/>
      <c r="G80" s="935"/>
      <c r="H80" s="116" t="s">
        <v>252</v>
      </c>
      <c r="I80" s="117" t="s">
        <v>2</v>
      </c>
      <c r="J80" s="939" t="s">
        <v>82</v>
      </c>
      <c r="K80" s="940"/>
      <c r="L80" s="940"/>
      <c r="M80" s="940"/>
      <c r="N80" s="941"/>
      <c r="O80" s="162"/>
      <c r="P80" s="371"/>
      <c r="Q80" s="371"/>
      <c r="R80" s="371"/>
      <c r="S80" s="371"/>
      <c r="T80" s="215"/>
      <c r="U80" s="215"/>
      <c r="V80" s="215"/>
      <c r="W80" s="215"/>
      <c r="X80" s="215"/>
      <c r="Y80" s="215"/>
      <c r="Z80" s="215"/>
      <c r="AA80" s="215"/>
      <c r="AB80" s="215"/>
      <c r="AC80" s="215"/>
      <c r="AD80" s="215"/>
      <c r="AE80" s="215"/>
      <c r="AF80" s="215"/>
      <c r="AG80" s="215"/>
      <c r="AH80" s="215"/>
      <c r="AI80" s="215"/>
      <c r="AJ80" s="215"/>
      <c r="AK80" s="215"/>
      <c r="AL80" s="215"/>
      <c r="AM80" s="215"/>
      <c r="AN80" s="215"/>
      <c r="AO80" s="215"/>
      <c r="AP80" s="215"/>
      <c r="AQ80" s="215"/>
      <c r="AR80" s="371"/>
      <c r="AS80" s="372"/>
      <c r="AT80" s="372"/>
      <c r="AU80" s="372"/>
      <c r="AV80" s="372"/>
      <c r="AW80" s="372"/>
      <c r="AX80" s="372"/>
      <c r="AY80" s="372"/>
      <c r="AZ80" s="372"/>
      <c r="BA80" s="372"/>
      <c r="BB80" s="372"/>
      <c r="BC80" s="372"/>
      <c r="BD80" s="372"/>
      <c r="BE80" s="372"/>
    </row>
    <row r="81" spans="1:57" ht="16.25" customHeight="1" x14ac:dyDescent="0.2">
      <c r="A81" s="83"/>
      <c r="B81" s="936"/>
      <c r="C81" s="937"/>
      <c r="D81" s="937"/>
      <c r="E81" s="937"/>
      <c r="F81" s="937"/>
      <c r="G81" s="938"/>
      <c r="H81" s="493"/>
      <c r="I81" s="110"/>
      <c r="J81" s="988"/>
      <c r="K81" s="989"/>
      <c r="L81" s="989"/>
      <c r="M81" s="989"/>
      <c r="N81" s="990"/>
      <c r="O81" s="83"/>
      <c r="P81" s="215"/>
      <c r="Q81" s="215"/>
      <c r="R81" s="215"/>
      <c r="S81" s="215"/>
      <c r="T81" s="215"/>
      <c r="U81" s="215"/>
      <c r="V81" s="215"/>
      <c r="W81" s="215"/>
      <c r="X81" s="215"/>
      <c r="Y81" s="215"/>
      <c r="Z81" s="215"/>
      <c r="AA81" s="215"/>
      <c r="AB81" s="215"/>
      <c r="AC81" s="215"/>
      <c r="AD81" s="215"/>
      <c r="AE81" s="215"/>
      <c r="AF81" s="215"/>
      <c r="AG81" s="215"/>
      <c r="AH81" s="215"/>
      <c r="AI81" s="215"/>
      <c r="AJ81" s="215"/>
      <c r="AK81" s="215"/>
      <c r="AL81" s="215"/>
      <c r="AM81" s="215"/>
      <c r="AN81" s="215"/>
      <c r="AO81" s="215"/>
      <c r="AP81" s="215"/>
      <c r="AQ81" s="215"/>
      <c r="AR81" s="371"/>
      <c r="AS81" s="372"/>
      <c r="AT81" s="372"/>
      <c r="AU81" s="372"/>
      <c r="AV81" s="372"/>
      <c r="AW81" s="372"/>
      <c r="AX81" s="372"/>
      <c r="AY81" s="372"/>
      <c r="AZ81" s="372"/>
      <c r="BA81" s="372"/>
      <c r="BB81" s="372"/>
      <c r="BC81" s="372"/>
      <c r="BD81" s="372"/>
      <c r="BE81" s="372"/>
    </row>
    <row r="82" spans="1:57" ht="16.25" customHeight="1" x14ac:dyDescent="0.2">
      <c r="A82" s="83"/>
      <c r="B82" s="83"/>
      <c r="C82" s="83"/>
      <c r="D82" s="83"/>
      <c r="E82" s="83"/>
      <c r="F82" s="83"/>
      <c r="G82" s="83"/>
      <c r="H82" s="83"/>
      <c r="I82" s="83"/>
      <c r="J82" s="83"/>
      <c r="K82" s="83"/>
      <c r="L82" s="83"/>
      <c r="M82" s="162"/>
      <c r="N82" s="165"/>
      <c r="O82" s="83"/>
      <c r="P82" s="215"/>
      <c r="Q82" s="215"/>
      <c r="R82" s="215"/>
      <c r="S82" s="215"/>
      <c r="T82" s="215"/>
      <c r="U82" s="215"/>
      <c r="V82" s="215"/>
      <c r="W82" s="215"/>
      <c r="X82" s="215"/>
      <c r="Y82" s="215"/>
      <c r="Z82" s="215"/>
      <c r="AA82" s="215"/>
      <c r="AB82" s="215"/>
      <c r="AC82" s="215"/>
      <c r="AD82" s="215"/>
      <c r="AE82" s="215"/>
      <c r="AF82" s="215"/>
      <c r="AG82" s="215"/>
      <c r="AH82" s="215"/>
      <c r="AI82" s="215"/>
      <c r="AJ82" s="215"/>
      <c r="AK82" s="215"/>
      <c r="AL82" s="215"/>
      <c r="AM82" s="215"/>
      <c r="AN82" s="215"/>
      <c r="AO82" s="215"/>
      <c r="AP82" s="215"/>
      <c r="AQ82" s="215"/>
      <c r="AR82" s="371"/>
      <c r="AS82" s="372"/>
      <c r="AT82" s="372"/>
      <c r="AU82" s="372"/>
      <c r="AV82" s="372"/>
      <c r="AW82" s="372"/>
      <c r="AX82" s="372"/>
      <c r="AY82" s="372"/>
      <c r="AZ82" s="372"/>
      <c r="BA82" s="372"/>
      <c r="BB82" s="372"/>
      <c r="BC82" s="372"/>
      <c r="BD82" s="372"/>
      <c r="BE82" s="372"/>
    </row>
    <row r="83" spans="1:57" x14ac:dyDescent="0.2">
      <c r="A83" s="83"/>
      <c r="B83" s="83"/>
      <c r="C83" s="83"/>
      <c r="D83" s="83"/>
      <c r="E83" s="83"/>
      <c r="F83" s="83"/>
      <c r="G83" s="83"/>
      <c r="H83" s="83"/>
      <c r="I83" s="83"/>
      <c r="J83" s="83"/>
      <c r="K83" s="83"/>
      <c r="L83" s="83"/>
      <c r="M83" s="162"/>
      <c r="N83" s="165"/>
      <c r="O83" s="83"/>
      <c r="P83" s="215"/>
      <c r="Q83" s="215"/>
      <c r="R83" s="215"/>
      <c r="S83" s="215"/>
      <c r="T83" s="215"/>
      <c r="U83" s="215"/>
      <c r="V83" s="215"/>
      <c r="W83" s="215"/>
      <c r="X83" s="215"/>
      <c r="Y83" s="215"/>
      <c r="Z83" s="215"/>
      <c r="AA83" s="215"/>
      <c r="AB83" s="215"/>
      <c r="AC83" s="215"/>
      <c r="AD83" s="215"/>
      <c r="AE83" s="215"/>
      <c r="AF83" s="215"/>
      <c r="AG83" s="215"/>
      <c r="AH83" s="215"/>
      <c r="AI83" s="215"/>
      <c r="AJ83" s="215"/>
      <c r="AK83" s="215"/>
      <c r="AL83" s="215"/>
      <c r="AM83" s="215"/>
      <c r="AN83" s="215"/>
      <c r="AO83" s="215"/>
      <c r="AP83" s="215"/>
      <c r="AQ83" s="215"/>
      <c r="AR83" s="371"/>
      <c r="AS83" s="372"/>
      <c r="AT83" s="372"/>
      <c r="AU83" s="372"/>
      <c r="AV83" s="372"/>
      <c r="AW83" s="372"/>
      <c r="AX83" s="372"/>
      <c r="AY83" s="372"/>
      <c r="AZ83" s="372"/>
      <c r="BA83" s="372"/>
      <c r="BB83" s="372"/>
      <c r="BC83" s="372"/>
      <c r="BD83" s="372"/>
      <c r="BE83" s="372"/>
    </row>
    <row r="84" spans="1:57" x14ac:dyDescent="0.2">
      <c r="P84" s="372"/>
      <c r="Q84" s="372"/>
      <c r="R84" s="372"/>
      <c r="S84" s="372"/>
      <c r="T84" s="372"/>
      <c r="U84" s="372"/>
      <c r="V84" s="372"/>
      <c r="W84" s="372"/>
      <c r="X84" s="372"/>
      <c r="Y84" s="372"/>
      <c r="Z84" s="372"/>
      <c r="AA84" s="372"/>
      <c r="AB84" s="372"/>
      <c r="AC84" s="372"/>
      <c r="AD84" s="372"/>
      <c r="AE84" s="372"/>
      <c r="AF84" s="372"/>
      <c r="AG84" s="372"/>
      <c r="AH84" s="372"/>
      <c r="AI84" s="372"/>
      <c r="AJ84" s="372"/>
      <c r="AK84" s="372"/>
      <c r="AL84" s="372"/>
      <c r="AM84" s="372"/>
      <c r="AN84" s="372"/>
      <c r="AO84" s="372"/>
      <c r="AP84" s="372"/>
      <c r="AS84" s="372"/>
      <c r="AT84" s="372"/>
      <c r="AU84" s="372"/>
      <c r="AV84" s="372"/>
      <c r="AW84" s="372"/>
      <c r="AX84" s="372"/>
      <c r="AY84" s="372"/>
      <c r="AZ84" s="372"/>
      <c r="BA84" s="372"/>
      <c r="BB84" s="372"/>
      <c r="BC84" s="372"/>
      <c r="BD84" s="372"/>
      <c r="BE84" s="372"/>
    </row>
    <row r="85" spans="1:57" x14ac:dyDescent="0.2">
      <c r="P85" s="372"/>
      <c r="Q85" s="372"/>
      <c r="R85" s="372"/>
      <c r="S85" s="372"/>
      <c r="T85" s="372"/>
      <c r="U85" s="372"/>
      <c r="V85" s="372"/>
      <c r="W85" s="372"/>
      <c r="X85" s="372"/>
      <c r="Y85" s="372"/>
      <c r="Z85" s="372"/>
      <c r="AA85" s="372"/>
      <c r="AB85" s="372"/>
      <c r="AC85" s="372"/>
      <c r="AD85" s="372"/>
      <c r="AE85" s="372"/>
      <c r="AF85" s="372"/>
      <c r="AG85" s="372"/>
      <c r="AH85" s="372"/>
      <c r="AI85" s="372"/>
      <c r="AJ85" s="372"/>
      <c r="AK85" s="372"/>
      <c r="AL85" s="372"/>
      <c r="AM85" s="372"/>
      <c r="AN85" s="372"/>
      <c r="AO85" s="372"/>
      <c r="AP85" s="372"/>
      <c r="AS85" s="372"/>
      <c r="AT85" s="372"/>
      <c r="AU85" s="372"/>
      <c r="AV85" s="372"/>
      <c r="AW85" s="372"/>
      <c r="AX85" s="372"/>
      <c r="AY85" s="372"/>
      <c r="AZ85" s="372"/>
      <c r="BA85" s="372"/>
      <c r="BB85" s="372"/>
      <c r="BC85" s="372"/>
      <c r="BD85" s="372"/>
      <c r="BE85" s="372"/>
    </row>
    <row r="86" spans="1:57" x14ac:dyDescent="0.2">
      <c r="P86" s="372"/>
      <c r="Q86" s="372"/>
      <c r="R86" s="372"/>
      <c r="S86" s="372"/>
      <c r="T86" s="372"/>
      <c r="U86" s="372"/>
      <c r="V86" s="372"/>
      <c r="W86" s="372"/>
      <c r="X86" s="372"/>
      <c r="Y86" s="372"/>
      <c r="Z86" s="372"/>
      <c r="AA86" s="372"/>
      <c r="AB86" s="372"/>
      <c r="AC86" s="372"/>
      <c r="AD86" s="372"/>
      <c r="AE86" s="372"/>
      <c r="AF86" s="372"/>
      <c r="AG86" s="372"/>
      <c r="AH86" s="372"/>
      <c r="AI86" s="372"/>
      <c r="AJ86" s="372"/>
      <c r="AK86" s="372"/>
      <c r="AL86" s="372"/>
      <c r="AM86" s="372"/>
      <c r="AN86" s="372"/>
      <c r="AO86" s="372"/>
      <c r="AP86" s="372"/>
      <c r="AS86" s="372"/>
      <c r="AT86" s="372"/>
      <c r="AU86" s="372"/>
      <c r="AV86" s="372"/>
      <c r="AW86" s="372"/>
      <c r="AX86" s="372"/>
      <c r="AY86" s="372"/>
      <c r="AZ86" s="372"/>
      <c r="BA86" s="372"/>
      <c r="BB86" s="372"/>
      <c r="BC86" s="372"/>
      <c r="BD86" s="372"/>
      <c r="BE86" s="372"/>
    </row>
    <row r="87" spans="1:57" x14ac:dyDescent="0.2">
      <c r="P87" s="372"/>
      <c r="Q87" s="372"/>
      <c r="R87" s="372"/>
      <c r="S87" s="372"/>
      <c r="T87" s="372"/>
      <c r="U87" s="372"/>
      <c r="V87" s="372"/>
      <c r="W87" s="372"/>
      <c r="X87" s="372"/>
      <c r="Y87" s="372"/>
      <c r="Z87" s="372"/>
      <c r="AA87" s="372"/>
      <c r="AB87" s="372"/>
      <c r="AC87" s="372"/>
      <c r="AD87" s="372"/>
      <c r="AE87" s="372"/>
      <c r="AF87" s="372"/>
      <c r="AG87" s="372"/>
      <c r="AH87" s="372"/>
      <c r="AI87" s="372"/>
      <c r="AJ87" s="372"/>
      <c r="AK87" s="372"/>
      <c r="AL87" s="372"/>
      <c r="AM87" s="372"/>
      <c r="AN87" s="372"/>
      <c r="AO87" s="372"/>
      <c r="AP87" s="372"/>
      <c r="AS87" s="372"/>
      <c r="AT87" s="372"/>
      <c r="AU87" s="372"/>
      <c r="AV87" s="372"/>
      <c r="AW87" s="372"/>
      <c r="AX87" s="372"/>
      <c r="AY87" s="372"/>
      <c r="AZ87" s="372"/>
      <c r="BA87" s="372"/>
      <c r="BB87" s="372"/>
      <c r="BC87" s="372"/>
      <c r="BD87" s="372"/>
      <c r="BE87" s="372"/>
    </row>
    <row r="88" spans="1:57" x14ac:dyDescent="0.2">
      <c r="P88" s="372"/>
      <c r="Q88" s="372"/>
      <c r="R88" s="372"/>
      <c r="S88" s="372"/>
      <c r="T88" s="372"/>
      <c r="U88" s="372"/>
      <c r="V88" s="372"/>
      <c r="W88" s="372"/>
      <c r="X88" s="372"/>
      <c r="Y88" s="372"/>
      <c r="Z88" s="372"/>
      <c r="AA88" s="372"/>
      <c r="AB88" s="372"/>
      <c r="AC88" s="372"/>
      <c r="AD88" s="372"/>
      <c r="AE88" s="372"/>
      <c r="AF88" s="372"/>
      <c r="AG88" s="372"/>
      <c r="AH88" s="372"/>
      <c r="AI88" s="372"/>
      <c r="AJ88" s="372"/>
      <c r="AK88" s="372"/>
      <c r="AL88" s="372"/>
      <c r="AM88" s="372"/>
      <c r="AN88" s="372"/>
      <c r="AO88" s="372"/>
      <c r="AP88" s="372"/>
      <c r="AS88" s="372"/>
      <c r="AT88" s="372"/>
      <c r="AU88" s="372"/>
      <c r="AV88" s="372"/>
      <c r="AW88" s="372"/>
      <c r="AX88" s="372"/>
      <c r="AY88" s="372"/>
      <c r="AZ88" s="372"/>
      <c r="BA88" s="372"/>
      <c r="BB88" s="372"/>
      <c r="BC88" s="372"/>
      <c r="BD88" s="372"/>
      <c r="BE88" s="372"/>
    </row>
    <row r="89" spans="1:57" x14ac:dyDescent="0.2">
      <c r="P89" s="372"/>
      <c r="Q89" s="372"/>
      <c r="R89" s="372"/>
      <c r="S89" s="372"/>
      <c r="T89" s="372"/>
      <c r="U89" s="372"/>
      <c r="V89" s="372"/>
      <c r="W89" s="372"/>
      <c r="X89" s="372"/>
      <c r="Y89" s="372"/>
      <c r="Z89" s="372"/>
      <c r="AA89" s="372"/>
      <c r="AB89" s="372"/>
      <c r="AC89" s="372"/>
      <c r="AD89" s="372"/>
      <c r="AE89" s="372"/>
      <c r="AF89" s="372"/>
      <c r="AG89" s="372"/>
      <c r="AH89" s="372"/>
      <c r="AI89" s="372"/>
      <c r="AJ89" s="372"/>
      <c r="AK89" s="372"/>
      <c r="AL89" s="372"/>
      <c r="AM89" s="372"/>
      <c r="AN89" s="372"/>
      <c r="AO89" s="372"/>
      <c r="AP89" s="372"/>
      <c r="AS89" s="372"/>
      <c r="AT89" s="372"/>
      <c r="AU89" s="372"/>
      <c r="AV89" s="372"/>
      <c r="AW89" s="372"/>
      <c r="AX89" s="372"/>
      <c r="AY89" s="372"/>
      <c r="AZ89" s="372"/>
      <c r="BA89" s="372"/>
      <c r="BB89" s="372"/>
      <c r="BC89" s="372"/>
      <c r="BD89" s="372"/>
      <c r="BE89" s="372"/>
    </row>
    <row r="90" spans="1:57" x14ac:dyDescent="0.2">
      <c r="P90" s="372"/>
      <c r="Q90" s="372"/>
      <c r="R90" s="372"/>
      <c r="S90" s="372"/>
      <c r="T90" s="372"/>
      <c r="U90" s="372"/>
      <c r="V90" s="372"/>
      <c r="W90" s="372"/>
      <c r="X90" s="372"/>
      <c r="Y90" s="372"/>
      <c r="Z90" s="372"/>
      <c r="AA90" s="372"/>
      <c r="AB90" s="372"/>
      <c r="AC90" s="372"/>
      <c r="AD90" s="372"/>
      <c r="AE90" s="372"/>
      <c r="AF90" s="372"/>
      <c r="AG90" s="372"/>
      <c r="AH90" s="372"/>
      <c r="AI90" s="372"/>
      <c r="AJ90" s="372"/>
      <c r="AK90" s="372"/>
      <c r="AL90" s="372"/>
      <c r="AM90" s="372"/>
      <c r="AN90" s="372"/>
      <c r="AO90" s="372"/>
      <c r="AP90" s="372"/>
      <c r="AS90" s="372"/>
      <c r="AT90" s="372"/>
      <c r="AU90" s="372"/>
      <c r="AV90" s="372"/>
      <c r="AW90" s="372"/>
      <c r="AX90" s="372"/>
      <c r="AY90" s="372"/>
      <c r="AZ90" s="372"/>
      <c r="BA90" s="372"/>
      <c r="BB90" s="372"/>
      <c r="BC90" s="372"/>
      <c r="BD90" s="372"/>
      <c r="BE90" s="372"/>
    </row>
    <row r="91" spans="1:57" x14ac:dyDescent="0.2">
      <c r="P91" s="372"/>
      <c r="Q91" s="372"/>
      <c r="R91" s="372"/>
      <c r="S91" s="372"/>
      <c r="T91" s="372"/>
      <c r="U91" s="372"/>
      <c r="V91" s="372"/>
      <c r="W91" s="372"/>
      <c r="X91" s="372"/>
      <c r="Y91" s="372"/>
      <c r="Z91" s="372"/>
      <c r="AA91" s="372"/>
      <c r="AB91" s="372"/>
      <c r="AC91" s="372"/>
      <c r="AD91" s="372"/>
      <c r="AE91" s="372"/>
      <c r="AF91" s="372"/>
      <c r="AG91" s="372"/>
      <c r="AH91" s="372"/>
      <c r="AI91" s="372"/>
      <c r="AJ91" s="372"/>
      <c r="AK91" s="372"/>
      <c r="AL91" s="372"/>
      <c r="AM91" s="372"/>
      <c r="AN91" s="372"/>
      <c r="AO91" s="372"/>
      <c r="AP91" s="372"/>
      <c r="AS91" s="372"/>
      <c r="AT91" s="372"/>
      <c r="AU91" s="372"/>
      <c r="AV91" s="372"/>
      <c r="AW91" s="372"/>
      <c r="AX91" s="372"/>
      <c r="AY91" s="372"/>
      <c r="AZ91" s="372"/>
      <c r="BA91" s="372"/>
      <c r="BB91" s="372"/>
      <c r="BC91" s="372"/>
      <c r="BD91" s="372"/>
      <c r="BE91" s="372"/>
    </row>
    <row r="92" spans="1:57" x14ac:dyDescent="0.2">
      <c r="P92" s="372"/>
      <c r="Q92" s="372"/>
      <c r="R92" s="372"/>
      <c r="S92" s="372"/>
      <c r="T92" s="372"/>
      <c r="U92" s="372"/>
      <c r="V92" s="372"/>
      <c r="W92" s="372"/>
      <c r="X92" s="372"/>
      <c r="Y92" s="372"/>
      <c r="Z92" s="372"/>
      <c r="AA92" s="372"/>
      <c r="AB92" s="372"/>
      <c r="AC92" s="372"/>
      <c r="AD92" s="372"/>
      <c r="AE92" s="372"/>
      <c r="AF92" s="372"/>
      <c r="AG92" s="372"/>
      <c r="AH92" s="372"/>
      <c r="AI92" s="372"/>
      <c r="AJ92" s="372"/>
      <c r="AK92" s="372"/>
      <c r="AL92" s="372"/>
      <c r="AM92" s="372"/>
      <c r="AN92" s="372"/>
      <c r="AO92" s="372"/>
      <c r="AP92" s="372"/>
      <c r="AS92" s="372"/>
      <c r="AT92" s="372"/>
      <c r="AU92" s="372"/>
      <c r="AV92" s="372"/>
      <c r="AW92" s="372"/>
      <c r="AX92" s="372"/>
      <c r="AY92" s="372"/>
      <c r="AZ92" s="372"/>
      <c r="BA92" s="372"/>
      <c r="BB92" s="372"/>
      <c r="BC92" s="372"/>
      <c r="BD92" s="372"/>
      <c r="BE92" s="372"/>
    </row>
    <row r="93" spans="1:57" x14ac:dyDescent="0.2">
      <c r="P93" s="372"/>
      <c r="Q93" s="372"/>
      <c r="R93" s="372"/>
      <c r="S93" s="372"/>
      <c r="T93" s="372"/>
      <c r="U93" s="372"/>
      <c r="V93" s="372"/>
      <c r="W93" s="372"/>
      <c r="X93" s="372"/>
      <c r="Y93" s="372"/>
      <c r="Z93" s="372"/>
      <c r="AA93" s="372"/>
      <c r="AB93" s="372"/>
      <c r="AC93" s="372"/>
      <c r="AD93" s="372"/>
      <c r="AE93" s="372"/>
      <c r="AF93" s="372"/>
      <c r="AG93" s="372"/>
      <c r="AH93" s="372"/>
      <c r="AI93" s="372"/>
      <c r="AJ93" s="372"/>
      <c r="AK93" s="372"/>
      <c r="AL93" s="372"/>
      <c r="AM93" s="372"/>
      <c r="AN93" s="372"/>
      <c r="AO93" s="372"/>
      <c r="AP93" s="372"/>
      <c r="AS93" s="372"/>
      <c r="AT93" s="372"/>
      <c r="AU93" s="372"/>
      <c r="AV93" s="372"/>
      <c r="AW93" s="372"/>
      <c r="AX93" s="372"/>
      <c r="AY93" s="372"/>
      <c r="AZ93" s="372"/>
      <c r="BA93" s="372"/>
      <c r="BB93" s="372"/>
      <c r="BC93" s="372"/>
      <c r="BD93" s="372"/>
      <c r="BE93" s="372"/>
    </row>
    <row r="94" spans="1:57" x14ac:dyDescent="0.2">
      <c r="P94" s="372"/>
      <c r="Q94" s="372"/>
      <c r="R94" s="372"/>
      <c r="S94" s="372"/>
      <c r="T94" s="372"/>
      <c r="U94" s="372"/>
      <c r="V94" s="372"/>
      <c r="W94" s="372"/>
      <c r="X94" s="372"/>
      <c r="Y94" s="372"/>
      <c r="Z94" s="372"/>
      <c r="AA94" s="372"/>
      <c r="AB94" s="372"/>
      <c r="AC94" s="372"/>
      <c r="AD94" s="372"/>
      <c r="AE94" s="372"/>
      <c r="AF94" s="372"/>
      <c r="AG94" s="372"/>
      <c r="AH94" s="372"/>
      <c r="AI94" s="372"/>
      <c r="AJ94" s="372"/>
      <c r="AK94" s="372"/>
      <c r="AL94" s="372"/>
      <c r="AM94" s="372"/>
      <c r="AN94" s="372"/>
      <c r="AO94" s="372"/>
      <c r="AP94" s="372"/>
      <c r="AS94" s="372"/>
      <c r="AT94" s="372"/>
      <c r="AU94" s="372"/>
      <c r="AV94" s="372"/>
      <c r="AW94" s="372"/>
      <c r="AX94" s="372"/>
      <c r="AY94" s="372"/>
      <c r="AZ94" s="372"/>
      <c r="BA94" s="372"/>
      <c r="BB94" s="372"/>
      <c r="BC94" s="372"/>
      <c r="BD94" s="372"/>
      <c r="BE94" s="372"/>
    </row>
    <row r="95" spans="1:57" x14ac:dyDescent="0.2">
      <c r="P95" s="372"/>
      <c r="Q95" s="372"/>
      <c r="R95" s="372"/>
      <c r="S95" s="372"/>
      <c r="T95" s="372"/>
      <c r="U95" s="372"/>
      <c r="V95" s="372"/>
      <c r="W95" s="372"/>
      <c r="X95" s="372"/>
      <c r="Y95" s="372"/>
      <c r="Z95" s="372"/>
      <c r="AA95" s="372"/>
      <c r="AB95" s="372"/>
      <c r="AC95" s="372"/>
      <c r="AD95" s="372"/>
      <c r="AE95" s="372"/>
      <c r="AF95" s="372"/>
      <c r="AG95" s="372"/>
      <c r="AH95" s="372"/>
      <c r="AI95" s="372"/>
      <c r="AJ95" s="372"/>
      <c r="AK95" s="372"/>
      <c r="AL95" s="372"/>
      <c r="AM95" s="372"/>
      <c r="AN95" s="372"/>
      <c r="AO95" s="372"/>
      <c r="AP95" s="372"/>
      <c r="AS95" s="372"/>
      <c r="AT95" s="372"/>
      <c r="AU95" s="372"/>
      <c r="AV95" s="372"/>
      <c r="AW95" s="372"/>
      <c r="AX95" s="372"/>
      <c r="AY95" s="372"/>
      <c r="AZ95" s="372"/>
      <c r="BA95" s="372"/>
      <c r="BB95" s="372"/>
      <c r="BC95" s="372"/>
      <c r="BD95" s="372"/>
      <c r="BE95" s="372"/>
    </row>
    <row r="96" spans="1:57" x14ac:dyDescent="0.2">
      <c r="P96" s="372"/>
      <c r="Q96" s="372"/>
      <c r="R96" s="372"/>
      <c r="S96" s="372"/>
      <c r="T96" s="372"/>
      <c r="U96" s="372"/>
      <c r="V96" s="372"/>
      <c r="W96" s="372"/>
      <c r="X96" s="372"/>
      <c r="Y96" s="372"/>
      <c r="Z96" s="372"/>
      <c r="AA96" s="372"/>
      <c r="AB96" s="372"/>
      <c r="AC96" s="372"/>
      <c r="AD96" s="372"/>
      <c r="AE96" s="372"/>
      <c r="AF96" s="372"/>
      <c r="AG96" s="372"/>
      <c r="AH96" s="372"/>
      <c r="AI96" s="372"/>
      <c r="AJ96" s="372"/>
      <c r="AK96" s="372"/>
      <c r="AL96" s="372"/>
      <c r="AM96" s="372"/>
      <c r="AN96" s="372"/>
      <c r="AO96" s="372"/>
      <c r="AP96" s="372"/>
      <c r="AS96" s="372"/>
      <c r="AT96" s="372"/>
      <c r="AU96" s="372"/>
      <c r="AV96" s="372"/>
      <c r="AW96" s="372"/>
      <c r="AX96" s="372"/>
      <c r="AY96" s="372"/>
      <c r="AZ96" s="372"/>
      <c r="BA96" s="372"/>
      <c r="BB96" s="372"/>
      <c r="BC96" s="372"/>
      <c r="BD96" s="372"/>
      <c r="BE96" s="372"/>
    </row>
    <row r="97" spans="16:57" x14ac:dyDescent="0.2">
      <c r="P97" s="372"/>
      <c r="Q97" s="372"/>
      <c r="R97" s="372"/>
      <c r="S97" s="372"/>
      <c r="T97" s="372"/>
      <c r="U97" s="372"/>
      <c r="V97" s="372"/>
      <c r="W97" s="372"/>
      <c r="X97" s="372"/>
      <c r="Y97" s="372"/>
      <c r="Z97" s="372"/>
      <c r="AA97" s="372"/>
      <c r="AB97" s="372"/>
      <c r="AC97" s="372"/>
      <c r="AD97" s="372"/>
      <c r="AE97" s="372"/>
      <c r="AF97" s="372"/>
      <c r="AG97" s="372"/>
      <c r="AH97" s="372"/>
      <c r="AI97" s="372"/>
      <c r="AJ97" s="372"/>
      <c r="AK97" s="372"/>
      <c r="AL97" s="372"/>
      <c r="AM97" s="372"/>
      <c r="AN97" s="372"/>
      <c r="AO97" s="372"/>
      <c r="AP97" s="372"/>
      <c r="AS97" s="372"/>
      <c r="AT97" s="372"/>
      <c r="AU97" s="372"/>
      <c r="AV97" s="372"/>
      <c r="AW97" s="372"/>
      <c r="AX97" s="372"/>
      <c r="AY97" s="372"/>
      <c r="AZ97" s="372"/>
      <c r="BA97" s="372"/>
      <c r="BB97" s="372"/>
      <c r="BC97" s="372"/>
      <c r="BD97" s="372"/>
      <c r="BE97" s="372"/>
    </row>
    <row r="98" spans="16:57" x14ac:dyDescent="0.2">
      <c r="P98" s="372"/>
      <c r="Q98" s="372"/>
      <c r="R98" s="372"/>
      <c r="S98" s="372"/>
      <c r="T98" s="372"/>
      <c r="U98" s="372"/>
      <c r="V98" s="372"/>
      <c r="W98" s="372"/>
      <c r="X98" s="372"/>
      <c r="Y98" s="372"/>
      <c r="Z98" s="372"/>
      <c r="AA98" s="372"/>
      <c r="AB98" s="372"/>
      <c r="AC98" s="372"/>
      <c r="AD98" s="372"/>
      <c r="AE98" s="372"/>
      <c r="AF98" s="372"/>
      <c r="AG98" s="372"/>
      <c r="AH98" s="372"/>
      <c r="AI98" s="372"/>
      <c r="AJ98" s="372"/>
      <c r="AK98" s="372"/>
      <c r="AL98" s="372"/>
      <c r="AM98" s="372"/>
      <c r="AN98" s="372"/>
      <c r="AO98" s="372"/>
      <c r="AP98" s="372"/>
      <c r="AS98" s="372"/>
      <c r="AT98" s="372"/>
      <c r="AU98" s="372"/>
      <c r="AV98" s="372"/>
      <c r="AW98" s="372"/>
      <c r="AX98" s="372"/>
      <c r="AY98" s="372"/>
      <c r="AZ98" s="372"/>
      <c r="BA98" s="372"/>
      <c r="BB98" s="372"/>
      <c r="BC98" s="372"/>
      <c r="BD98" s="372"/>
      <c r="BE98" s="372"/>
    </row>
    <row r="99" spans="16:57" x14ac:dyDescent="0.2">
      <c r="P99" s="372"/>
      <c r="Q99" s="372"/>
      <c r="R99" s="372"/>
      <c r="S99" s="372"/>
      <c r="T99" s="372"/>
      <c r="U99" s="372"/>
      <c r="V99" s="372"/>
      <c r="W99" s="372"/>
      <c r="X99" s="372"/>
      <c r="Y99" s="372"/>
      <c r="Z99" s="372"/>
      <c r="AA99" s="372"/>
      <c r="AB99" s="372"/>
      <c r="AC99" s="372"/>
      <c r="AD99" s="372"/>
      <c r="AE99" s="372"/>
      <c r="AF99" s="372"/>
      <c r="AG99" s="372"/>
      <c r="AH99" s="372"/>
      <c r="AI99" s="372"/>
      <c r="AJ99" s="372"/>
      <c r="AK99" s="372"/>
      <c r="AL99" s="372"/>
      <c r="AM99" s="372"/>
      <c r="AN99" s="372"/>
      <c r="AO99" s="372"/>
      <c r="AP99" s="372"/>
      <c r="AS99" s="372"/>
      <c r="AT99" s="372"/>
      <c r="AU99" s="372"/>
      <c r="AV99" s="372"/>
      <c r="AW99" s="372"/>
      <c r="AX99" s="372"/>
      <c r="AY99" s="372"/>
      <c r="AZ99" s="372"/>
      <c r="BA99" s="372"/>
      <c r="BB99" s="372"/>
      <c r="BC99" s="372"/>
      <c r="BD99" s="372"/>
      <c r="BE99" s="372"/>
    </row>
    <row r="100" spans="16:57" x14ac:dyDescent="0.2">
      <c r="P100" s="372"/>
      <c r="Q100" s="372"/>
      <c r="R100" s="372"/>
      <c r="S100" s="372"/>
      <c r="T100" s="372"/>
      <c r="U100" s="372"/>
      <c r="V100" s="372"/>
      <c r="W100" s="372"/>
      <c r="X100" s="372"/>
      <c r="Y100" s="372"/>
      <c r="Z100" s="372"/>
      <c r="AA100" s="372"/>
      <c r="AB100" s="372"/>
      <c r="AC100" s="372"/>
      <c r="AD100" s="372"/>
      <c r="AE100" s="372"/>
      <c r="AF100" s="372"/>
      <c r="AG100" s="372"/>
      <c r="AH100" s="372"/>
      <c r="AI100" s="372"/>
      <c r="AJ100" s="372"/>
      <c r="AK100" s="372"/>
      <c r="AL100" s="372"/>
      <c r="AM100" s="372"/>
      <c r="AN100" s="372"/>
      <c r="AO100" s="372"/>
      <c r="AP100" s="372"/>
      <c r="AS100" s="372"/>
      <c r="AT100" s="372"/>
      <c r="AU100" s="372"/>
      <c r="AV100" s="372"/>
      <c r="AW100" s="372"/>
      <c r="AX100" s="372"/>
      <c r="AY100" s="372"/>
      <c r="AZ100" s="372"/>
      <c r="BA100" s="372"/>
      <c r="BB100" s="372"/>
      <c r="BC100" s="372"/>
      <c r="BD100" s="372"/>
      <c r="BE100" s="372"/>
    </row>
  </sheetData>
  <mergeCells count="53">
    <mergeCell ref="B56:G56"/>
    <mergeCell ref="H56:N56"/>
    <mergeCell ref="B80:G81"/>
    <mergeCell ref="J80:N80"/>
    <mergeCell ref="J81:N81"/>
    <mergeCell ref="P51:Q51"/>
    <mergeCell ref="W51:X51"/>
    <mergeCell ref="P52:Q52"/>
    <mergeCell ref="W52:X52"/>
    <mergeCell ref="P53:Q53"/>
    <mergeCell ref="W53:X53"/>
    <mergeCell ref="D44:R44"/>
    <mergeCell ref="AF44:AG44"/>
    <mergeCell ref="AI48:AN48"/>
    <mergeCell ref="W49:X49"/>
    <mergeCell ref="AA49:AC49"/>
    <mergeCell ref="W50:X50"/>
    <mergeCell ref="AF41:AG41"/>
    <mergeCell ref="AI41:AJ41"/>
    <mergeCell ref="AF42:AG42"/>
    <mergeCell ref="AI42:AJ42"/>
    <mergeCell ref="AF43:AG43"/>
    <mergeCell ref="AI43:AJ43"/>
    <mergeCell ref="AI49:AN53"/>
    <mergeCell ref="AF38:AG38"/>
    <mergeCell ref="AI38:AJ38"/>
    <mergeCell ref="AF39:AG39"/>
    <mergeCell ref="AI39:AJ39"/>
    <mergeCell ref="AF40:AG40"/>
    <mergeCell ref="AI40:AJ40"/>
    <mergeCell ref="W36:AD36"/>
    <mergeCell ref="AF36:AK36"/>
    <mergeCell ref="W37:Y37"/>
    <mergeCell ref="Z37:AA37"/>
    <mergeCell ref="AB37:AC37"/>
    <mergeCell ref="AF37:AG37"/>
    <mergeCell ref="AI37:AJ37"/>
    <mergeCell ref="W34:AN34"/>
    <mergeCell ref="C3:F3"/>
    <mergeCell ref="G3:H3"/>
    <mergeCell ref="J3:M3"/>
    <mergeCell ref="O3:S3"/>
    <mergeCell ref="W3:AN3"/>
    <mergeCell ref="D5:E5"/>
    <mergeCell ref="G5:H5"/>
    <mergeCell ref="J5:K9"/>
    <mergeCell ref="O5:S5"/>
    <mergeCell ref="C6:C7"/>
    <mergeCell ref="C8:C9"/>
    <mergeCell ref="D8:D9"/>
    <mergeCell ref="E8:E9"/>
    <mergeCell ref="D11:L11"/>
    <mergeCell ref="M11:R11"/>
  </mergeCells>
  <phoneticPr fontId="15" type="noConversion"/>
  <dataValidations count="10">
    <dataValidation type="list" allowBlank="1" showInputMessage="1" showErrorMessage="1" sqref="B53" xr:uid="{F814D80E-D830-478F-A0D9-0E6EA2C2E5B6}">
      <formula1>Lifetime</formula1>
    </dataValidation>
    <dataValidation type="list" allowBlank="1" showInputMessage="1" showErrorMessage="1" sqref="B54" xr:uid="{F6C2CE92-6BB9-4862-925C-25E194C8D6BF}">
      <formula1>Construction</formula1>
    </dataValidation>
    <dataValidation type="list" allowBlank="1" showInputMessage="1" showErrorMessage="1" sqref="F46:F51" xr:uid="{8E97F4F9-77B1-487D-95FA-DC87E4F763DF}">
      <formula1>Currency</formula1>
    </dataValidation>
    <dataValidation type="list" allowBlank="1" showInputMessage="1" showErrorMessage="1" sqref="G46:G51" xr:uid="{F261296A-CE8E-420E-847A-908AE071F31C}">
      <formula1>Year</formula1>
    </dataValidation>
    <dataValidation type="list" allowBlank="1" showInputMessage="1" showErrorMessage="1" sqref="H46:H51" xr:uid="{122F5AF1-0848-4568-A5EB-10EB56167FBA}">
      <formula1>Location</formula1>
    </dataValidation>
    <dataValidation type="list" allowBlank="1" showInputMessage="1" showErrorMessage="1" sqref="I13:I43" xr:uid="{B4AF566D-7939-4EB4-8354-603B90E403BC}">
      <formula1>INDIRECT(IF($D13="Heat Exchanger",SUBSTITUTE($D13," ","")&amp;"_"&amp;SUBSTITUTE(SUBSTITUTE($E13,",","")," ","")&amp;"_Material",SUBSTITUTE($D13," ","")&amp;"_Material"))</formula1>
    </dataValidation>
    <dataValidation type="list" allowBlank="1" showInputMessage="1" showErrorMessage="1" sqref="E21" xr:uid="{C1D321EB-AF97-4014-AF25-0DA0A7ADC0DC}">
      <formula1>INDIRECT(SUBSTITUTE($D22," ",""))</formula1>
    </dataValidation>
    <dataValidation type="list" allowBlank="1" showInputMessage="1" showErrorMessage="1" sqref="E8:E9" xr:uid="{74B64FE6-49DA-4840-8CBD-45F779A9757B}">
      <formula1>Case</formula1>
    </dataValidation>
    <dataValidation type="list" allowBlank="1" showInputMessage="1" showErrorMessage="1" sqref="E22:E43 E13:E20" xr:uid="{3CB9150F-CD28-4980-AC50-7BF49D260503}">
      <formula1>INDIRECT(SUBSTITUTE($D13," ",""))</formula1>
    </dataValidation>
    <dataValidation type="list" allowBlank="1" showInputMessage="1" showErrorMessage="1" sqref="D22:D43 D13:D20" xr:uid="{2481419C-C265-428D-9945-3EA8A63EDC3C}">
      <formula1>Equipment</formula1>
    </dataValidation>
  </dataValidations>
  <pageMargins left="0.7" right="0.7" top="0.75" bottom="0.75" header="0.3" footer="0.3"/>
  <pageSetup paperSize="9" orientation="portrait" verticalDpi="1200" r:id="rId1"/>
  <ignoredErrors>
    <ignoredError sqref="T13:T4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73409" r:id="rId4" name="Button 1">
              <controlPr defaultSize="0" print="0" autoFill="0" autoPict="0" macro="[0]!Plant">
                <anchor moveWithCells="1" sizeWithCells="1">
                  <from>
                    <xdr:col>2</xdr:col>
                    <xdr:colOff>63500</xdr:colOff>
                    <xdr:row>7</xdr:row>
                    <xdr:rowOff>25400</xdr:rowOff>
                  </from>
                  <to>
                    <xdr:col>2</xdr:col>
                    <xdr:colOff>1320800</xdr:colOff>
                    <xdr:row>8</xdr:row>
                    <xdr:rowOff>177800</xdr:rowOff>
                  </to>
                </anchor>
              </controlPr>
            </control>
          </mc:Choice>
        </mc:AlternateContent>
      </controls>
    </mc:Choice>
  </mc:AlternateContent>
  <tableParts count="3">
    <tablePart r:id="rId5"/>
    <tablePart r:id="rId6"/>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F72D8-8F38-453E-9E9D-3480F63A9C28}">
  <sheetPr codeName="Hoja31"/>
  <dimension ref="A1:BE100"/>
  <sheetViews>
    <sheetView showGridLines="0" topLeftCell="K1" zoomScale="40" zoomScaleNormal="40" workbookViewId="0">
      <selection activeCell="S7" sqref="S7"/>
    </sheetView>
  </sheetViews>
  <sheetFormatPr baseColWidth="10" defaultColWidth="11.1640625" defaultRowHeight="15" x14ac:dyDescent="0.2"/>
  <cols>
    <col min="1" max="2" width="3.33203125" customWidth="1"/>
    <col min="3" max="19" width="19.6640625" customWidth="1"/>
    <col min="20" max="22" width="4" customWidth="1"/>
    <col min="23" max="40" width="12.83203125" customWidth="1"/>
    <col min="41" max="41" width="3.1640625" customWidth="1"/>
    <col min="43" max="43" width="11.1640625" style="372"/>
    <col min="44" max="44" width="11.1640625" style="372" customWidth="1"/>
  </cols>
  <sheetData>
    <row r="1" spans="1:44" ht="16.25" customHeight="1" x14ac:dyDescent="0.2">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15"/>
      <c r="AR1" s="371"/>
    </row>
    <row r="2" spans="1:44" ht="16.25" customHeight="1" x14ac:dyDescent="0.2">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15"/>
      <c r="AR2" s="371"/>
    </row>
    <row r="3" spans="1:44" ht="16.25" customHeight="1" x14ac:dyDescent="0.2">
      <c r="A3" s="83"/>
      <c r="B3" s="103"/>
      <c r="C3" s="917" t="s">
        <v>140</v>
      </c>
      <c r="D3" s="918"/>
      <c r="E3" s="918"/>
      <c r="F3" s="918"/>
      <c r="G3" s="917" t="s">
        <v>141</v>
      </c>
      <c r="H3" s="919"/>
      <c r="J3" s="917" t="s">
        <v>142</v>
      </c>
      <c r="K3" s="918"/>
      <c r="L3" s="918"/>
      <c r="M3" s="919"/>
      <c r="N3" s="186"/>
      <c r="O3" s="917" t="str">
        <f>+E6</f>
        <v>PSA</v>
      </c>
      <c r="P3" s="918"/>
      <c r="Q3" s="918"/>
      <c r="R3" s="918"/>
      <c r="S3" s="919"/>
      <c r="T3" s="104"/>
      <c r="U3" s="104"/>
      <c r="V3" s="83"/>
      <c r="W3" s="970" t="str">
        <f>+E6&amp;" Diagram"</f>
        <v>PSA Diagram</v>
      </c>
      <c r="X3" s="971"/>
      <c r="Y3" s="971"/>
      <c r="Z3" s="971"/>
      <c r="AA3" s="971"/>
      <c r="AB3" s="971"/>
      <c r="AC3" s="971"/>
      <c r="AD3" s="971"/>
      <c r="AE3" s="971"/>
      <c r="AF3" s="971"/>
      <c r="AG3" s="971"/>
      <c r="AH3" s="971"/>
      <c r="AI3" s="971"/>
      <c r="AJ3" s="971"/>
      <c r="AK3" s="971"/>
      <c r="AL3" s="971"/>
      <c r="AM3" s="971"/>
      <c r="AN3" s="972"/>
      <c r="AO3" s="104"/>
      <c r="AP3" s="83"/>
      <c r="AQ3" s="215"/>
      <c r="AR3" s="371"/>
    </row>
    <row r="4" spans="1:44" ht="16.25" customHeight="1" x14ac:dyDescent="0.2">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15"/>
      <c r="AR4" s="371"/>
    </row>
    <row r="5" spans="1:44" ht="16.25" customHeight="1" x14ac:dyDescent="0.2">
      <c r="A5" s="83"/>
      <c r="B5" s="103"/>
      <c r="C5" s="83"/>
      <c r="D5" s="920" t="s">
        <v>143</v>
      </c>
      <c r="E5" s="921"/>
      <c r="F5" s="83"/>
      <c r="G5" s="920" t="s">
        <v>40</v>
      </c>
      <c r="H5" s="921"/>
      <c r="J5" s="973"/>
      <c r="K5" s="974"/>
      <c r="L5" s="190" t="s">
        <v>144</v>
      </c>
      <c r="M5" s="191" t="s">
        <v>145</v>
      </c>
      <c r="N5" s="394"/>
      <c r="O5" s="833" t="s">
        <v>82</v>
      </c>
      <c r="P5" s="834"/>
      <c r="Q5" s="834"/>
      <c r="R5" s="834"/>
      <c r="S5" s="835"/>
      <c r="T5" s="104"/>
      <c r="U5" s="104"/>
      <c r="V5" s="83"/>
      <c r="W5" s="83"/>
      <c r="X5" s="83"/>
      <c r="Y5" s="83"/>
      <c r="Z5" s="83"/>
      <c r="AA5" s="83"/>
      <c r="AB5" s="83"/>
      <c r="AC5" s="83"/>
      <c r="AD5" s="83"/>
      <c r="AE5" s="83"/>
      <c r="AF5" s="83"/>
      <c r="AG5" s="83"/>
      <c r="AH5" s="83"/>
      <c r="AI5" s="83"/>
      <c r="AJ5" s="83"/>
      <c r="AK5" s="83"/>
      <c r="AL5" s="83"/>
      <c r="AM5" s="83"/>
      <c r="AN5" s="83"/>
      <c r="AO5" s="104"/>
      <c r="AP5" s="83"/>
      <c r="AQ5" s="215"/>
      <c r="AR5" s="371"/>
    </row>
    <row r="6" spans="1:44" ht="16.25" customHeight="1" x14ac:dyDescent="0.2">
      <c r="A6" s="83"/>
      <c r="B6" s="103"/>
      <c r="C6" s="979" t="s">
        <v>146</v>
      </c>
      <c r="D6" s="242" t="s">
        <v>147</v>
      </c>
      <c r="E6" s="409" t="str">
        <f>+'Plant Overview'!V40</f>
        <v>PSA</v>
      </c>
      <c r="F6" s="83"/>
      <c r="G6" s="85"/>
      <c r="H6" s="324" t="s">
        <v>43</v>
      </c>
      <c r="J6" s="975"/>
      <c r="K6" s="976"/>
      <c r="L6" s="169" t="s">
        <v>148</v>
      </c>
      <c r="M6" s="86" t="s">
        <v>149</v>
      </c>
      <c r="N6" s="394"/>
      <c r="O6" s="488"/>
      <c r="P6" s="394"/>
      <c r="Q6" s="394"/>
      <c r="R6" s="394"/>
      <c r="S6" s="489"/>
      <c r="T6" s="104"/>
      <c r="U6" s="104"/>
      <c r="V6" s="83"/>
      <c r="W6" s="83"/>
      <c r="X6" s="83"/>
      <c r="Y6" s="83"/>
      <c r="Z6" s="83"/>
      <c r="AA6" s="83"/>
      <c r="AB6" s="83"/>
      <c r="AC6" s="83"/>
      <c r="AD6" s="83"/>
      <c r="AE6" s="83"/>
      <c r="AF6" s="83"/>
      <c r="AG6" s="83"/>
      <c r="AH6" s="83"/>
      <c r="AI6" s="83"/>
      <c r="AJ6" s="83"/>
      <c r="AK6" s="83"/>
      <c r="AL6" s="83"/>
      <c r="AM6" s="83"/>
      <c r="AN6" s="83"/>
      <c r="AO6" s="104"/>
      <c r="AP6" s="83"/>
      <c r="AQ6" s="215"/>
      <c r="AR6" s="371"/>
    </row>
    <row r="7" spans="1:44" ht="16.25" customHeight="1" x14ac:dyDescent="0.2">
      <c r="A7" s="83"/>
      <c r="B7" s="103"/>
      <c r="C7" s="980"/>
      <c r="D7" s="242" t="s">
        <v>150</v>
      </c>
      <c r="E7" s="409" t="str">
        <f>+'Plant Overview'!W40</f>
        <v>U-400</v>
      </c>
      <c r="F7" s="83"/>
      <c r="G7" s="95"/>
      <c r="H7" s="324" t="s">
        <v>49</v>
      </c>
      <c r="J7" s="975"/>
      <c r="K7" s="976"/>
      <c r="L7" s="190" t="s">
        <v>151</v>
      </c>
      <c r="M7" s="191" t="s">
        <v>152</v>
      </c>
      <c r="N7" s="394"/>
      <c r="O7" s="488"/>
      <c r="P7" s="394"/>
      <c r="Q7" s="394"/>
      <c r="R7" s="394"/>
      <c r="S7" s="489"/>
      <c r="T7" s="104"/>
      <c r="U7" s="104"/>
      <c r="V7" s="83"/>
      <c r="W7" s="83"/>
      <c r="X7" s="83"/>
      <c r="Y7" s="83"/>
      <c r="Z7" s="83"/>
      <c r="AA7" s="83"/>
      <c r="AB7" s="83"/>
      <c r="AC7" s="83"/>
      <c r="AD7" s="83"/>
      <c r="AE7" s="83"/>
      <c r="AF7" s="83"/>
      <c r="AG7" s="83"/>
      <c r="AH7" s="83"/>
      <c r="AI7" s="83"/>
      <c r="AJ7" s="83"/>
      <c r="AK7" s="83"/>
      <c r="AL7" s="83"/>
      <c r="AM7" s="83"/>
      <c r="AN7" s="83"/>
      <c r="AO7" s="104"/>
      <c r="AP7" s="83"/>
      <c r="AQ7" s="215"/>
      <c r="AR7" s="371"/>
    </row>
    <row r="8" spans="1:44" ht="16.25" customHeight="1" x14ac:dyDescent="0.2">
      <c r="A8" s="83"/>
      <c r="B8" s="103"/>
      <c r="C8" s="880"/>
      <c r="D8" s="981" t="s">
        <v>153</v>
      </c>
      <c r="E8" s="983" t="s">
        <v>398</v>
      </c>
      <c r="F8" s="83"/>
      <c r="G8" s="94"/>
      <c r="H8" s="98" t="s">
        <v>51</v>
      </c>
      <c r="J8" s="975"/>
      <c r="K8" s="976"/>
      <c r="L8" s="190" t="s">
        <v>155</v>
      </c>
      <c r="M8" s="191" t="s">
        <v>156</v>
      </c>
      <c r="N8" s="394"/>
      <c r="O8" s="488"/>
      <c r="P8" s="394"/>
      <c r="Q8" s="394"/>
      <c r="R8" s="394"/>
      <c r="S8" s="489"/>
      <c r="T8" s="104"/>
      <c r="U8" s="104"/>
      <c r="V8" s="83"/>
      <c r="W8" s="83"/>
      <c r="X8" s="83"/>
      <c r="Y8" s="83"/>
      <c r="Z8" s="83"/>
      <c r="AA8" s="83"/>
      <c r="AB8" s="83"/>
      <c r="AC8" s="83"/>
      <c r="AD8" s="83"/>
      <c r="AE8" s="83"/>
      <c r="AF8" s="83"/>
      <c r="AG8" s="83"/>
      <c r="AH8" s="83"/>
      <c r="AI8" s="83"/>
      <c r="AJ8" s="83"/>
      <c r="AK8" s="83"/>
      <c r="AL8" s="83"/>
      <c r="AM8" s="83"/>
      <c r="AN8" s="83"/>
      <c r="AO8" s="104"/>
      <c r="AP8" s="83"/>
      <c r="AQ8" s="215"/>
      <c r="AR8" s="371"/>
    </row>
    <row r="9" spans="1:44" ht="16.25" customHeight="1" x14ac:dyDescent="0.2">
      <c r="A9" s="83"/>
      <c r="B9" s="103"/>
      <c r="C9" s="881"/>
      <c r="D9" s="982"/>
      <c r="E9" s="984"/>
      <c r="F9" s="83"/>
      <c r="G9" s="108"/>
      <c r="H9" s="310" t="s">
        <v>54</v>
      </c>
      <c r="J9" s="977"/>
      <c r="K9" s="978"/>
      <c r="L9" s="190" t="s">
        <v>157</v>
      </c>
      <c r="M9" s="191" t="s">
        <v>158</v>
      </c>
      <c r="N9" s="394"/>
      <c r="O9" s="490"/>
      <c r="P9" s="491"/>
      <c r="Q9" s="491"/>
      <c r="R9" s="491"/>
      <c r="S9" s="492"/>
      <c r="T9" s="104"/>
      <c r="U9" s="104"/>
      <c r="V9" s="83"/>
      <c r="W9" s="83"/>
      <c r="X9" s="83"/>
      <c r="Y9" s="83"/>
      <c r="Z9" s="83"/>
      <c r="AA9" s="83"/>
      <c r="AB9" s="83"/>
      <c r="AC9" s="83"/>
      <c r="AD9" s="83"/>
      <c r="AE9" s="83"/>
      <c r="AF9" s="83"/>
      <c r="AG9" s="83"/>
      <c r="AH9" s="83"/>
      <c r="AI9" s="83"/>
      <c r="AJ9" s="83"/>
      <c r="AK9" s="83"/>
      <c r="AL9" s="83"/>
      <c r="AM9" s="83"/>
      <c r="AN9" s="83"/>
      <c r="AO9" s="104"/>
      <c r="AP9" s="83"/>
      <c r="AQ9" s="215"/>
      <c r="AR9" s="371"/>
    </row>
    <row r="10" spans="1:44" ht="16.25" customHeight="1" x14ac:dyDescent="0.2">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15"/>
      <c r="AR10" s="371"/>
    </row>
    <row r="11" spans="1:44" ht="16.25" customHeight="1" x14ac:dyDescent="0.2">
      <c r="A11" s="83"/>
      <c r="B11" s="103"/>
      <c r="C11" s="83"/>
      <c r="D11" s="917" t="s">
        <v>159</v>
      </c>
      <c r="E11" s="918"/>
      <c r="F11" s="918"/>
      <c r="G11" s="918"/>
      <c r="H11" s="918"/>
      <c r="I11" s="918"/>
      <c r="J11" s="918"/>
      <c r="K11" s="918"/>
      <c r="L11" s="919"/>
      <c r="M11" s="917" t="s">
        <v>160</v>
      </c>
      <c r="N11" s="918"/>
      <c r="O11" s="918"/>
      <c r="P11" s="918"/>
      <c r="Q11" s="918"/>
      <c r="R11" s="919"/>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15"/>
      <c r="AR11" s="371"/>
    </row>
    <row r="12" spans="1:44" ht="16.25" customHeight="1" x14ac:dyDescent="0.2">
      <c r="A12" s="83"/>
      <c r="B12" s="103"/>
      <c r="C12" s="416" t="s">
        <v>161</v>
      </c>
      <c r="D12" s="572" t="s">
        <v>141</v>
      </c>
      <c r="E12" s="572" t="s">
        <v>162</v>
      </c>
      <c r="F12" s="417" t="s">
        <v>163</v>
      </c>
      <c r="G12" s="417" t="s">
        <v>164</v>
      </c>
      <c r="H12" s="418" t="s">
        <v>75</v>
      </c>
      <c r="I12" s="572" t="s">
        <v>165</v>
      </c>
      <c r="J12" s="569" t="s">
        <v>166</v>
      </c>
      <c r="K12" s="417" t="s">
        <v>167</v>
      </c>
      <c r="L12" s="417" t="s">
        <v>168</v>
      </c>
      <c r="M12" s="420" t="s">
        <v>169</v>
      </c>
      <c r="N12" s="420" t="s">
        <v>170</v>
      </c>
      <c r="O12" s="420" t="s">
        <v>171</v>
      </c>
      <c r="P12" s="420" t="s">
        <v>172</v>
      </c>
      <c r="Q12" s="420" t="s">
        <v>173</v>
      </c>
      <c r="R12" s="419" t="s">
        <v>174</v>
      </c>
      <c r="S12" s="420" t="s">
        <v>175</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15"/>
      <c r="AR12" s="371"/>
    </row>
    <row r="13" spans="1:44" ht="16.25" customHeight="1" x14ac:dyDescent="0.2">
      <c r="A13" s="83"/>
      <c r="B13" s="103"/>
      <c r="C13" s="182" t="s">
        <v>399</v>
      </c>
      <c r="D13" s="208" t="s">
        <v>189</v>
      </c>
      <c r="E13" s="208" t="s">
        <v>190</v>
      </c>
      <c r="F13" s="152">
        <v>11980</v>
      </c>
      <c r="G13" s="96" t="s">
        <v>187</v>
      </c>
      <c r="H13" s="96" t="s">
        <v>186</v>
      </c>
      <c r="I13" s="96" t="s">
        <v>180</v>
      </c>
      <c r="J13" s="96" t="str">
        <f>+IF(F13&gt;'Equipment Data'!$J$19,"yes","No")</f>
        <v>yes</v>
      </c>
      <c r="K13" s="96">
        <v>0.67</v>
      </c>
      <c r="L13" s="96" t="s">
        <v>187</v>
      </c>
      <c r="M13" s="156">
        <f>+IF(AND(D13="Compressor",E13="Centrifugal"),IF(F13&lt;'Equipment Data'!$J$19,10^('Equipment Data'!$C$19+'Equipment Data'!$D$19*LOG10(F13)+'Equipment Data'!$E$19*LOG10(F13)*LOG10(F13)),10^('Equipment Data'!$C$19+'Equipment Data'!$D$19*LOG10('Equipment Data'!$J$19)+'Equipment Data'!$E$19*LOG10('Equipment Data'!$J$19)*LOG10('Equipment Data'!$J$19))*(F13/'Equipment Data'!$J$19)^K13),"N/A")</f>
        <v>1515616.6071838811</v>
      </c>
      <c r="N13" s="96" t="s">
        <v>187</v>
      </c>
      <c r="O13" s="158" t="s">
        <v>187</v>
      </c>
      <c r="P13" s="152">
        <f>+IF(I13="CS",'Equipment Data'!$F$19,IF(I13="SS",'Equipment Data'!$G$19,IF(I13="Ni",'Equipment Data'!$H$19,"N/A")))</f>
        <v>11.45</v>
      </c>
      <c r="Q13" s="153">
        <f t="shared" ref="Q13:Q18" si="0">+M13*P13</f>
        <v>17353810.152255438</v>
      </c>
      <c r="R13" s="151">
        <v>1</v>
      </c>
      <c r="S13" s="199">
        <f>+IF(Tabla25879012013563[[#This Row],[Equipment]]="","",Q13*R13/10^6)</f>
        <v>17.353810152255438</v>
      </c>
      <c r="T13" s="587">
        <f ca="1">+$S$52/$R$52*S13</f>
        <v>28.010324457751672</v>
      </c>
      <c r="U13" s="104"/>
      <c r="V13" s="83"/>
      <c r="W13" s="83"/>
      <c r="X13" s="83"/>
      <c r="Y13" s="83"/>
      <c r="Z13" s="83"/>
      <c r="AA13" s="83"/>
      <c r="AB13" s="83"/>
      <c r="AC13" s="83"/>
      <c r="AD13" s="83"/>
      <c r="AE13" s="83"/>
      <c r="AF13" s="83"/>
      <c r="AG13" s="83"/>
      <c r="AH13" s="83"/>
      <c r="AI13" s="83"/>
      <c r="AJ13" s="83"/>
      <c r="AK13" s="83"/>
      <c r="AL13" s="83"/>
      <c r="AM13" s="83"/>
      <c r="AN13" s="83"/>
      <c r="AO13" s="104"/>
      <c r="AP13" s="83"/>
      <c r="AQ13" s="215"/>
      <c r="AR13" s="371"/>
    </row>
    <row r="14" spans="1:44" ht="16.25" customHeight="1" x14ac:dyDescent="0.2">
      <c r="A14" s="83"/>
      <c r="B14" s="103"/>
      <c r="C14" s="99"/>
      <c r="D14" s="208"/>
      <c r="E14" s="208"/>
      <c r="F14" s="152"/>
      <c r="G14" s="96"/>
      <c r="H14" s="96"/>
      <c r="I14" s="96"/>
      <c r="J14" s="96"/>
      <c r="K14" s="96"/>
      <c r="L14" s="96"/>
      <c r="M14" s="156"/>
      <c r="N14" s="96"/>
      <c r="O14" s="158"/>
      <c r="P14" s="152"/>
      <c r="Q14" s="153"/>
      <c r="R14" s="97"/>
      <c r="S14" s="193" t="str">
        <f>+IF(Tabla25879012013563[[#This Row],[Equipment]]="","",Q14*R14/10^6)</f>
        <v/>
      </c>
      <c r="T14" s="587" t="e">
        <f t="shared" ref="T14:T43" ca="1" si="1">+$S$52/$R$52*S14</f>
        <v>#VALUE!</v>
      </c>
      <c r="U14" s="104"/>
      <c r="V14" s="83"/>
      <c r="W14" s="83"/>
      <c r="X14" s="83"/>
      <c r="Y14" s="83"/>
      <c r="Z14" s="83"/>
      <c r="AA14" s="83"/>
      <c r="AB14" s="83"/>
      <c r="AC14" s="83"/>
      <c r="AD14" s="83"/>
      <c r="AE14" s="83"/>
      <c r="AF14" s="83"/>
      <c r="AG14" s="83"/>
      <c r="AH14" s="83"/>
      <c r="AI14" s="83"/>
      <c r="AJ14" s="83"/>
      <c r="AK14" s="83"/>
      <c r="AL14" s="83"/>
      <c r="AM14" s="83"/>
      <c r="AN14" s="83"/>
      <c r="AO14" s="104"/>
      <c r="AP14" s="83"/>
      <c r="AQ14" s="215"/>
      <c r="AR14" s="371"/>
    </row>
    <row r="15" spans="1:44" ht="16.25" customHeight="1" x14ac:dyDescent="0.2">
      <c r="A15" s="83"/>
      <c r="B15" s="103"/>
      <c r="C15" s="99"/>
      <c r="D15" s="208"/>
      <c r="E15" s="208"/>
      <c r="F15" s="152"/>
      <c r="G15" s="96"/>
      <c r="H15" s="96"/>
      <c r="I15" s="96"/>
      <c r="J15" s="96"/>
      <c r="K15" s="96"/>
      <c r="L15" s="96"/>
      <c r="M15" s="156"/>
      <c r="N15" s="96"/>
      <c r="O15" s="158"/>
      <c r="P15" s="152"/>
      <c r="Q15" s="153"/>
      <c r="R15" s="97"/>
      <c r="S15" s="193" t="str">
        <f>+IF(Tabla25879012013563[[#This Row],[Equipment]]="","",Q15*R15/10^6)</f>
        <v/>
      </c>
      <c r="T15" s="587" t="e">
        <f t="shared" ca="1" si="1"/>
        <v>#VALUE!</v>
      </c>
      <c r="U15" s="104"/>
      <c r="V15" s="83"/>
      <c r="W15" s="83"/>
      <c r="X15" s="83"/>
      <c r="Y15" s="83"/>
      <c r="Z15" s="83"/>
      <c r="AA15" s="83"/>
      <c r="AB15" s="83"/>
      <c r="AC15" s="83"/>
      <c r="AD15" s="83"/>
      <c r="AE15" s="83"/>
      <c r="AF15" s="83"/>
      <c r="AG15" s="83"/>
      <c r="AH15" s="83"/>
      <c r="AI15" s="83"/>
      <c r="AJ15" s="83"/>
      <c r="AK15" s="83"/>
      <c r="AL15" s="83"/>
      <c r="AM15" s="83"/>
      <c r="AN15" s="83"/>
      <c r="AO15" s="104"/>
      <c r="AP15" s="83"/>
      <c r="AQ15" s="215"/>
      <c r="AR15" s="371"/>
    </row>
    <row r="16" spans="1:44" ht="16.25" customHeight="1" x14ac:dyDescent="0.2">
      <c r="A16" s="83"/>
      <c r="B16" s="103"/>
      <c r="C16" s="99"/>
      <c r="D16" s="208"/>
      <c r="E16" s="208"/>
      <c r="F16" s="152"/>
      <c r="G16" s="96"/>
      <c r="H16" s="96"/>
      <c r="I16" s="96"/>
      <c r="J16" s="96"/>
      <c r="K16" s="96"/>
      <c r="L16" s="96"/>
      <c r="M16" s="156"/>
      <c r="N16" s="96"/>
      <c r="O16" s="158"/>
      <c r="P16" s="152"/>
      <c r="Q16" s="153"/>
      <c r="R16" s="97"/>
      <c r="S16" s="193" t="str">
        <f>+IF(Tabla25879012013563[[#This Row],[Equipment]]="","",Q16*R16/10^6)</f>
        <v/>
      </c>
      <c r="T16" s="587" t="e">
        <f t="shared" ca="1" si="1"/>
        <v>#VALUE!</v>
      </c>
      <c r="U16" s="104"/>
      <c r="V16" s="83"/>
      <c r="W16" s="83"/>
      <c r="X16" s="83"/>
      <c r="Y16" s="83"/>
      <c r="Z16" s="83"/>
      <c r="AA16" s="83"/>
      <c r="AB16" s="83"/>
      <c r="AC16" s="83"/>
      <c r="AD16" s="83"/>
      <c r="AE16" s="83"/>
      <c r="AF16" s="83"/>
      <c r="AG16" s="83"/>
      <c r="AH16" s="83"/>
      <c r="AI16" s="83"/>
      <c r="AJ16" s="83"/>
      <c r="AK16" s="83"/>
      <c r="AL16" s="83"/>
      <c r="AM16" s="83"/>
      <c r="AN16" s="83"/>
      <c r="AO16" s="104"/>
      <c r="AP16" s="83"/>
      <c r="AQ16" s="215"/>
      <c r="AR16" s="371"/>
    </row>
    <row r="17" spans="1:44" ht="16.25" customHeight="1" x14ac:dyDescent="0.2">
      <c r="A17" s="83"/>
      <c r="B17" s="103"/>
      <c r="C17" s="99"/>
      <c r="D17" s="208"/>
      <c r="E17" s="208"/>
      <c r="F17" s="152"/>
      <c r="G17" s="96"/>
      <c r="H17" s="96"/>
      <c r="I17" s="96"/>
      <c r="J17" s="96"/>
      <c r="K17" s="96"/>
      <c r="L17" s="96"/>
      <c r="M17" s="156"/>
      <c r="N17" s="96"/>
      <c r="O17" s="158"/>
      <c r="P17" s="152"/>
      <c r="Q17" s="153"/>
      <c r="R17" s="97"/>
      <c r="S17" s="193" t="str">
        <f>+IF(Tabla25879012013563[[#This Row],[Equipment]]="","",Q17*R17/10^6)</f>
        <v/>
      </c>
      <c r="T17" s="587" t="e">
        <f t="shared" ca="1" si="1"/>
        <v>#VALUE!</v>
      </c>
      <c r="U17" s="104"/>
      <c r="V17" s="83"/>
      <c r="W17" s="83"/>
      <c r="X17" s="83"/>
      <c r="Y17" s="83"/>
      <c r="Z17" s="83"/>
      <c r="AA17" s="83"/>
      <c r="AB17" s="83"/>
      <c r="AC17" s="83"/>
      <c r="AD17" s="83"/>
      <c r="AE17" s="83"/>
      <c r="AF17" s="83"/>
      <c r="AG17" s="83"/>
      <c r="AH17" s="83"/>
      <c r="AI17" s="83"/>
      <c r="AJ17" s="83"/>
      <c r="AK17" s="83"/>
      <c r="AL17" s="83"/>
      <c r="AM17" s="83"/>
      <c r="AN17" s="83"/>
      <c r="AO17" s="104"/>
      <c r="AP17" s="83"/>
      <c r="AQ17" s="215"/>
      <c r="AR17" s="371"/>
    </row>
    <row r="18" spans="1:44" ht="16.25" customHeight="1" x14ac:dyDescent="0.2">
      <c r="A18" s="83"/>
      <c r="B18" s="103"/>
      <c r="C18" s="99" t="str">
        <f>+W38</f>
        <v>C-401</v>
      </c>
      <c r="D18" s="208" t="s">
        <v>194</v>
      </c>
      <c r="E18" s="208" t="s">
        <v>195</v>
      </c>
      <c r="F18" s="152">
        <f>+X38*1000/3600/AD38</f>
        <v>823.4651348929774</v>
      </c>
      <c r="G18" s="96">
        <f>+Z38</f>
        <v>68</v>
      </c>
      <c r="H18" s="96" t="s">
        <v>196</v>
      </c>
      <c r="I18" s="96" t="s">
        <v>284</v>
      </c>
      <c r="J18" s="96" t="str">
        <f>+IF(F18&gt;'Equipment Data'!$L$126,"yes","No")</f>
        <v>No</v>
      </c>
      <c r="K18" s="96">
        <v>0.67</v>
      </c>
      <c r="L18" s="96" t="s">
        <v>289</v>
      </c>
      <c r="M18" s="156">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67658.252981640209</v>
      </c>
      <c r="N18" s="152">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1.0664049347323155</v>
      </c>
      <c r="O18" s="96">
        <f>+IF(I18="CS/CS",'Equipment Data'!$C$149,IF(I18="CS/Cu",'Equipment Data'!$D$149,IF(I18="Cu/Cu",'Equipment Data'!$E$149,IF(I18="CS/SS",'Equipment Data'!$F$149,IF(I18="SS/SS",'Equipment Data'!$G$149,IF(I18="CS/Ni",'Equipment Data'!$H$149,IF(I18="Ni/Ni",'Equipment Data'!$I$149,IF(I18="CS/Ti",'Equipment Data'!$J$149,IF(I18="Ti/Ti",'Equipment Data'!$K$149,"N/A")))))))))</f>
        <v>2.68</v>
      </c>
      <c r="P18" s="152">
        <f>+'Equipment Data'!$I$126+'Equipment Data'!$J$126*N18*O18</f>
        <v>6.374222273637125</v>
      </c>
      <c r="Q18" s="153">
        <f t="shared" si="0"/>
        <v>431268.74315094645</v>
      </c>
      <c r="R18" s="97">
        <v>1</v>
      </c>
      <c r="S18" s="193">
        <f>+IF(Tabla25879012013563[[#This Row],[Equipment]]="","",Q18*R18/10^6)</f>
        <v>0.43126874315094643</v>
      </c>
      <c r="T18" s="587">
        <f t="shared" ca="1" si="1"/>
        <v>0.69609943396636553</v>
      </c>
      <c r="U18" s="104"/>
      <c r="V18" s="83"/>
      <c r="W18" s="83"/>
      <c r="X18" s="83"/>
      <c r="Y18" s="83"/>
      <c r="Z18" s="83"/>
      <c r="AA18" s="83"/>
      <c r="AB18" s="83"/>
      <c r="AC18" s="83"/>
      <c r="AD18" s="83"/>
      <c r="AE18" s="83"/>
      <c r="AF18" s="83"/>
      <c r="AG18" s="83"/>
      <c r="AH18" s="83"/>
      <c r="AI18" s="83"/>
      <c r="AJ18" s="83"/>
      <c r="AK18" s="83"/>
      <c r="AL18" s="83"/>
      <c r="AM18" s="83"/>
      <c r="AN18" s="83"/>
      <c r="AO18" s="104"/>
      <c r="AP18" s="83"/>
      <c r="AQ18" s="215"/>
      <c r="AR18" s="371"/>
    </row>
    <row r="19" spans="1:44" ht="16.25" customHeight="1" x14ac:dyDescent="0.2">
      <c r="A19" s="83"/>
      <c r="B19" s="103"/>
      <c r="C19" s="99"/>
      <c r="D19" s="208"/>
      <c r="E19" s="208"/>
      <c r="F19" s="152"/>
      <c r="G19" s="96"/>
      <c r="H19" s="96"/>
      <c r="I19" s="96"/>
      <c r="J19" s="96"/>
      <c r="K19" s="96"/>
      <c r="L19" s="96"/>
      <c r="M19" s="156"/>
      <c r="N19" s="152"/>
      <c r="O19" s="96"/>
      <c r="P19" s="152"/>
      <c r="Q19" s="153"/>
      <c r="R19" s="97"/>
      <c r="S19" s="193" t="str">
        <f>+IF(Tabla25879012013563[[#This Row],[Equipment]]="","",Q19*R19/10^6)</f>
        <v/>
      </c>
      <c r="T19" s="587" t="e">
        <f t="shared" ca="1" si="1"/>
        <v>#VALUE!</v>
      </c>
      <c r="U19" s="104"/>
      <c r="V19" s="83"/>
      <c r="W19" s="83"/>
      <c r="X19" s="83"/>
      <c r="Y19" s="83"/>
      <c r="Z19" s="83"/>
      <c r="AA19" s="83"/>
      <c r="AB19" s="83"/>
      <c r="AC19" s="83"/>
      <c r="AD19" s="83"/>
      <c r="AE19" s="83"/>
      <c r="AF19" s="83"/>
      <c r="AG19" s="83"/>
      <c r="AH19" s="83"/>
      <c r="AI19" s="83"/>
      <c r="AJ19" s="83"/>
      <c r="AK19" s="83"/>
      <c r="AL19" s="83"/>
      <c r="AM19" s="83"/>
      <c r="AN19" s="83"/>
      <c r="AO19" s="104"/>
      <c r="AP19" s="83"/>
      <c r="AQ19" s="215"/>
      <c r="AR19" s="371"/>
    </row>
    <row r="20" spans="1:44" ht="16.25" customHeight="1" x14ac:dyDescent="0.2">
      <c r="A20" s="83"/>
      <c r="B20" s="103"/>
      <c r="C20" s="99"/>
      <c r="D20" s="208"/>
      <c r="E20" s="208"/>
      <c r="F20" s="152"/>
      <c r="G20" s="96"/>
      <c r="H20" s="96"/>
      <c r="I20" s="96"/>
      <c r="J20" s="96"/>
      <c r="K20" s="96"/>
      <c r="L20" s="96"/>
      <c r="M20" s="156"/>
      <c r="N20" s="152"/>
      <c r="O20" s="96"/>
      <c r="P20" s="152"/>
      <c r="Q20" s="153"/>
      <c r="R20" s="97"/>
      <c r="S20" s="193" t="str">
        <f>+IF(Tabla25879012013563[[#This Row],[Equipment]]="","",Q20*R20/10^6)</f>
        <v/>
      </c>
      <c r="T20" s="587" t="e">
        <f t="shared" ca="1" si="1"/>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15"/>
      <c r="AR20" s="371"/>
    </row>
    <row r="21" spans="1:44" ht="16.25" customHeight="1" x14ac:dyDescent="0.2">
      <c r="A21" s="83"/>
      <c r="B21" s="103"/>
      <c r="C21" s="99"/>
      <c r="D21" s="208"/>
      <c r="E21" s="208"/>
      <c r="F21" s="152"/>
      <c r="G21" s="96"/>
      <c r="H21" s="96"/>
      <c r="I21" s="96"/>
      <c r="J21" s="96"/>
      <c r="K21" s="96"/>
      <c r="L21" s="96"/>
      <c r="M21" s="156"/>
      <c r="N21" s="152"/>
      <c r="O21" s="96"/>
      <c r="P21" s="152"/>
      <c r="Q21" s="153"/>
      <c r="R21" s="97"/>
      <c r="S21" s="193" t="str">
        <f>+IF(Tabla25879012013563[[#This Row],[Equipment]]="","",Q21*R21/10^6)</f>
        <v/>
      </c>
      <c r="T21" s="587" t="e">
        <f t="shared" ca="1" si="1"/>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15"/>
      <c r="AR21" s="371"/>
    </row>
    <row r="22" spans="1:44" ht="16.25" customHeight="1" x14ac:dyDescent="0.2">
      <c r="A22" s="83"/>
      <c r="B22" s="103"/>
      <c r="C22" s="99"/>
      <c r="D22" s="208"/>
      <c r="E22" s="208"/>
      <c r="F22" s="152"/>
      <c r="G22" s="96"/>
      <c r="H22" s="96"/>
      <c r="I22" s="96"/>
      <c r="J22" s="96"/>
      <c r="K22" s="96"/>
      <c r="L22" s="96"/>
      <c r="M22" s="156"/>
      <c r="N22" s="152"/>
      <c r="O22" s="96"/>
      <c r="P22" s="152"/>
      <c r="Q22" s="153"/>
      <c r="R22" s="97"/>
      <c r="S22" s="193" t="str">
        <f>+IF(Tabla25879012013563[[#This Row],[Equipment]]="","",Q22*R22/10^6)</f>
        <v/>
      </c>
      <c r="T22" s="587" t="e">
        <f t="shared" ca="1" si="1"/>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15"/>
      <c r="AR22" s="371"/>
    </row>
    <row r="23" spans="1:44" ht="16.25" customHeight="1" x14ac:dyDescent="0.2">
      <c r="A23" s="83"/>
      <c r="B23" s="103"/>
      <c r="C23" s="99"/>
      <c r="D23" s="208"/>
      <c r="E23" s="208"/>
      <c r="F23" s="152"/>
      <c r="G23" s="96"/>
      <c r="H23" s="96"/>
      <c r="I23" s="96"/>
      <c r="J23" s="96"/>
      <c r="K23" s="96"/>
      <c r="L23" s="96"/>
      <c r="M23" s="156"/>
      <c r="N23" s="158"/>
      <c r="O23" s="96"/>
      <c r="P23" s="158"/>
      <c r="Q23" s="153"/>
      <c r="R23" s="97"/>
      <c r="S23" s="193" t="str">
        <f>+IF(Tabla25879012013563[[#This Row],[Equipment]]="","",Q23*R23/10^6)</f>
        <v/>
      </c>
      <c r="T23" s="587" t="e">
        <f t="shared" ca="1" si="1"/>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15"/>
      <c r="AR23" s="371"/>
    </row>
    <row r="24" spans="1:44" ht="16.25" customHeight="1" x14ac:dyDescent="0.2">
      <c r="A24" s="83"/>
      <c r="B24" s="103"/>
      <c r="C24" s="99" t="s">
        <v>400</v>
      </c>
      <c r="D24" s="208" t="s">
        <v>192</v>
      </c>
      <c r="E24" s="208" t="s">
        <v>193</v>
      </c>
      <c r="F24" s="152">
        <f>+SUM(F13:F17)</f>
        <v>11980</v>
      </c>
      <c r="G24" s="96" t="s">
        <v>187</v>
      </c>
      <c r="H24" s="96" t="s">
        <v>186</v>
      </c>
      <c r="I24" s="96" t="s">
        <v>187</v>
      </c>
      <c r="J24" s="96" t="str">
        <f>+IF(F24&gt;'Equipment Data'!$H$40,"yes","No")</f>
        <v>yes</v>
      </c>
      <c r="K24" s="96">
        <v>0.67</v>
      </c>
      <c r="L24" s="96" t="s">
        <v>187</v>
      </c>
      <c r="M24" s="156">
        <f>+IF(AND(D24="Drive",E24="Explosion Proof"),IF(F24&lt;'Equipment Data'!$H$40,10^('Equipment Data'!$C$40+'Equipment Data'!$D$40*LOG10(F24)+'Equipment Data'!$E$40*LOG10(F24)*LOG10(F24)),10^('Equipment Data'!$C$40+LOG10('Equipment Data'!$H$40)*'Equipment Data'!$D$40+'Equipment Data'!$E$40*LOG10('Equipment Data'!$H$40)*LOG10('Equipment Data'!$H$40))*(F24/'Equipment Data'!$H$40)^K24),"N/A")</f>
        <v>451115.00985885633</v>
      </c>
      <c r="N24" s="96" t="s">
        <v>187</v>
      </c>
      <c r="O24" s="96" t="s">
        <v>187</v>
      </c>
      <c r="P24" s="152">
        <f>+'Equipment Data'!$F$40</f>
        <v>1.5</v>
      </c>
      <c r="Q24" s="153">
        <f t="shared" ref="Q24" si="2">+M24*P24</f>
        <v>676672.51478828443</v>
      </c>
      <c r="R24" s="97">
        <v>1</v>
      </c>
      <c r="S24" s="193">
        <f>+IF(Tabla25879012013563[[#This Row],[Equipment]]="","",Q24*R24/10^6)</f>
        <v>0.67667251478828438</v>
      </c>
      <c r="T24" s="587">
        <f t="shared" ca="1" si="1"/>
        <v>1.0921991496143701</v>
      </c>
      <c r="U24" s="104"/>
      <c r="V24" s="83"/>
      <c r="W24" s="83"/>
      <c r="X24" s="83"/>
      <c r="Y24" s="83"/>
      <c r="Z24" s="83"/>
      <c r="AA24" s="83"/>
      <c r="AB24" s="83"/>
      <c r="AC24" s="83"/>
      <c r="AD24" s="83"/>
      <c r="AE24" s="83"/>
      <c r="AF24" s="83"/>
      <c r="AG24" s="83"/>
      <c r="AH24" s="83"/>
      <c r="AI24" s="83"/>
      <c r="AJ24" s="83"/>
      <c r="AK24" s="83"/>
      <c r="AL24" s="83"/>
      <c r="AM24" s="83"/>
      <c r="AN24" s="83"/>
      <c r="AO24" s="104"/>
      <c r="AP24" s="83"/>
      <c r="AQ24" s="215"/>
      <c r="AR24" s="371"/>
    </row>
    <row r="25" spans="1:44" ht="16.25" customHeight="1" x14ac:dyDescent="0.2">
      <c r="A25" s="83"/>
      <c r="B25" s="103"/>
      <c r="C25" s="99"/>
      <c r="D25" s="208"/>
      <c r="E25" s="208"/>
      <c r="F25" s="158"/>
      <c r="G25" s="96"/>
      <c r="H25" s="96"/>
      <c r="I25" s="96"/>
      <c r="J25" s="96"/>
      <c r="K25" s="96"/>
      <c r="L25" s="158"/>
      <c r="M25" s="156"/>
      <c r="N25" s="155"/>
      <c r="O25" s="96"/>
      <c r="P25" s="153"/>
      <c r="Q25" s="153"/>
      <c r="R25" s="97"/>
      <c r="S25" s="193" t="str">
        <f>+IF(Tabla25879012013563[[#This Row],[Equipment]]="","",Q25*R25/10^6)</f>
        <v/>
      </c>
      <c r="T25" s="587" t="e">
        <f t="shared" ca="1" si="1"/>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15"/>
      <c r="AR25" s="371"/>
    </row>
    <row r="26" spans="1:44" ht="16.25" customHeight="1" x14ac:dyDescent="0.2">
      <c r="A26" s="83"/>
      <c r="B26" s="103"/>
      <c r="C26" s="99"/>
      <c r="D26" s="208"/>
      <c r="E26" s="208"/>
      <c r="F26" s="158"/>
      <c r="G26" s="158"/>
      <c r="H26" s="395" t="str">
        <f>IF(Tabla27889112113664[[#This Row],[Subtype]]="","",VLOOKUP(Tabla27889112113664[[#This Row],[Subtype]],'Unit-X00 Equipment'!$E$13:$H$107,4,FALSE))</f>
        <v/>
      </c>
      <c r="I26" s="96"/>
      <c r="J26" s="96"/>
      <c r="K26" s="96"/>
      <c r="L26" s="96"/>
      <c r="M26" s="234"/>
      <c r="N26" s="158"/>
      <c r="O26" s="158"/>
      <c r="P26" s="158"/>
      <c r="Q26" s="158"/>
      <c r="R26" s="97"/>
      <c r="S26" s="193" t="str">
        <f>+IF(Tabla25879012013563[[#This Row],[Equipment]]="","",Q26*R26/10^6)</f>
        <v/>
      </c>
      <c r="T26" s="587" t="e">
        <f t="shared" ca="1" si="1"/>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15"/>
      <c r="AR26" s="371"/>
    </row>
    <row r="27" spans="1:44" ht="16.25" customHeight="1" x14ac:dyDescent="0.2">
      <c r="A27" s="83"/>
      <c r="B27" s="103"/>
      <c r="C27" s="99"/>
      <c r="D27" s="208"/>
      <c r="E27" s="208"/>
      <c r="F27" s="158"/>
      <c r="G27" s="158"/>
      <c r="H27" s="395" t="str">
        <f>IF(Tabla27889112113664[[#This Row],[Subtype]]="","",VLOOKUP(Tabla27889112113664[[#This Row],[Subtype]],'Unit-X00 Equipment'!$E$13:$H$107,4,FALSE))</f>
        <v/>
      </c>
      <c r="I27" s="96"/>
      <c r="J27" s="96"/>
      <c r="K27" s="96"/>
      <c r="L27" s="96"/>
      <c r="M27" s="234"/>
      <c r="N27" s="158"/>
      <c r="O27" s="158"/>
      <c r="P27" s="158"/>
      <c r="Q27" s="158"/>
      <c r="R27" s="97"/>
      <c r="S27" s="193" t="str">
        <f>+IF(Tabla25879012013563[[#This Row],[Equipment]]="","",Q27*R27/10^6)</f>
        <v/>
      </c>
      <c r="T27" s="587" t="e">
        <f t="shared" ca="1" si="1"/>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15"/>
      <c r="AR27" s="371"/>
    </row>
    <row r="28" spans="1:44" ht="16.25" customHeight="1" x14ac:dyDescent="0.2">
      <c r="A28" s="83"/>
      <c r="B28" s="103"/>
      <c r="C28" s="99"/>
      <c r="D28" s="208"/>
      <c r="E28" s="208"/>
      <c r="F28" s="158"/>
      <c r="G28" s="158"/>
      <c r="H28" s="395" t="str">
        <f>IF(Tabla27889112113664[[#This Row],[Subtype]]="","",VLOOKUP(Tabla27889112113664[[#This Row],[Subtype]],'Unit-X00 Equipment'!$E$13:$H$107,4,FALSE))</f>
        <v/>
      </c>
      <c r="I28" s="96"/>
      <c r="J28" s="96"/>
      <c r="K28" s="96"/>
      <c r="L28" s="96"/>
      <c r="M28" s="234"/>
      <c r="N28" s="158"/>
      <c r="O28" s="158"/>
      <c r="P28" s="158"/>
      <c r="Q28" s="158"/>
      <c r="R28" s="97"/>
      <c r="S28" s="193" t="str">
        <f>+IF(Tabla25879012013563[[#This Row],[Equipment]]="","",Q28*R28/10^6)</f>
        <v/>
      </c>
      <c r="T28" s="587" t="e">
        <f t="shared" ca="1" si="1"/>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15"/>
      <c r="AR28" s="371"/>
    </row>
    <row r="29" spans="1:44" ht="16.25" customHeight="1" x14ac:dyDescent="0.2">
      <c r="A29" s="83"/>
      <c r="B29" s="103"/>
      <c r="C29" s="99"/>
      <c r="D29" s="208"/>
      <c r="E29" s="208"/>
      <c r="F29" s="158"/>
      <c r="G29" s="158"/>
      <c r="H29" s="395" t="str">
        <f>IF(Tabla27889112113664[[#This Row],[Subtype]]="","",VLOOKUP(Tabla27889112113664[[#This Row],[Subtype]],'Unit-X00 Equipment'!$E$13:$H$107,4,FALSE))</f>
        <v/>
      </c>
      <c r="I29" s="96"/>
      <c r="J29" s="96"/>
      <c r="K29" s="96"/>
      <c r="L29" s="96"/>
      <c r="M29" s="234"/>
      <c r="N29" s="158"/>
      <c r="O29" s="158"/>
      <c r="P29" s="158"/>
      <c r="Q29" s="158"/>
      <c r="R29" s="97"/>
      <c r="S29" s="193" t="str">
        <f>+IF(Tabla25879012013563[[#This Row],[Equipment]]="","",Q29*R29/10^6)</f>
        <v/>
      </c>
      <c r="T29" s="587" t="e">
        <f t="shared" ca="1" si="1"/>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15"/>
      <c r="AR29" s="371"/>
    </row>
    <row r="30" spans="1:44" ht="16.25" customHeight="1" x14ac:dyDescent="0.2">
      <c r="A30" s="83"/>
      <c r="B30" s="103"/>
      <c r="C30" s="99"/>
      <c r="D30" s="208"/>
      <c r="E30" s="208"/>
      <c r="F30" s="158"/>
      <c r="G30" s="158"/>
      <c r="H30" s="395" t="str">
        <f>IF(Tabla27889112113664[[#This Row],[Subtype]]="","",VLOOKUP(Tabla27889112113664[[#This Row],[Subtype]],'Unit-X00 Equipment'!$E$13:$H$107,4,FALSE))</f>
        <v/>
      </c>
      <c r="I30" s="96"/>
      <c r="J30" s="96"/>
      <c r="K30" s="96"/>
      <c r="L30" s="96"/>
      <c r="M30" s="234"/>
      <c r="N30" s="158"/>
      <c r="O30" s="158"/>
      <c r="P30" s="158"/>
      <c r="Q30" s="158"/>
      <c r="R30" s="97"/>
      <c r="S30" s="193" t="str">
        <f>+IF(Tabla25879012013563[[#This Row],[Equipment]]="","",Q30*R30/10^6)</f>
        <v/>
      </c>
      <c r="T30" s="587" t="e">
        <f t="shared" ca="1" si="1"/>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15"/>
      <c r="AR30" s="371"/>
    </row>
    <row r="31" spans="1:44" ht="16.25" customHeight="1" x14ac:dyDescent="0.2">
      <c r="A31" s="83"/>
      <c r="B31" s="103"/>
      <c r="C31" s="99"/>
      <c r="D31" s="208"/>
      <c r="E31" s="208"/>
      <c r="F31" s="158"/>
      <c r="G31" s="158"/>
      <c r="H31" s="395" t="str">
        <f>IF(Tabla27889112113664[[#This Row],[Subtype]]="","",VLOOKUP(Tabla27889112113664[[#This Row],[Subtype]],'Unit-X00 Equipment'!$E$13:$H$107,4,FALSE))</f>
        <v/>
      </c>
      <c r="I31" s="96"/>
      <c r="J31" s="96"/>
      <c r="K31" s="96"/>
      <c r="L31" s="96"/>
      <c r="M31" s="234"/>
      <c r="N31" s="158"/>
      <c r="O31" s="158"/>
      <c r="P31" s="158"/>
      <c r="Q31" s="158"/>
      <c r="R31" s="97"/>
      <c r="S31" s="193" t="str">
        <f>+IF(Tabla25879012013563[[#This Row],[Equipment]]="","",Q31*R31/10^6)</f>
        <v/>
      </c>
      <c r="T31" s="587" t="e">
        <f t="shared" ca="1" si="1"/>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15"/>
      <c r="AR31" s="371"/>
    </row>
    <row r="32" spans="1:44" ht="16.25" customHeight="1" x14ac:dyDescent="0.2">
      <c r="A32" s="83"/>
      <c r="B32" s="103"/>
      <c r="C32" s="99"/>
      <c r="D32" s="208"/>
      <c r="E32" s="208"/>
      <c r="F32" s="158"/>
      <c r="G32" s="158"/>
      <c r="H32" s="395" t="str">
        <f>IF(Tabla27889112113664[[#This Row],[Subtype]]="","",VLOOKUP(Tabla27889112113664[[#This Row],[Subtype]],'Unit-X00 Equipment'!$E$13:$H$107,4,FALSE))</f>
        <v/>
      </c>
      <c r="I32" s="96"/>
      <c r="J32" s="96"/>
      <c r="K32" s="96"/>
      <c r="L32" s="96"/>
      <c r="M32" s="156"/>
      <c r="N32" s="96"/>
      <c r="O32" s="96"/>
      <c r="P32" s="152"/>
      <c r="Q32" s="153"/>
      <c r="R32" s="97"/>
      <c r="S32" s="193" t="str">
        <f>+IF(Tabla25879012013563[[#This Row],[Equipment]]="","",Q32*R32/10^6)</f>
        <v/>
      </c>
      <c r="T32" s="587" t="e">
        <f t="shared" ca="1" si="1"/>
        <v>#VALUE!</v>
      </c>
      <c r="U32" s="83"/>
      <c r="W32" s="83"/>
      <c r="X32" s="83"/>
      <c r="Y32" s="83"/>
      <c r="Z32" s="83"/>
      <c r="AA32" s="83"/>
      <c r="AB32" s="83"/>
      <c r="AC32" s="83"/>
      <c r="AD32" s="83"/>
      <c r="AE32" s="83"/>
      <c r="AF32" s="83"/>
      <c r="AG32" s="83"/>
      <c r="AH32" s="83"/>
      <c r="AI32" s="83"/>
      <c r="AJ32" s="83"/>
      <c r="AK32" s="83"/>
      <c r="AL32" s="83"/>
      <c r="AM32" s="83"/>
      <c r="AN32" s="83"/>
      <c r="AO32" s="83"/>
      <c r="AP32" s="83"/>
      <c r="AQ32" s="215"/>
      <c r="AR32" s="371"/>
    </row>
    <row r="33" spans="1:44" ht="16.25" customHeight="1" x14ac:dyDescent="0.2">
      <c r="A33" s="83"/>
      <c r="B33" s="103"/>
      <c r="C33" s="99"/>
      <c r="D33" s="208"/>
      <c r="E33" s="208"/>
      <c r="F33" s="158"/>
      <c r="G33" s="158"/>
      <c r="H33" s="395" t="str">
        <f>IF(Tabla27889112113664[[#This Row],[Subtype]]="","",VLOOKUP(Tabla27889112113664[[#This Row],[Subtype]],'Unit-X00 Equipment'!$E$13:$H$107,4,FALSE))</f>
        <v/>
      </c>
      <c r="I33" s="96"/>
      <c r="J33" s="96"/>
      <c r="K33" s="96"/>
      <c r="L33" s="96"/>
      <c r="M33" s="156"/>
      <c r="N33" s="96"/>
      <c r="O33" s="96"/>
      <c r="P33" s="158"/>
      <c r="Q33" s="153"/>
      <c r="R33" s="97"/>
      <c r="S33" s="193" t="str">
        <f>+IF(Tabla25879012013563[[#This Row],[Equipment]]="","",Q33*R33/10^6)</f>
        <v/>
      </c>
      <c r="T33" s="587" t="e">
        <f t="shared" ca="1" si="1"/>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15"/>
      <c r="AR33" s="371"/>
    </row>
    <row r="34" spans="1:44" ht="16.25" customHeight="1" x14ac:dyDescent="0.2">
      <c r="A34" s="83"/>
      <c r="B34" s="103"/>
      <c r="C34" s="363"/>
      <c r="D34" s="208"/>
      <c r="E34" s="208"/>
      <c r="F34" s="158"/>
      <c r="G34" s="158"/>
      <c r="H34" s="395" t="str">
        <f>IF(Tabla27889112113664[[#This Row],[Subtype]]="","",VLOOKUP(Tabla27889112113664[[#This Row],[Subtype]],'Unit-X00 Equipment'!$E$13:$H$107,4,FALSE))</f>
        <v/>
      </c>
      <c r="I34" s="96"/>
      <c r="J34" s="96"/>
      <c r="K34" s="96"/>
      <c r="L34" s="96"/>
      <c r="M34" s="156"/>
      <c r="N34" s="96"/>
      <c r="O34" s="96"/>
      <c r="P34" s="96"/>
      <c r="Q34" s="153"/>
      <c r="R34" s="97"/>
      <c r="S34" s="193" t="str">
        <f>+IF(Tabla25879012013563[[#This Row],[Equipment]]="","",Q34*R34/10^6)</f>
        <v/>
      </c>
      <c r="T34" s="587" t="e">
        <f t="shared" ca="1" si="1"/>
        <v>#VALUE!</v>
      </c>
      <c r="U34" s="83"/>
      <c r="V34" s="112"/>
      <c r="W34" s="914" t="str">
        <f>+E6&amp;" Calculations"</f>
        <v>PSA Calculations</v>
      </c>
      <c r="X34" s="915"/>
      <c r="Y34" s="915"/>
      <c r="Z34" s="915"/>
      <c r="AA34" s="915"/>
      <c r="AB34" s="915"/>
      <c r="AC34" s="915"/>
      <c r="AD34" s="915"/>
      <c r="AE34" s="915"/>
      <c r="AF34" s="915"/>
      <c r="AG34" s="915"/>
      <c r="AH34" s="915"/>
      <c r="AI34" s="915"/>
      <c r="AJ34" s="915"/>
      <c r="AK34" s="915"/>
      <c r="AL34" s="915"/>
      <c r="AM34" s="915"/>
      <c r="AN34" s="916"/>
      <c r="AO34" s="104"/>
      <c r="AP34" s="83"/>
      <c r="AQ34" s="215"/>
      <c r="AR34" s="371"/>
    </row>
    <row r="35" spans="1:44" ht="16.25" customHeight="1" x14ac:dyDescent="0.2">
      <c r="A35" s="83"/>
      <c r="B35" s="103"/>
      <c r="C35" s="363"/>
      <c r="D35" s="208"/>
      <c r="E35" s="208"/>
      <c r="F35" s="158"/>
      <c r="G35" s="158"/>
      <c r="H35" s="395" t="str">
        <f>IF(Tabla27889112113664[[#This Row],[Subtype]]="","",VLOOKUP(Tabla27889112113664[[#This Row],[Subtype]],'Unit-X00 Equipment'!$E$13:$H$107,4,FALSE))</f>
        <v/>
      </c>
      <c r="I35" s="96"/>
      <c r="J35" s="96"/>
      <c r="K35" s="96"/>
      <c r="L35" s="96"/>
      <c r="M35" s="156"/>
      <c r="N35" s="96"/>
      <c r="O35" s="96"/>
      <c r="P35" s="96"/>
      <c r="Q35" s="153"/>
      <c r="R35" s="97"/>
      <c r="S35" s="193" t="str">
        <f>+IF(Tabla25879012013563[[#This Row],[Equipment]]="","",Q35*R35/10^6)</f>
        <v/>
      </c>
      <c r="T35" s="587" t="e">
        <f t="shared" ca="1" si="1"/>
        <v>#VALUE!</v>
      </c>
      <c r="U35" s="83"/>
      <c r="V35" s="311"/>
      <c r="W35" s="395"/>
      <c r="X35" s="395"/>
      <c r="Y35" s="395"/>
      <c r="Z35" s="395"/>
      <c r="AA35" s="395"/>
      <c r="AB35" s="96"/>
      <c r="AC35" s="395"/>
      <c r="AD35" s="395"/>
      <c r="AE35" s="395"/>
      <c r="AF35" s="395"/>
      <c r="AG35" s="395"/>
      <c r="AH35" s="395"/>
      <c r="AI35" s="395"/>
      <c r="AJ35" s="395"/>
      <c r="AK35" s="395"/>
      <c r="AL35" s="395"/>
      <c r="AM35" s="395"/>
      <c r="AN35" s="395"/>
      <c r="AO35" s="104"/>
      <c r="AP35" s="83"/>
      <c r="AQ35" s="215"/>
      <c r="AR35" s="371"/>
    </row>
    <row r="36" spans="1:44" ht="16.25" customHeight="1" x14ac:dyDescent="0.2">
      <c r="A36" s="83"/>
      <c r="B36" s="103"/>
      <c r="C36" s="363"/>
      <c r="D36" s="208"/>
      <c r="E36" s="208"/>
      <c r="F36" s="158"/>
      <c r="G36" s="158"/>
      <c r="H36" s="395" t="str">
        <f>IF(Tabla27889112113664[[#This Row],[Subtype]]="","",VLOOKUP(Tabla27889112113664[[#This Row],[Subtype]],'Unit-X00 Equipment'!$E$13:$H$107,4,FALSE))</f>
        <v/>
      </c>
      <c r="I36" s="96"/>
      <c r="J36" s="96"/>
      <c r="K36" s="96"/>
      <c r="L36" s="96"/>
      <c r="M36" s="156"/>
      <c r="N36" s="96"/>
      <c r="O36" s="96"/>
      <c r="P36" s="96"/>
      <c r="Q36" s="153"/>
      <c r="R36" s="97"/>
      <c r="S36" s="193" t="str">
        <f>+IF(Tabla25879012013563[[#This Row],[Equipment]]="","",Q36*R36/10^6)</f>
        <v/>
      </c>
      <c r="T36" s="587" t="e">
        <f t="shared" ca="1" si="1"/>
        <v>#VALUE!</v>
      </c>
      <c r="U36" s="83"/>
      <c r="V36" s="311"/>
      <c r="W36" s="874" t="s">
        <v>194</v>
      </c>
      <c r="X36" s="875"/>
      <c r="Y36" s="876"/>
      <c r="Z36" s="874" t="s">
        <v>200</v>
      </c>
      <c r="AA36" s="876"/>
      <c r="AB36" s="874" t="s">
        <v>201</v>
      </c>
      <c r="AC36" s="876"/>
      <c r="AD36" s="318" t="s">
        <v>202</v>
      </c>
      <c r="AE36" s="667"/>
      <c r="AF36" s="667"/>
      <c r="AG36" s="667"/>
      <c r="AH36" s="667"/>
      <c r="AI36" s="667"/>
      <c r="AJ36" s="667"/>
      <c r="AK36" s="667"/>
      <c r="AL36" s="667"/>
      <c r="AM36" s="667"/>
      <c r="AN36" s="667"/>
      <c r="AO36" s="104"/>
      <c r="AP36" s="83"/>
      <c r="AQ36" s="215"/>
      <c r="AR36" s="371"/>
    </row>
    <row r="37" spans="1:44" ht="16.25" customHeight="1" x14ac:dyDescent="0.2">
      <c r="A37" s="83"/>
      <c r="B37" s="103"/>
      <c r="C37" s="363"/>
      <c r="D37" s="208"/>
      <c r="E37" s="208"/>
      <c r="F37" s="158"/>
      <c r="G37" s="158"/>
      <c r="H37" s="395" t="str">
        <f>IF(Tabla27889112113664[[#This Row],[Subtype]]="","",VLOOKUP(Tabla27889112113664[[#This Row],[Subtype]],'Unit-X00 Equipment'!$E$13:$H$107,4,FALSE))</f>
        <v/>
      </c>
      <c r="I37" s="96"/>
      <c r="J37" s="96"/>
      <c r="K37" s="96"/>
      <c r="L37" s="96"/>
      <c r="M37" s="156"/>
      <c r="N37" s="96"/>
      <c r="O37" s="96"/>
      <c r="P37" s="96"/>
      <c r="Q37" s="153"/>
      <c r="R37" s="97"/>
      <c r="S37" s="193" t="str">
        <f>+IF(Tabla25879012013563[[#This Row],[Equipment]]="","",Q37*R37/10^6)</f>
        <v/>
      </c>
      <c r="T37" s="587" t="e">
        <f t="shared" ca="1" si="1"/>
        <v>#VALUE!</v>
      </c>
      <c r="U37" s="83"/>
      <c r="V37" s="311"/>
      <c r="W37" s="316" t="s">
        <v>203</v>
      </c>
      <c r="X37" s="316" t="s">
        <v>204</v>
      </c>
      <c r="Y37" s="316" t="s">
        <v>205</v>
      </c>
      <c r="Z37" s="641" t="s">
        <v>206</v>
      </c>
      <c r="AA37" s="641" t="s">
        <v>207</v>
      </c>
      <c r="AB37" s="642" t="s">
        <v>206</v>
      </c>
      <c r="AC37" s="641" t="s">
        <v>207</v>
      </c>
      <c r="AD37" s="166" t="s">
        <v>208</v>
      </c>
      <c r="AE37" s="210"/>
      <c r="AF37" s="757" t="s">
        <v>401</v>
      </c>
      <c r="AG37" s="256" t="s">
        <v>57</v>
      </c>
      <c r="AH37" s="210"/>
      <c r="AI37" s="210"/>
      <c r="AJ37" s="210"/>
      <c r="AK37" s="210"/>
      <c r="AL37" s="210"/>
      <c r="AM37" s="210"/>
      <c r="AN37" s="210"/>
      <c r="AO37" s="104"/>
      <c r="AP37" s="83"/>
      <c r="AQ37" s="215"/>
      <c r="AR37" s="371"/>
    </row>
    <row r="38" spans="1:44" ht="16.25" customHeight="1" x14ac:dyDescent="0.2">
      <c r="A38" s="83"/>
      <c r="B38" s="103"/>
      <c r="C38" s="363"/>
      <c r="D38" s="208"/>
      <c r="E38" s="208"/>
      <c r="F38" s="158"/>
      <c r="G38" s="158"/>
      <c r="H38" s="395" t="str">
        <f>IF(Tabla27889112113664[[#This Row],[Subtype]]="","",VLOOKUP(Tabla27889112113664[[#This Row],[Subtype]],'Unit-X00 Equipment'!$E$13:$H$107,4,FALSE))</f>
        <v/>
      </c>
      <c r="I38" s="96"/>
      <c r="J38" s="96"/>
      <c r="K38" s="96"/>
      <c r="L38" s="96"/>
      <c r="M38" s="156"/>
      <c r="N38" s="96"/>
      <c r="O38" s="96"/>
      <c r="P38" s="96"/>
      <c r="Q38" s="153"/>
      <c r="R38" s="97"/>
      <c r="S38" s="193" t="str">
        <f>+IF(Tabla25879012013563[[#This Row],[Equipment]]="","",Q38*R38/10^6)</f>
        <v/>
      </c>
      <c r="T38" s="587" t="e">
        <f t="shared" ca="1" si="1"/>
        <v>#VALUE!</v>
      </c>
      <c r="U38" s="83"/>
      <c r="V38" s="311"/>
      <c r="W38" s="316" t="s">
        <v>402</v>
      </c>
      <c r="X38" s="316">
        <v>1504515.36076197</v>
      </c>
      <c r="Y38" s="309" t="s">
        <v>343</v>
      </c>
      <c r="Z38" s="309">
        <v>68</v>
      </c>
      <c r="AA38" s="730">
        <f>IF(Z38="Ph. Ch.",$Y$53,IF(Z38="Liquid",$Y$52,$Y$50*Z38^$Y$51))</f>
        <v>767.03685245106158</v>
      </c>
      <c r="AB38" s="314" t="s">
        <v>341</v>
      </c>
      <c r="AC38" s="731">
        <f>IF(AB38="Ph. Ch.",$Y$53,IF(AB38="Liquid",$Y$52,$Y$50*AB38^$Y$51))</f>
        <v>1500</v>
      </c>
      <c r="AD38" s="735">
        <f>1/(1/AA38+1/AC38)</f>
        <v>507.51503110002011</v>
      </c>
      <c r="AE38" s="210"/>
      <c r="AF38" s="755" t="s">
        <v>399</v>
      </c>
      <c r="AG38" s="636">
        <v>3.6187781844299201</v>
      </c>
      <c r="AH38" s="681"/>
      <c r="AI38" s="681"/>
      <c r="AJ38" s="672"/>
      <c r="AK38" s="672"/>
      <c r="AL38" s="672"/>
      <c r="AM38" s="672"/>
      <c r="AN38" s="210"/>
      <c r="AO38" s="84"/>
      <c r="AP38" s="83"/>
      <c r="AQ38" s="215"/>
      <c r="AR38" s="371"/>
    </row>
    <row r="39" spans="1:44" ht="16.25" customHeight="1" x14ac:dyDescent="0.2">
      <c r="A39" s="83"/>
      <c r="B39" s="103"/>
      <c r="C39" s="92"/>
      <c r="D39" s="209"/>
      <c r="E39" s="209"/>
      <c r="F39" s="588"/>
      <c r="G39" s="588"/>
      <c r="H39" s="395" t="str">
        <f>IF(Tabla27889112113664[[#This Row],[Subtype]]="","",VLOOKUP(Tabla27889112113664[[#This Row],[Subtype]],'Unit-X00 Equipment'!$E$13:$H$107,4,FALSE))</f>
        <v/>
      </c>
      <c r="M39" s="235"/>
      <c r="Q39" s="236"/>
      <c r="R39" s="84"/>
      <c r="S39" s="193" t="str">
        <f>+IF(Tabla25879012013563[[#This Row],[Equipment]]="","",Q39*R39/10^6)</f>
        <v/>
      </c>
      <c r="T39" s="587" t="e">
        <f t="shared" ca="1" si="1"/>
        <v>#VALUE!</v>
      </c>
      <c r="U39" s="83"/>
      <c r="V39" s="311"/>
      <c r="W39" s="395"/>
      <c r="X39" s="395"/>
      <c r="Y39" s="395"/>
      <c r="Z39" s="395"/>
      <c r="AA39" s="385"/>
      <c r="AB39" s="395"/>
      <c r="AC39" s="655"/>
      <c r="AD39" s="655"/>
      <c r="AE39" s="395"/>
      <c r="AF39" s="311"/>
      <c r="AG39" s="304"/>
      <c r="AH39" s="606"/>
      <c r="AI39" s="606"/>
      <c r="AJ39" s="606"/>
      <c r="AK39" s="606"/>
      <c r="AL39" s="606"/>
      <c r="AM39" s="606"/>
      <c r="AN39" s="395"/>
      <c r="AO39" s="104"/>
      <c r="AP39" s="83"/>
      <c r="AQ39" s="215"/>
      <c r="AR39" s="371"/>
    </row>
    <row r="40" spans="1:44" ht="16.25" customHeight="1" x14ac:dyDescent="0.2">
      <c r="A40" s="83"/>
      <c r="B40" s="103"/>
      <c r="C40" s="92"/>
      <c r="D40" s="209"/>
      <c r="E40" s="209"/>
      <c r="F40" s="588"/>
      <c r="G40" s="588"/>
      <c r="H40" s="395" t="str">
        <f>IF(Tabla27889112113664[[#This Row],[Subtype]]="","",VLOOKUP(Tabla27889112113664[[#This Row],[Subtype]],'Unit-X00 Equipment'!$E$13:$H$107,4,FALSE))</f>
        <v/>
      </c>
      <c r="M40" s="235"/>
      <c r="Q40" s="236"/>
      <c r="R40" s="84"/>
      <c r="S40" s="193" t="str">
        <f>+IF(Tabla25879012013563[[#This Row],[Equipment]]="","",Q40*R40/10^6)</f>
        <v/>
      </c>
      <c r="T40" s="587" t="e">
        <f t="shared" ca="1" si="1"/>
        <v>#VALUE!</v>
      </c>
      <c r="U40" s="83"/>
      <c r="V40" s="311"/>
      <c r="W40" s="395"/>
      <c r="X40" s="395"/>
      <c r="Y40" s="395"/>
      <c r="Z40" s="395"/>
      <c r="AA40" s="385"/>
      <c r="AB40" s="395"/>
      <c r="AC40" s="655"/>
      <c r="AD40" s="655"/>
      <c r="AE40" s="395"/>
      <c r="AF40" s="754"/>
      <c r="AG40" s="304"/>
      <c r="AH40" s="395"/>
      <c r="AI40" s="655"/>
      <c r="AJ40" s="395"/>
      <c r="AK40" s="655"/>
      <c r="AL40" s="395"/>
      <c r="AM40" s="385"/>
      <c r="AN40" s="655"/>
      <c r="AO40" s="104"/>
      <c r="AP40" s="83"/>
      <c r="AQ40" s="215"/>
      <c r="AR40" s="371"/>
    </row>
    <row r="41" spans="1:44" ht="16.25" customHeight="1" x14ac:dyDescent="0.2">
      <c r="A41" s="83"/>
      <c r="B41" s="103"/>
      <c r="C41" s="99"/>
      <c r="D41" s="208"/>
      <c r="E41" s="208"/>
      <c r="F41" s="158"/>
      <c r="G41" s="158"/>
      <c r="H41" s="395" t="str">
        <f>IF(Tabla27889112113664[[#This Row],[Subtype]]="","",VLOOKUP(Tabla27889112113664[[#This Row],[Subtype]],'Unit-X00 Equipment'!$E$13:$H$107,4,FALSE))</f>
        <v/>
      </c>
      <c r="I41" s="96"/>
      <c r="J41" s="96"/>
      <c r="K41" s="96"/>
      <c r="L41" s="96"/>
      <c r="M41" s="156"/>
      <c r="N41" s="96"/>
      <c r="O41" s="96"/>
      <c r="P41" s="152"/>
      <c r="Q41" s="153"/>
      <c r="R41" s="97"/>
      <c r="S41" s="193" t="str">
        <f>+IF(Tabla25879012013563[[#This Row],[Equipment]]="","",Q41*R41/10^6)</f>
        <v/>
      </c>
      <c r="T41" s="587" t="e">
        <f t="shared" ca="1" si="1"/>
        <v>#VALUE!</v>
      </c>
      <c r="U41" s="83"/>
      <c r="V41" s="311"/>
      <c r="W41" s="395"/>
      <c r="X41" s="395"/>
      <c r="Y41" s="395"/>
      <c r="Z41" s="395"/>
      <c r="AA41" s="385"/>
      <c r="AB41" s="395"/>
      <c r="AC41" s="655"/>
      <c r="AD41" s="655"/>
      <c r="AE41" s="395"/>
      <c r="AF41" s="311"/>
      <c r="AG41" s="304"/>
      <c r="AH41" s="395"/>
      <c r="AI41" s="655"/>
      <c r="AJ41" s="395"/>
      <c r="AK41" s="395"/>
      <c r="AL41" s="395"/>
      <c r="AM41" s="395"/>
      <c r="AN41" s="655"/>
      <c r="AO41" s="104"/>
      <c r="AP41" s="83"/>
      <c r="AQ41" s="215"/>
      <c r="AR41" s="371"/>
    </row>
    <row r="42" spans="1:44" ht="16.25" customHeight="1" x14ac:dyDescent="0.2">
      <c r="A42" s="83"/>
      <c r="B42" s="103"/>
      <c r="C42" s="99"/>
      <c r="D42" s="208"/>
      <c r="E42" s="208"/>
      <c r="F42" s="158"/>
      <c r="G42" s="158"/>
      <c r="H42" s="395" t="str">
        <f>IF(Tabla27889112113664[[#This Row],[Subtype]]="","",VLOOKUP(Tabla27889112113664[[#This Row],[Subtype]],'Unit-X00 Equipment'!$E$13:$H$107,4,FALSE))</f>
        <v/>
      </c>
      <c r="I42" s="96"/>
      <c r="J42" s="96"/>
      <c r="K42" s="96"/>
      <c r="L42" s="96"/>
      <c r="M42" s="156"/>
      <c r="N42" s="96"/>
      <c r="O42" s="96"/>
      <c r="P42" s="158"/>
      <c r="Q42" s="153"/>
      <c r="R42" s="97"/>
      <c r="S42" s="193" t="str">
        <f>+IF(Tabla25879012013563[[#This Row],[Equipment]]="","",Q42*R42/10^6)</f>
        <v/>
      </c>
      <c r="T42" s="587" t="e">
        <f t="shared" ca="1" si="1"/>
        <v>#VALUE!</v>
      </c>
      <c r="U42" s="83"/>
      <c r="V42" s="311"/>
      <c r="W42" s="395"/>
      <c r="X42" s="395"/>
      <c r="Y42" s="395"/>
      <c r="Z42" s="395"/>
      <c r="AA42" s="385"/>
      <c r="AB42" s="395"/>
      <c r="AC42" s="655"/>
      <c r="AD42" s="655"/>
      <c r="AE42" s="395"/>
      <c r="AF42" s="756"/>
      <c r="AG42" s="306"/>
      <c r="AH42" s="395"/>
      <c r="AI42" s="395"/>
      <c r="AJ42" s="395"/>
      <c r="AK42" s="395"/>
      <c r="AL42" s="395"/>
      <c r="AM42" s="395"/>
      <c r="AN42" s="655"/>
      <c r="AO42" s="104"/>
      <c r="AP42" s="83"/>
      <c r="AQ42" s="215"/>
      <c r="AR42" s="371"/>
    </row>
    <row r="43" spans="1:44" ht="16.25" customHeight="1" x14ac:dyDescent="0.2">
      <c r="A43" s="83"/>
      <c r="B43" s="103"/>
      <c r="C43" s="363"/>
      <c r="D43" s="208"/>
      <c r="E43" s="208"/>
      <c r="F43" s="158"/>
      <c r="G43" s="158"/>
      <c r="H43" s="395" t="str">
        <f>IF(Tabla27889112113664[[#This Row],[Subtype]]="","",VLOOKUP(Tabla27889112113664[[#This Row],[Subtype]],'Unit-X00 Equipment'!$E$13:$H$107,4,FALSE))</f>
        <v/>
      </c>
      <c r="I43" s="96"/>
      <c r="J43" s="96"/>
      <c r="K43" s="96"/>
      <c r="L43" s="96"/>
      <c r="M43" s="283"/>
      <c r="N43" s="275"/>
      <c r="O43" s="275"/>
      <c r="P43" s="275"/>
      <c r="Q43" s="284"/>
      <c r="R43" s="98"/>
      <c r="S43" s="193" t="str">
        <f>+IF(Tabla25879012013563[[#This Row],[Equipment]]="","",Q43*R43/10^6)</f>
        <v/>
      </c>
      <c r="T43" s="587" t="e">
        <f t="shared" ca="1" si="1"/>
        <v>#VALUE!</v>
      </c>
      <c r="U43" s="83"/>
      <c r="V43" s="311"/>
      <c r="W43" s="395"/>
      <c r="X43" s="216"/>
      <c r="Y43" s="216"/>
      <c r="Z43" s="395"/>
      <c r="AA43" s="992"/>
      <c r="AB43" s="992"/>
      <c r="AC43" s="992"/>
      <c r="AD43" s="395"/>
      <c r="AE43" s="395"/>
      <c r="AF43" s="385"/>
      <c r="AG43" s="655"/>
      <c r="AH43" s="395"/>
      <c r="AI43" s="395"/>
      <c r="AJ43" s="395"/>
      <c r="AK43" s="395"/>
      <c r="AL43" s="395"/>
      <c r="AM43" s="395"/>
      <c r="AN43" s="655"/>
      <c r="AO43" s="104"/>
      <c r="AP43" s="83"/>
      <c r="AQ43" s="215"/>
      <c r="AR43" s="371"/>
    </row>
    <row r="44" spans="1:44" ht="16.25" customHeight="1" x14ac:dyDescent="0.2">
      <c r="A44" s="83"/>
      <c r="B44" s="103"/>
      <c r="C44" s="364"/>
      <c r="D44" s="918" t="s">
        <v>220</v>
      </c>
      <c r="E44" s="918"/>
      <c r="F44" s="918"/>
      <c r="G44" s="918"/>
      <c r="H44" s="918"/>
      <c r="I44" s="918"/>
      <c r="J44" s="918"/>
      <c r="K44" s="918"/>
      <c r="L44" s="918"/>
      <c r="M44" s="947"/>
      <c r="N44" s="947"/>
      <c r="O44" s="947"/>
      <c r="P44" s="947"/>
      <c r="Q44" s="947"/>
      <c r="R44" s="947"/>
      <c r="S44" s="180"/>
      <c r="T44" s="104"/>
      <c r="U44" s="83"/>
      <c r="V44" s="311"/>
      <c r="W44" s="395"/>
      <c r="X44" s="216"/>
      <c r="Y44" s="216"/>
      <c r="Z44" s="395"/>
      <c r="AA44" s="320"/>
      <c r="AB44" s="635"/>
      <c r="AC44" s="96"/>
      <c r="AD44" s="395"/>
      <c r="AE44" s="395"/>
      <c r="AF44" s="385"/>
      <c r="AG44" s="655"/>
      <c r="AH44" s="395"/>
      <c r="AI44" s="395"/>
      <c r="AJ44" s="395"/>
      <c r="AK44" s="395"/>
      <c r="AL44" s="395"/>
      <c r="AM44" s="395"/>
      <c r="AN44" s="655"/>
      <c r="AO44" s="104"/>
      <c r="AP44" s="83"/>
      <c r="AQ44" s="215"/>
      <c r="AR44" s="371"/>
    </row>
    <row r="45" spans="1:44" ht="16.25" customHeight="1" x14ac:dyDescent="0.2">
      <c r="A45" s="83"/>
      <c r="B45" s="103"/>
      <c r="C45" s="421" t="s">
        <v>223</v>
      </c>
      <c r="D45" s="415" t="s">
        <v>224</v>
      </c>
      <c r="E45" s="415" t="s">
        <v>225</v>
      </c>
      <c r="F45" s="571" t="s">
        <v>226</v>
      </c>
      <c r="G45" s="571" t="s">
        <v>50</v>
      </c>
      <c r="H45" s="571" t="s">
        <v>227</v>
      </c>
      <c r="I45" s="415" t="s">
        <v>228</v>
      </c>
      <c r="J45" s="415" t="s">
        <v>75</v>
      </c>
      <c r="K45" s="415" t="s">
        <v>155</v>
      </c>
      <c r="L45" s="415" t="s">
        <v>157</v>
      </c>
      <c r="M45" s="422" t="s">
        <v>229</v>
      </c>
      <c r="N45" s="423" t="s">
        <v>230</v>
      </c>
      <c r="O45" s="419" t="s">
        <v>231</v>
      </c>
      <c r="P45" s="415" t="s">
        <v>151</v>
      </c>
      <c r="Q45" s="415" t="s">
        <v>148</v>
      </c>
      <c r="R45" s="420" t="s">
        <v>144</v>
      </c>
      <c r="S45" s="420" t="s">
        <v>232</v>
      </c>
      <c r="T45" s="104"/>
      <c r="U45" s="83"/>
      <c r="V45" s="311"/>
      <c r="W45" s="395"/>
      <c r="X45" s="216"/>
      <c r="Y45" s="216"/>
      <c r="Z45" s="395"/>
      <c r="AA45" s="320"/>
      <c r="AB45" s="96"/>
      <c r="AC45" s="96"/>
      <c r="AD45" s="395"/>
      <c r="AE45" s="395"/>
      <c r="AF45" s="385"/>
      <c r="AG45" s="655"/>
      <c r="AH45" s="395"/>
      <c r="AI45" s="395"/>
      <c r="AJ45" s="395"/>
      <c r="AK45" s="395"/>
      <c r="AL45" s="395"/>
      <c r="AM45" s="395"/>
      <c r="AN45" s="655"/>
      <c r="AO45" s="104"/>
      <c r="AP45" s="83"/>
      <c r="AQ45" s="215"/>
      <c r="AR45" s="371"/>
    </row>
    <row r="46" spans="1:44" ht="16.25" customHeight="1" x14ac:dyDescent="0.2">
      <c r="A46" s="83"/>
      <c r="B46" s="103"/>
      <c r="C46" s="273" t="s">
        <v>256</v>
      </c>
      <c r="D46" s="276" t="s">
        <v>403</v>
      </c>
      <c r="E46" s="277" t="s">
        <v>404</v>
      </c>
      <c r="F46" s="277" t="s">
        <v>53</v>
      </c>
      <c r="G46" s="277">
        <v>2014</v>
      </c>
      <c r="H46" s="277" t="s">
        <v>48</v>
      </c>
      <c r="I46" s="277" t="s">
        <v>405</v>
      </c>
      <c r="J46" s="244" t="s">
        <v>406</v>
      </c>
      <c r="K46" s="277">
        <v>1</v>
      </c>
      <c r="L46" s="277">
        <v>0.67</v>
      </c>
      <c r="M46" s="276">
        <v>1</v>
      </c>
      <c r="N46" s="277">
        <v>7.3</v>
      </c>
      <c r="O46" s="277">
        <v>44</v>
      </c>
      <c r="P46" s="277">
        <v>1</v>
      </c>
      <c r="Q46" s="277">
        <v>4.4429999999999996</v>
      </c>
      <c r="R46" s="193">
        <f t="shared" ref="R46:R50" si="3">IF(ISBLANK(Q46),"",(P46/M46)^K46*O46*((Q46/P46)/(N46/M46))^L46)</f>
        <v>31.547829867398981</v>
      </c>
      <c r="S46" s="193" cm="1">
        <f t="array" aca="1" ref="S46" ca="1">IF(ISBLANK(Q46),"",IF(R46&gt;0,R46*INDIRECT(ADDRESS(MATCH(G46,'Cost Conversion'!$B$3:$B$48,0)+2,4,1,1,"Cost conversion"))*INDIRECT(ADDRESS(MATCH(H46,'Cost Conversion'!$F$3:$F$22,0)+2,8,1,1,"Cost conversion"))/IF(F46="$",'Cost Conversion'!$L$2,1),0))</f>
        <v>34.851517223833604</v>
      </c>
      <c r="T46" s="746">
        <f ca="1">+S46</f>
        <v>34.851517223833604</v>
      </c>
      <c r="U46" s="83"/>
      <c r="V46" s="311"/>
      <c r="W46" s="395"/>
      <c r="X46" s="216"/>
      <c r="Y46" s="216"/>
      <c r="Z46" s="395"/>
      <c r="AA46" s="320"/>
      <c r="AB46" s="96"/>
      <c r="AC46" s="96"/>
      <c r="AD46" s="395"/>
      <c r="AE46" s="395"/>
      <c r="AF46" s="385"/>
      <c r="AG46" s="655"/>
      <c r="AH46" s="395"/>
      <c r="AI46" s="395"/>
      <c r="AJ46" s="395"/>
      <c r="AK46" s="395"/>
      <c r="AL46" s="395"/>
      <c r="AM46" s="395"/>
      <c r="AN46" s="655"/>
      <c r="AO46" s="104"/>
      <c r="AP46" s="83"/>
      <c r="AQ46" s="215"/>
      <c r="AR46" s="371"/>
    </row>
    <row r="47" spans="1:44" ht="16.25" customHeight="1" x14ac:dyDescent="0.2">
      <c r="A47" s="83"/>
      <c r="B47" s="103"/>
      <c r="C47" s="273"/>
      <c r="D47" s="273"/>
      <c r="E47" s="96"/>
      <c r="F47" s="96"/>
      <c r="G47" s="96"/>
      <c r="H47" s="96"/>
      <c r="I47" s="118"/>
      <c r="J47" s="118"/>
      <c r="K47" s="96"/>
      <c r="L47" s="96"/>
      <c r="M47" s="273"/>
      <c r="N47" s="96"/>
      <c r="O47" s="96"/>
      <c r="P47" s="96"/>
      <c r="Q47" s="96"/>
      <c r="R47" s="193" t="str">
        <f t="shared" si="3"/>
        <v/>
      </c>
      <c r="S47" s="193" t="str" cm="1">
        <f t="array" aca="1" ref="S47" ca="1">IF(ISBLANK(Q47),"",IF(R47&gt;0,R47*INDIRECT(ADDRESS(MATCH(G47,'Cost Conversion'!$B$3:$B$48,0)+2,4,1,1,"Cost conversion"))*INDIRECT(ADDRESS(MATCH(H47,'Cost Conversion'!$F$3:$F$22,0)+2,8,1,1,"Cost conversion"))/IF(F47="$",'Cost Conversion'!$L$2,1),0))</f>
        <v/>
      </c>
      <c r="T47" s="660" t="str">
        <f t="shared" ref="T47:T50" ca="1" si="4">+S47</f>
        <v/>
      </c>
      <c r="U47" s="83"/>
      <c r="V47" s="311"/>
      <c r="W47" s="395"/>
      <c r="X47" s="216"/>
      <c r="Y47" s="216"/>
      <c r="Z47" s="395"/>
      <c r="AA47" s="320"/>
      <c r="AB47" s="320"/>
      <c r="AC47" s="320"/>
      <c r="AD47" s="395"/>
      <c r="AE47" s="395"/>
      <c r="AF47" s="395"/>
      <c r="AG47" s="395"/>
      <c r="AH47" s="395"/>
      <c r="AI47" s="395"/>
      <c r="AJ47" s="395"/>
      <c r="AK47" s="395"/>
      <c r="AL47" s="395"/>
      <c r="AM47" s="395"/>
      <c r="AN47" s="395"/>
      <c r="AO47" s="104"/>
      <c r="AP47" s="83"/>
      <c r="AQ47" s="215"/>
      <c r="AR47" s="371"/>
    </row>
    <row r="48" spans="1:44" ht="16.25" customHeight="1" x14ac:dyDescent="0.2">
      <c r="A48" s="83"/>
      <c r="B48" s="103"/>
      <c r="C48" s="192"/>
      <c r="D48" s="273"/>
      <c r="E48" s="96"/>
      <c r="F48" s="96"/>
      <c r="G48" s="96"/>
      <c r="H48" s="96"/>
      <c r="I48" s="96"/>
      <c r="J48" s="96"/>
      <c r="K48" s="96"/>
      <c r="L48" s="96"/>
      <c r="M48" s="273"/>
      <c r="N48" s="96"/>
      <c r="O48" s="96"/>
      <c r="P48" s="96"/>
      <c r="Q48" s="96"/>
      <c r="R48" s="193" t="str">
        <f t="shared" si="3"/>
        <v/>
      </c>
      <c r="S48" s="193" t="str" cm="1">
        <f t="array" aca="1" ref="S48" ca="1">IF(ISBLANK(Q48),"",IF(R48&gt;0,R48*INDIRECT(ADDRESS(MATCH(G48,'Cost Conversion'!$B$3:$B$48,0)+2,4,1,1,"Cost conversion"))*INDIRECT(ADDRESS(MATCH(H48,'Cost Conversion'!$F$3:$F$22,0)+2,8,1,1,"Cost conversion"))/IF(F48="$",'Cost Conversion'!$L$2,1),0))</f>
        <v/>
      </c>
      <c r="T48" s="660" t="str">
        <f t="shared" ca="1" si="4"/>
        <v/>
      </c>
      <c r="U48" s="83"/>
      <c r="V48" s="103"/>
      <c r="W48" s="210"/>
      <c r="X48" s="210"/>
      <c r="Y48" s="210"/>
      <c r="Z48" s="210"/>
      <c r="AA48" s="320"/>
      <c r="AB48" s="391"/>
      <c r="AC48" s="320"/>
      <c r="AD48" s="210"/>
      <c r="AE48" s="210"/>
      <c r="AF48" s="657"/>
      <c r="AG48" s="230" t="s">
        <v>252</v>
      </c>
      <c r="AH48" s="230" t="s">
        <v>2</v>
      </c>
      <c r="AI48" s="963" t="s">
        <v>82</v>
      </c>
      <c r="AJ48" s="964"/>
      <c r="AK48" s="964"/>
      <c r="AL48" s="964"/>
      <c r="AM48" s="964"/>
      <c r="AN48" s="965"/>
      <c r="AO48" s="104"/>
      <c r="AP48" s="83"/>
      <c r="AQ48" s="215"/>
      <c r="AR48" s="371"/>
    </row>
    <row r="49" spans="1:57" ht="16.25" customHeight="1" x14ac:dyDescent="0.2">
      <c r="A49" s="83"/>
      <c r="B49" s="103"/>
      <c r="C49" s="192"/>
      <c r="D49" s="273"/>
      <c r="E49" s="96"/>
      <c r="F49" s="96"/>
      <c r="G49" s="96"/>
      <c r="H49" s="96"/>
      <c r="I49" s="96"/>
      <c r="J49" s="96"/>
      <c r="K49" s="96"/>
      <c r="L49" s="96"/>
      <c r="M49" s="273"/>
      <c r="N49" s="96"/>
      <c r="O49" s="96"/>
      <c r="P49" s="96"/>
      <c r="Q49" s="96"/>
      <c r="R49" s="193" t="str">
        <f t="shared" si="3"/>
        <v/>
      </c>
      <c r="S49" s="193" t="str" cm="1">
        <f t="array" aca="1" ref="S49" ca="1">IF(ISBLANK(Q49),"",IF(R49&gt;0,R49*INDIRECT(ADDRESS(MATCH(G49,'Cost Conversion'!$B$3:$B$48,0)+2,4,1,1,"Cost conversion"))*INDIRECT(ADDRESS(MATCH(H49,'Cost Conversion'!$F$3:$F$22,0)+2,8,1,1,"Cost conversion"))/IF(F49="$",'Cost Conversion'!$L$2,1),0))</f>
        <v/>
      </c>
      <c r="T49" s="660" t="str">
        <f t="shared" ca="1" si="4"/>
        <v/>
      </c>
      <c r="U49" s="83"/>
      <c r="V49" s="103"/>
      <c r="W49" s="966" t="s">
        <v>250</v>
      </c>
      <c r="X49" s="967"/>
      <c r="Y49" s="316" t="s">
        <v>251</v>
      </c>
      <c r="Z49" s="210"/>
      <c r="AA49" s="320"/>
      <c r="AB49" s="391"/>
      <c r="AC49" s="320"/>
      <c r="AD49" s="210"/>
      <c r="AE49" s="210"/>
      <c r="AF49" s="657"/>
      <c r="AG49" s="658"/>
      <c r="AH49" s="659"/>
      <c r="AI49" s="948"/>
      <c r="AJ49" s="949"/>
      <c r="AK49" s="949"/>
      <c r="AL49" s="949"/>
      <c r="AM49" s="949"/>
      <c r="AN49" s="950"/>
      <c r="AO49" s="104"/>
      <c r="AP49" s="83"/>
      <c r="AQ49" s="215"/>
      <c r="AR49" s="371"/>
    </row>
    <row r="50" spans="1:57" ht="16.25" customHeight="1" x14ac:dyDescent="0.2">
      <c r="A50" s="83"/>
      <c r="B50" s="103"/>
      <c r="C50" s="192"/>
      <c r="D50" s="273"/>
      <c r="E50" s="96"/>
      <c r="F50" s="96"/>
      <c r="G50" s="96"/>
      <c r="H50" s="96"/>
      <c r="I50" s="96"/>
      <c r="J50" s="96"/>
      <c r="K50" s="96"/>
      <c r="L50" s="96"/>
      <c r="M50" s="274"/>
      <c r="N50" s="275"/>
      <c r="O50" s="275"/>
      <c r="P50" s="275"/>
      <c r="Q50" s="275"/>
      <c r="R50" s="193" t="str">
        <f t="shared" si="3"/>
        <v/>
      </c>
      <c r="S50" s="193" t="str" cm="1">
        <f t="array" aca="1" ref="S50" ca="1">IF(ISBLANK(Q50),"",IF(R50&gt;0,R50*INDIRECT(ADDRESS(MATCH(G50,'Cost Conversion'!$B$3:$B$48,0)+2,4,1,1,"Cost conversion"))*INDIRECT(ADDRESS(MATCH(H50,'Cost Conversion'!$F$3:$F$22,0)+2,8,1,1,"Cost conversion"))/IF(F50="$",'Cost Conversion'!$L$2,1),0))</f>
        <v/>
      </c>
      <c r="T50" s="660" t="str">
        <f t="shared" ca="1" si="4"/>
        <v/>
      </c>
      <c r="U50" s="83"/>
      <c r="V50" s="103"/>
      <c r="W50" s="968" t="s">
        <v>255</v>
      </c>
      <c r="X50" s="969"/>
      <c r="Y50" s="661">
        <v>40</v>
      </c>
      <c r="Z50" s="210"/>
      <c r="AA50" s="320"/>
      <c r="AB50" s="391"/>
      <c r="AC50" s="320"/>
      <c r="AD50" s="210"/>
      <c r="AE50" s="210"/>
      <c r="AF50" s="657"/>
      <c r="AG50" s="488"/>
      <c r="AH50" s="663"/>
      <c r="AI50" s="951"/>
      <c r="AJ50" s="952"/>
      <c r="AK50" s="952"/>
      <c r="AL50" s="952"/>
      <c r="AM50" s="952"/>
      <c r="AN50" s="953"/>
      <c r="AO50" s="104"/>
      <c r="AP50" s="83"/>
      <c r="AQ50" s="215"/>
      <c r="AR50" s="371"/>
    </row>
    <row r="51" spans="1:57" ht="16.25" customHeight="1" x14ac:dyDescent="0.2">
      <c r="A51" s="83"/>
      <c r="B51" s="103"/>
      <c r="C51" s="200"/>
      <c r="D51" s="274"/>
      <c r="E51" s="275"/>
      <c r="F51" s="275"/>
      <c r="G51" s="275"/>
      <c r="H51" s="275"/>
      <c r="I51" s="275"/>
      <c r="J51" s="275"/>
      <c r="K51" s="275"/>
      <c r="L51" s="98"/>
      <c r="M51" s="425" t="s">
        <v>272</v>
      </c>
      <c r="N51" s="418" t="s">
        <v>226</v>
      </c>
      <c r="O51" s="570" t="s">
        <v>50</v>
      </c>
      <c r="P51" s="943" t="s">
        <v>47</v>
      </c>
      <c r="Q51" s="944"/>
      <c r="R51" s="420" t="s">
        <v>273</v>
      </c>
      <c r="S51" s="426" t="s">
        <v>274</v>
      </c>
      <c r="T51" s="104"/>
      <c r="U51" s="83"/>
      <c r="V51" s="103"/>
      <c r="W51" s="892" t="s">
        <v>261</v>
      </c>
      <c r="X51" s="894"/>
      <c r="Y51" s="661">
        <v>0.7</v>
      </c>
      <c r="Z51" s="210"/>
      <c r="AA51" s="320"/>
      <c r="AB51" s="320"/>
      <c r="AC51" s="320"/>
      <c r="AD51" s="210"/>
      <c r="AE51" s="210"/>
      <c r="AF51" s="657"/>
      <c r="AG51" s="488"/>
      <c r="AH51" s="663"/>
      <c r="AI51" s="951"/>
      <c r="AJ51" s="952"/>
      <c r="AK51" s="952"/>
      <c r="AL51" s="952"/>
      <c r="AM51" s="952"/>
      <c r="AN51" s="953"/>
      <c r="AO51" s="104"/>
      <c r="AP51" s="83"/>
      <c r="AQ51" s="215"/>
      <c r="AR51" s="371"/>
    </row>
    <row r="52" spans="1:57" ht="16.25" customHeight="1" x14ac:dyDescent="0.2">
      <c r="A52" s="83"/>
      <c r="B52" s="103"/>
      <c r="C52" s="577"/>
      <c r="D52" s="365"/>
      <c r="E52" s="365"/>
      <c r="F52" s="365"/>
      <c r="G52" s="365"/>
      <c r="H52" s="365"/>
      <c r="I52" s="365"/>
      <c r="J52" s="365"/>
      <c r="K52" s="365"/>
      <c r="L52" s="573"/>
      <c r="M52" s="502" t="s">
        <v>276</v>
      </c>
      <c r="N52" s="409" t="s">
        <v>236</v>
      </c>
      <c r="O52" s="475">
        <v>2001</v>
      </c>
      <c r="P52" s="871" t="s">
        <v>237</v>
      </c>
      <c r="Q52" s="873"/>
      <c r="R52" s="427">
        <f>+IF(SUM(S13:S43)&gt;0,IF(G3="Equipment",SUM(S13:S43),"NaN"),"")</f>
        <v>18.461751410194669</v>
      </c>
      <c r="S52" s="428" cm="1">
        <f t="array" aca="1" ref="S52" ca="1">+IF(R52="","",R52*INDIRECT(ADDRESS(MATCH(O52,'Cost Conversion'!$B$3:$B$48,0)+2,4,1,1,"Cost conversion"))*INDIRECT(ADDRESS(MATCH(P52,'Cost Conversion'!$F$3:$F$22,0)+2,8,1,1,"Cost conversion"))/IF(N52="$",'Cost Conversion'!$L$2,1))</f>
        <v>29.798623041332409</v>
      </c>
      <c r="T52" s="104"/>
      <c r="U52" s="83"/>
      <c r="V52" s="103"/>
      <c r="W52" s="892" t="s">
        <v>265</v>
      </c>
      <c r="X52" s="894"/>
      <c r="Y52" s="661">
        <v>1500</v>
      </c>
      <c r="Z52" s="210"/>
      <c r="AA52" s="320"/>
      <c r="AB52" s="320"/>
      <c r="AC52" s="320"/>
      <c r="AD52" s="210"/>
      <c r="AE52" s="210"/>
      <c r="AF52" s="657"/>
      <c r="AG52" s="488"/>
      <c r="AH52" s="663"/>
      <c r="AI52" s="951"/>
      <c r="AJ52" s="952"/>
      <c r="AK52" s="952"/>
      <c r="AL52" s="952"/>
      <c r="AM52" s="952"/>
      <c r="AN52" s="953"/>
      <c r="AO52" s="104"/>
      <c r="AP52" s="83"/>
      <c r="AQ52" s="215"/>
      <c r="AR52" s="371"/>
    </row>
    <row r="53" spans="1:57" ht="16.25" customHeight="1" x14ac:dyDescent="0.2">
      <c r="A53" s="83"/>
      <c r="B53" s="103"/>
      <c r="C53" s="574"/>
      <c r="D53" s="575"/>
      <c r="E53" s="575"/>
      <c r="F53" s="575"/>
      <c r="G53" s="575"/>
      <c r="H53" s="575"/>
      <c r="I53" s="575"/>
      <c r="J53" s="575"/>
      <c r="K53" s="575"/>
      <c r="L53" s="576"/>
      <c r="M53" s="409" t="s">
        <v>278</v>
      </c>
      <c r="N53" s="127"/>
      <c r="O53" s="133"/>
      <c r="P53" s="871"/>
      <c r="Q53" s="873"/>
      <c r="R53" s="427" t="s">
        <v>187</v>
      </c>
      <c r="S53" s="428">
        <f ca="1">+IF(SUM(S46:S50)&gt;0,SUM(S46:S50),"")</f>
        <v>34.851517223833604</v>
      </c>
      <c r="T53" s="104"/>
      <c r="U53" s="83"/>
      <c r="V53" s="103"/>
      <c r="W53" s="945" t="s">
        <v>269</v>
      </c>
      <c r="X53" s="946"/>
      <c r="Y53" s="533">
        <v>5000</v>
      </c>
      <c r="Z53" s="210"/>
      <c r="AA53" s="320"/>
      <c r="AB53" s="320"/>
      <c r="AC53" s="320"/>
      <c r="AD53" s="210"/>
      <c r="AE53" s="210"/>
      <c r="AF53" s="657"/>
      <c r="AG53" s="490"/>
      <c r="AH53" s="666"/>
      <c r="AI53" s="954"/>
      <c r="AJ53" s="955"/>
      <c r="AK53" s="955"/>
      <c r="AL53" s="955"/>
      <c r="AM53" s="955"/>
      <c r="AN53" s="956"/>
      <c r="AO53" s="104"/>
      <c r="AP53" s="83"/>
      <c r="AQ53" s="215"/>
      <c r="AR53" s="371"/>
    </row>
    <row r="54" spans="1:57" ht="16.25" customHeight="1" x14ac:dyDescent="0.2">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474"/>
      <c r="AB54" s="474"/>
      <c r="AC54" s="474"/>
      <c r="AD54" s="106"/>
      <c r="AE54" s="106"/>
      <c r="AF54" s="106"/>
      <c r="AG54" s="106"/>
      <c r="AH54" s="106"/>
      <c r="AI54" s="106"/>
      <c r="AJ54" s="106"/>
      <c r="AK54" s="106"/>
      <c r="AL54" s="106"/>
      <c r="AM54" s="106"/>
      <c r="AN54" s="106"/>
      <c r="AO54" s="107"/>
      <c r="AP54" s="83"/>
      <c r="AQ54" s="215"/>
      <c r="AR54" s="371"/>
    </row>
    <row r="55" spans="1:57" ht="16.25" customHeight="1" x14ac:dyDescent="0.2">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15"/>
      <c r="AR55" s="371"/>
    </row>
    <row r="56" spans="1:57" ht="16.25" customHeight="1" x14ac:dyDescent="0.2">
      <c r="A56" s="83"/>
      <c r="B56" s="917" t="str">
        <f>+"BEC Distribution: "&amp;E6</f>
        <v>BEC Distribution: PSA</v>
      </c>
      <c r="C56" s="918"/>
      <c r="D56" s="918"/>
      <c r="E56" s="918"/>
      <c r="F56" s="918"/>
      <c r="G56" s="919"/>
      <c r="H56" s="917" t="str">
        <f>"Estimate Benchmark: "&amp;E6</f>
        <v>Estimate Benchmark: PSA</v>
      </c>
      <c r="I56" s="918"/>
      <c r="J56" s="918"/>
      <c r="K56" s="918"/>
      <c r="L56" s="918"/>
      <c r="M56" s="918"/>
      <c r="N56" s="919"/>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15"/>
      <c r="AR56" s="371"/>
    </row>
    <row r="57" spans="1:57" ht="16.25" customHeight="1" x14ac:dyDescent="0.2">
      <c r="A57" s="83"/>
      <c r="B57" s="100"/>
      <c r="C57" s="101"/>
      <c r="D57" s="101"/>
      <c r="E57" s="101"/>
      <c r="F57" s="101"/>
      <c r="G57" s="102"/>
      <c r="H57" s="100"/>
      <c r="I57" s="101"/>
      <c r="J57" s="101"/>
      <c r="K57" s="101"/>
      <c r="L57" s="101"/>
      <c r="M57" s="101"/>
      <c r="N57" s="102"/>
      <c r="O57" s="161"/>
      <c r="P57" s="376"/>
      <c r="Q57" s="376"/>
      <c r="R57" s="215"/>
      <c r="S57" s="372"/>
      <c r="T57" s="215"/>
      <c r="U57" s="215"/>
      <c r="V57" s="215"/>
      <c r="W57" s="215"/>
      <c r="X57" s="215"/>
      <c r="Y57" s="215"/>
      <c r="Z57" s="215"/>
      <c r="AA57" s="215"/>
      <c r="AB57" s="215"/>
      <c r="AC57" s="215"/>
      <c r="AD57" s="215"/>
      <c r="AE57" s="215"/>
      <c r="AF57" s="215"/>
      <c r="AG57" s="215"/>
      <c r="AH57" s="215"/>
      <c r="AI57" s="215"/>
      <c r="AJ57" s="215"/>
      <c r="AK57" s="215"/>
      <c r="AL57" s="215"/>
      <c r="AM57" s="215"/>
      <c r="AN57" s="215"/>
      <c r="AO57" s="215"/>
      <c r="AP57" s="215"/>
      <c r="AQ57" s="215"/>
      <c r="AR57" s="371"/>
      <c r="AS57" s="372"/>
      <c r="AT57" s="372"/>
      <c r="AU57" s="372"/>
      <c r="AV57" s="372"/>
      <c r="AW57" s="372"/>
      <c r="AX57" s="372"/>
      <c r="AY57" s="372"/>
      <c r="AZ57" s="372"/>
      <c r="BA57" s="372"/>
      <c r="BB57" s="372"/>
      <c r="BC57" s="372"/>
      <c r="BD57" s="372"/>
      <c r="BE57" s="372"/>
    </row>
    <row r="58" spans="1:57" ht="16.25" customHeight="1" x14ac:dyDescent="0.2">
      <c r="A58" s="83"/>
      <c r="B58" s="103"/>
      <c r="C58" s="83"/>
      <c r="D58" s="83"/>
      <c r="E58" s="83"/>
      <c r="F58" s="83"/>
      <c r="G58" s="104"/>
      <c r="H58" s="103"/>
      <c r="I58" s="83"/>
      <c r="J58" s="83"/>
      <c r="K58" s="83"/>
      <c r="L58" s="83"/>
      <c r="M58" s="83"/>
      <c r="N58" s="104"/>
      <c r="O58" s="164"/>
      <c r="P58" s="376"/>
      <c r="Q58" s="376"/>
      <c r="R58" s="215"/>
      <c r="S58" s="372"/>
      <c r="T58" s="215"/>
      <c r="U58" s="215"/>
      <c r="V58" s="215"/>
      <c r="W58" s="215"/>
      <c r="X58" s="215"/>
      <c r="Y58" s="215"/>
      <c r="Z58" s="215"/>
      <c r="AA58" s="215"/>
      <c r="AB58" s="215"/>
      <c r="AC58" s="215"/>
      <c r="AD58" s="215"/>
      <c r="AE58" s="215"/>
      <c r="AF58" s="215"/>
      <c r="AG58" s="215"/>
      <c r="AH58" s="215"/>
      <c r="AI58" s="215"/>
      <c r="AJ58" s="215"/>
      <c r="AK58" s="215"/>
      <c r="AL58" s="215"/>
      <c r="AM58" s="215"/>
      <c r="AN58" s="215"/>
      <c r="AO58" s="215"/>
      <c r="AP58" s="215"/>
      <c r="AQ58" s="215"/>
      <c r="AR58" s="371"/>
      <c r="AS58" s="372"/>
      <c r="AT58" s="372"/>
      <c r="AU58" s="372"/>
      <c r="AV58" s="372"/>
      <c r="AW58" s="372"/>
      <c r="AX58" s="372"/>
      <c r="AY58" s="372"/>
      <c r="AZ58" s="372"/>
      <c r="BA58" s="372"/>
      <c r="BB58" s="372"/>
      <c r="BC58" s="372"/>
      <c r="BD58" s="372"/>
      <c r="BE58" s="372"/>
    </row>
    <row r="59" spans="1:57" ht="16.25" customHeight="1" x14ac:dyDescent="0.2">
      <c r="A59" s="83"/>
      <c r="B59" s="103"/>
      <c r="C59" s="83"/>
      <c r="D59" s="83"/>
      <c r="E59" s="83"/>
      <c r="F59" s="83"/>
      <c r="G59" s="104"/>
      <c r="H59" s="103"/>
      <c r="I59" s="83"/>
      <c r="J59" s="83"/>
      <c r="K59" s="83"/>
      <c r="L59" s="83"/>
      <c r="M59" s="83"/>
      <c r="N59" s="104"/>
      <c r="O59" s="160"/>
      <c r="P59" s="215"/>
      <c r="Q59" s="215"/>
      <c r="R59" s="215"/>
      <c r="S59" s="215"/>
      <c r="T59" s="215"/>
      <c r="U59" s="215"/>
      <c r="V59" s="215"/>
      <c r="W59" s="215"/>
      <c r="X59" s="215"/>
      <c r="Y59" s="215"/>
      <c r="Z59" s="215"/>
      <c r="AA59" s="215"/>
      <c r="AB59" s="215"/>
      <c r="AC59" s="215"/>
      <c r="AD59" s="215"/>
      <c r="AE59" s="215"/>
      <c r="AF59" s="215"/>
      <c r="AG59" s="215"/>
      <c r="AH59" s="215"/>
      <c r="AI59" s="215"/>
      <c r="AJ59" s="215"/>
      <c r="AK59" s="215"/>
      <c r="AL59" s="215"/>
      <c r="AM59" s="215"/>
      <c r="AN59" s="215"/>
      <c r="AO59" s="215"/>
      <c r="AP59" s="215"/>
      <c r="AQ59" s="215"/>
      <c r="AR59" s="371"/>
      <c r="AS59" s="372"/>
      <c r="AT59" s="372"/>
      <c r="AU59" s="372"/>
      <c r="AV59" s="372"/>
      <c r="AW59" s="372"/>
      <c r="AX59" s="372"/>
      <c r="AY59" s="372"/>
      <c r="AZ59" s="372"/>
      <c r="BA59" s="372"/>
      <c r="BB59" s="372"/>
      <c r="BC59" s="372"/>
      <c r="BD59" s="372"/>
      <c r="BE59" s="372"/>
    </row>
    <row r="60" spans="1:57" ht="16.25" customHeight="1" x14ac:dyDescent="0.2">
      <c r="A60" s="83"/>
      <c r="B60" s="103"/>
      <c r="C60" s="83"/>
      <c r="D60" s="83"/>
      <c r="E60" s="83"/>
      <c r="F60" s="83"/>
      <c r="G60" s="104"/>
      <c r="H60" s="103"/>
      <c r="I60" s="83"/>
      <c r="J60" s="83"/>
      <c r="K60" s="83"/>
      <c r="L60" s="83"/>
      <c r="M60" s="83"/>
      <c r="N60" s="104"/>
      <c r="O60" s="83"/>
      <c r="P60" s="215"/>
      <c r="Q60" s="215"/>
      <c r="R60" s="215"/>
      <c r="S60" s="215"/>
      <c r="T60" s="215"/>
      <c r="U60" s="215"/>
      <c r="V60" s="372"/>
      <c r="W60" s="215"/>
      <c r="X60" s="215"/>
      <c r="Y60" s="215"/>
      <c r="Z60" s="215"/>
      <c r="AA60" s="215"/>
      <c r="AB60" s="215"/>
      <c r="AC60" s="215"/>
      <c r="AD60" s="215"/>
      <c r="AE60" s="215"/>
      <c r="AF60" s="215"/>
      <c r="AG60" s="215"/>
      <c r="AH60" s="215"/>
      <c r="AI60" s="215"/>
      <c r="AJ60" s="215"/>
      <c r="AK60" s="215"/>
      <c r="AL60" s="215"/>
      <c r="AM60" s="215"/>
      <c r="AN60" s="215"/>
      <c r="AO60" s="215"/>
      <c r="AP60" s="215"/>
      <c r="AQ60" s="215"/>
      <c r="AR60" s="371"/>
      <c r="AS60" s="372"/>
      <c r="AT60" s="372"/>
      <c r="AU60" s="372"/>
      <c r="AV60" s="372"/>
      <c r="AW60" s="372"/>
      <c r="AX60" s="372"/>
      <c r="AY60" s="372"/>
      <c r="AZ60" s="372"/>
      <c r="BA60" s="372"/>
      <c r="BB60" s="372"/>
      <c r="BC60" s="372"/>
      <c r="BD60" s="372"/>
      <c r="BE60" s="372"/>
    </row>
    <row r="61" spans="1:57" ht="16.25" customHeight="1" x14ac:dyDescent="0.2">
      <c r="A61" s="83"/>
      <c r="B61" s="103"/>
      <c r="C61" s="83"/>
      <c r="D61" s="83"/>
      <c r="E61" s="83"/>
      <c r="F61" s="83"/>
      <c r="G61" s="104"/>
      <c r="H61" s="103"/>
      <c r="I61" s="83"/>
      <c r="J61" s="83"/>
      <c r="K61" s="83"/>
      <c r="L61" s="83"/>
      <c r="M61" s="83"/>
      <c r="N61" s="104"/>
      <c r="O61" s="83"/>
      <c r="P61" s="215"/>
      <c r="Q61" s="215"/>
      <c r="R61" s="215"/>
      <c r="S61" s="215"/>
      <c r="T61" s="215"/>
      <c r="U61" s="215"/>
      <c r="V61" s="215"/>
      <c r="W61" s="215"/>
      <c r="X61" s="215"/>
      <c r="Y61" s="215"/>
      <c r="Z61" s="215"/>
      <c r="AA61" s="215"/>
      <c r="AB61" s="215"/>
      <c r="AC61" s="215"/>
      <c r="AD61" s="215"/>
      <c r="AE61" s="215"/>
      <c r="AF61" s="215"/>
      <c r="AG61" s="215"/>
      <c r="AH61" s="215"/>
      <c r="AI61" s="215"/>
      <c r="AJ61" s="215"/>
      <c r="AK61" s="215"/>
      <c r="AL61" s="215"/>
      <c r="AM61" s="215"/>
      <c r="AN61" s="215"/>
      <c r="AO61" s="215"/>
      <c r="AP61" s="215"/>
      <c r="AQ61" s="215"/>
      <c r="AR61" s="371"/>
      <c r="AS61" s="372"/>
      <c r="AT61" s="372"/>
      <c r="AU61" s="372"/>
      <c r="AV61" s="372"/>
      <c r="AW61" s="372"/>
      <c r="AX61" s="372"/>
      <c r="AY61" s="372"/>
      <c r="AZ61" s="372"/>
      <c r="BA61" s="372"/>
      <c r="BB61" s="372"/>
      <c r="BC61" s="372"/>
      <c r="BD61" s="372"/>
      <c r="BE61" s="372"/>
    </row>
    <row r="62" spans="1:57" ht="16.25" customHeight="1" x14ac:dyDescent="0.2">
      <c r="A62" s="83"/>
      <c r="B62" s="103"/>
      <c r="C62" s="83"/>
      <c r="D62" s="83"/>
      <c r="E62" s="83"/>
      <c r="F62" s="83"/>
      <c r="G62" s="104"/>
      <c r="H62" s="103"/>
      <c r="I62" s="83"/>
      <c r="J62" s="83"/>
      <c r="K62" s="83"/>
      <c r="L62" s="83"/>
      <c r="M62" s="83"/>
      <c r="N62" s="104"/>
      <c r="O62" s="83"/>
      <c r="P62" s="215"/>
      <c r="Q62" s="215"/>
      <c r="R62" s="215"/>
      <c r="S62" s="215"/>
      <c r="T62" s="376"/>
      <c r="U62" s="215"/>
      <c r="V62" s="215"/>
      <c r="W62" s="215"/>
      <c r="X62" s="215"/>
      <c r="Y62" s="215"/>
      <c r="Z62" s="215"/>
      <c r="AA62" s="215"/>
      <c r="AB62" s="215"/>
      <c r="AC62" s="215"/>
      <c r="AD62" s="215"/>
      <c r="AE62" s="215"/>
      <c r="AF62" s="215"/>
      <c r="AG62" s="215"/>
      <c r="AH62" s="215"/>
      <c r="AI62" s="215"/>
      <c r="AJ62" s="215"/>
      <c r="AK62" s="215"/>
      <c r="AL62" s="215"/>
      <c r="AM62" s="215"/>
      <c r="AN62" s="215"/>
      <c r="AO62" s="215"/>
      <c r="AP62" s="215"/>
      <c r="AQ62" s="215"/>
      <c r="AR62" s="371"/>
      <c r="AS62" s="372"/>
      <c r="AT62" s="372"/>
      <c r="AU62" s="372"/>
      <c r="AV62" s="372"/>
      <c r="AW62" s="372"/>
      <c r="AX62" s="372"/>
      <c r="AY62" s="372"/>
      <c r="AZ62" s="372"/>
      <c r="BA62" s="372"/>
      <c r="BB62" s="372"/>
      <c r="BC62" s="372"/>
      <c r="BD62" s="372"/>
      <c r="BE62" s="372"/>
    </row>
    <row r="63" spans="1:57" ht="16.25" customHeight="1" x14ac:dyDescent="0.2">
      <c r="A63" s="83"/>
      <c r="B63" s="103"/>
      <c r="C63" s="83"/>
      <c r="D63" s="83"/>
      <c r="E63" s="83"/>
      <c r="F63" s="83"/>
      <c r="G63" s="104"/>
      <c r="H63" s="103"/>
      <c r="I63" s="83"/>
      <c r="J63" s="83"/>
      <c r="K63" s="83"/>
      <c r="L63" s="83"/>
      <c r="M63" s="83"/>
      <c r="N63" s="104"/>
      <c r="O63" s="83"/>
      <c r="P63" s="215"/>
      <c r="Q63" s="215"/>
      <c r="R63" s="215"/>
      <c r="S63" s="215"/>
      <c r="T63" s="376"/>
      <c r="U63" s="215"/>
      <c r="V63" s="215"/>
      <c r="W63" s="215"/>
      <c r="X63" s="215"/>
      <c r="Y63" s="215"/>
      <c r="Z63" s="215"/>
      <c r="AA63" s="215"/>
      <c r="AB63" s="215"/>
      <c r="AC63" s="215"/>
      <c r="AD63" s="215"/>
      <c r="AE63" s="215"/>
      <c r="AF63" s="215"/>
      <c r="AG63" s="215"/>
      <c r="AH63" s="215"/>
      <c r="AI63" s="215"/>
      <c r="AJ63" s="215"/>
      <c r="AK63" s="215"/>
      <c r="AL63" s="215"/>
      <c r="AM63" s="215"/>
      <c r="AN63" s="215"/>
      <c r="AO63" s="215"/>
      <c r="AP63" s="215"/>
      <c r="AQ63" s="215"/>
      <c r="AR63" s="371"/>
      <c r="AS63" s="372"/>
      <c r="AT63" s="372"/>
      <c r="AU63" s="372"/>
      <c r="AV63" s="372"/>
      <c r="AW63" s="372"/>
      <c r="AX63" s="372"/>
      <c r="AY63" s="372"/>
      <c r="AZ63" s="372"/>
      <c r="BA63" s="372"/>
      <c r="BB63" s="372"/>
      <c r="BC63" s="372"/>
      <c r="BD63" s="372"/>
      <c r="BE63" s="372"/>
    </row>
    <row r="64" spans="1:57" ht="16.25" customHeight="1" x14ac:dyDescent="0.2">
      <c r="A64" s="83"/>
      <c r="B64" s="103"/>
      <c r="C64" s="83"/>
      <c r="D64" s="83"/>
      <c r="E64" s="83"/>
      <c r="F64" s="83"/>
      <c r="G64" s="104"/>
      <c r="H64" s="103"/>
      <c r="I64" s="83"/>
      <c r="J64" s="83"/>
      <c r="K64" s="83"/>
      <c r="L64" s="83"/>
      <c r="M64" s="83"/>
      <c r="N64" s="104"/>
      <c r="O64" s="83"/>
      <c r="P64" s="215"/>
      <c r="Q64" s="215"/>
      <c r="R64" s="215"/>
      <c r="S64" s="215"/>
      <c r="T64" s="215"/>
      <c r="U64" s="215"/>
      <c r="V64" s="215"/>
      <c r="W64" s="215"/>
      <c r="X64" s="215"/>
      <c r="Y64" s="215"/>
      <c r="Z64" s="215"/>
      <c r="AA64" s="215"/>
      <c r="AB64" s="215"/>
      <c r="AC64" s="215"/>
      <c r="AD64" s="215"/>
      <c r="AE64" s="215"/>
      <c r="AF64" s="215"/>
      <c r="AG64" s="215"/>
      <c r="AH64" s="215"/>
      <c r="AI64" s="215"/>
      <c r="AJ64" s="215"/>
      <c r="AK64" s="215"/>
      <c r="AL64" s="215"/>
      <c r="AM64" s="215"/>
      <c r="AN64" s="215"/>
      <c r="AO64" s="215"/>
      <c r="AP64" s="215"/>
      <c r="AQ64" s="215"/>
      <c r="AR64" s="371"/>
      <c r="AS64" s="372"/>
      <c r="AT64" s="372"/>
      <c r="AU64" s="372"/>
      <c r="AV64" s="372"/>
      <c r="AW64" s="372"/>
      <c r="AX64" s="372"/>
      <c r="AY64" s="372"/>
      <c r="AZ64" s="372"/>
      <c r="BA64" s="372"/>
      <c r="BB64" s="372"/>
      <c r="BC64" s="372"/>
      <c r="BD64" s="372"/>
      <c r="BE64" s="372"/>
    </row>
    <row r="65" spans="1:57" ht="16.25" customHeight="1" x14ac:dyDescent="0.2">
      <c r="A65" s="83"/>
      <c r="B65" s="103"/>
      <c r="C65" s="83"/>
      <c r="D65" s="83"/>
      <c r="E65" s="83"/>
      <c r="F65" s="83"/>
      <c r="G65" s="104"/>
      <c r="H65" s="103"/>
      <c r="I65" s="83"/>
      <c r="J65" s="83"/>
      <c r="K65" s="83"/>
      <c r="L65" s="83"/>
      <c r="M65" s="83"/>
      <c r="N65" s="104"/>
      <c r="O65" s="83"/>
      <c r="P65" s="215"/>
      <c r="Q65" s="215"/>
      <c r="R65" s="215"/>
      <c r="S65" s="215"/>
      <c r="T65" s="215"/>
      <c r="U65" s="215"/>
      <c r="V65" s="215"/>
      <c r="W65" s="215"/>
      <c r="X65" s="215"/>
      <c r="Y65" s="215"/>
      <c r="Z65" s="215"/>
      <c r="AA65" s="215"/>
      <c r="AB65" s="215"/>
      <c r="AC65" s="215"/>
      <c r="AD65" s="215"/>
      <c r="AE65" s="215"/>
      <c r="AF65" s="215"/>
      <c r="AG65" s="215"/>
      <c r="AH65" s="215"/>
      <c r="AI65" s="215"/>
      <c r="AJ65" s="215"/>
      <c r="AK65" s="215"/>
      <c r="AL65" s="215"/>
      <c r="AM65" s="215"/>
      <c r="AN65" s="215"/>
      <c r="AO65" s="215"/>
      <c r="AP65" s="215"/>
      <c r="AQ65" s="215"/>
      <c r="AR65" s="371"/>
      <c r="AS65" s="372"/>
      <c r="AT65" s="372"/>
      <c r="AU65" s="372"/>
      <c r="AV65" s="372"/>
      <c r="AW65" s="372"/>
      <c r="AX65" s="372"/>
      <c r="AY65" s="372"/>
      <c r="AZ65" s="372"/>
      <c r="BA65" s="372"/>
      <c r="BB65" s="372"/>
      <c r="BC65" s="372"/>
      <c r="BD65" s="372"/>
      <c r="BE65" s="372"/>
    </row>
    <row r="66" spans="1:57" ht="16.25" customHeight="1" x14ac:dyDescent="0.2">
      <c r="A66" s="83"/>
      <c r="B66" s="103"/>
      <c r="C66" s="83"/>
      <c r="D66" s="83"/>
      <c r="E66" s="83"/>
      <c r="F66" s="83"/>
      <c r="G66" s="104"/>
      <c r="H66" s="103"/>
      <c r="I66" s="83"/>
      <c r="J66" s="83"/>
      <c r="K66" s="83"/>
      <c r="L66" s="83"/>
      <c r="M66" s="83"/>
      <c r="N66" s="104"/>
      <c r="O66" s="83"/>
      <c r="P66" s="215"/>
      <c r="Q66" s="215"/>
      <c r="R66" s="215"/>
      <c r="S66" s="215"/>
      <c r="T66" s="215"/>
      <c r="U66" s="215"/>
      <c r="V66" s="215"/>
      <c r="W66" s="215"/>
      <c r="X66" s="215"/>
      <c r="Y66" s="215"/>
      <c r="Z66" s="215"/>
      <c r="AA66" s="215"/>
      <c r="AB66" s="215"/>
      <c r="AC66" s="215"/>
      <c r="AD66" s="215"/>
      <c r="AE66" s="215"/>
      <c r="AF66" s="215"/>
      <c r="AG66" s="215"/>
      <c r="AH66" s="215"/>
      <c r="AI66" s="215"/>
      <c r="AJ66" s="215"/>
      <c r="AK66" s="215"/>
      <c r="AL66" s="215"/>
      <c r="AM66" s="215"/>
      <c r="AN66" s="215"/>
      <c r="AO66" s="215"/>
      <c r="AP66" s="215"/>
      <c r="AQ66" s="215"/>
      <c r="AR66" s="371"/>
      <c r="AS66" s="372"/>
      <c r="AT66" s="372"/>
      <c r="AU66" s="372"/>
      <c r="AV66" s="372"/>
      <c r="AW66" s="372"/>
      <c r="AX66" s="372"/>
      <c r="AY66" s="372"/>
      <c r="AZ66" s="372"/>
      <c r="BA66" s="372"/>
      <c r="BB66" s="372"/>
      <c r="BC66" s="372"/>
      <c r="BD66" s="372"/>
      <c r="BE66" s="372"/>
    </row>
    <row r="67" spans="1:57" ht="16.25" customHeight="1" x14ac:dyDescent="0.2">
      <c r="A67" s="83"/>
      <c r="B67" s="103"/>
      <c r="C67" s="83"/>
      <c r="D67" s="83"/>
      <c r="E67" s="83"/>
      <c r="F67" s="83"/>
      <c r="G67" s="104"/>
      <c r="H67" s="103"/>
      <c r="I67" s="83"/>
      <c r="J67" s="83"/>
      <c r="K67" s="83"/>
      <c r="L67" s="83"/>
      <c r="M67" s="83"/>
      <c r="N67" s="104"/>
      <c r="O67" s="83"/>
      <c r="P67" s="215"/>
      <c r="Q67" s="215"/>
      <c r="R67" s="215"/>
      <c r="S67" s="215"/>
      <c r="T67" s="215"/>
      <c r="U67" s="215"/>
      <c r="V67" s="215"/>
      <c r="W67" s="215"/>
      <c r="X67" s="215"/>
      <c r="Y67" s="215"/>
      <c r="Z67" s="215"/>
      <c r="AA67" s="215"/>
      <c r="AB67" s="215"/>
      <c r="AC67" s="215"/>
      <c r="AD67" s="215"/>
      <c r="AE67" s="215"/>
      <c r="AF67" s="215"/>
      <c r="AG67" s="215"/>
      <c r="AH67" s="215"/>
      <c r="AI67" s="215"/>
      <c r="AJ67" s="215"/>
      <c r="AK67" s="215"/>
      <c r="AL67" s="215"/>
      <c r="AM67" s="215"/>
      <c r="AN67" s="215"/>
      <c r="AO67" s="215"/>
      <c r="AP67" s="215"/>
      <c r="AQ67" s="215"/>
      <c r="AR67" s="371"/>
      <c r="AS67" s="372"/>
      <c r="AT67" s="372"/>
      <c r="AU67" s="372"/>
      <c r="AV67" s="372"/>
      <c r="AW67" s="372"/>
      <c r="AX67" s="372"/>
      <c r="AY67" s="372"/>
      <c r="AZ67" s="372"/>
      <c r="BA67" s="372"/>
      <c r="BB67" s="372"/>
      <c r="BC67" s="372"/>
      <c r="BD67" s="372"/>
      <c r="BE67" s="372"/>
    </row>
    <row r="68" spans="1:57" ht="16.25" customHeight="1" x14ac:dyDescent="0.2">
      <c r="A68" s="83"/>
      <c r="B68" s="103"/>
      <c r="C68" s="83"/>
      <c r="D68" s="83"/>
      <c r="E68" s="83"/>
      <c r="F68" s="83"/>
      <c r="G68" s="104"/>
      <c r="H68" s="103"/>
      <c r="I68" s="83"/>
      <c r="J68" s="83"/>
      <c r="K68" s="83"/>
      <c r="L68" s="83"/>
      <c r="M68" s="83"/>
      <c r="N68" s="104"/>
      <c r="O68" s="161"/>
      <c r="P68" s="376"/>
      <c r="Q68" s="376"/>
      <c r="R68" s="376"/>
      <c r="S68" s="376"/>
      <c r="T68" s="376"/>
      <c r="U68" s="377"/>
      <c r="V68" s="371"/>
      <c r="W68" s="371"/>
      <c r="X68" s="371"/>
      <c r="Y68" s="215"/>
      <c r="Z68" s="215"/>
      <c r="AA68" s="215"/>
      <c r="AB68" s="215"/>
      <c r="AC68" s="215"/>
      <c r="AD68" s="215"/>
      <c r="AE68" s="215"/>
      <c r="AF68" s="215"/>
      <c r="AG68" s="215"/>
      <c r="AH68" s="215"/>
      <c r="AI68" s="215"/>
      <c r="AJ68" s="215"/>
      <c r="AK68" s="215"/>
      <c r="AL68" s="215"/>
      <c r="AM68" s="215"/>
      <c r="AN68" s="215"/>
      <c r="AO68" s="215"/>
      <c r="AP68" s="215"/>
      <c r="AQ68" s="215"/>
      <c r="AR68" s="371"/>
      <c r="AS68" s="372"/>
      <c r="AT68" s="372"/>
      <c r="AU68" s="372"/>
      <c r="AV68" s="372"/>
      <c r="AW68" s="372"/>
      <c r="AX68" s="372"/>
      <c r="AY68" s="372"/>
      <c r="AZ68" s="372"/>
      <c r="BA68" s="372"/>
      <c r="BB68" s="372"/>
      <c r="BC68" s="372"/>
      <c r="BD68" s="372"/>
      <c r="BE68" s="372"/>
    </row>
    <row r="69" spans="1:57" ht="16.25" customHeight="1" x14ac:dyDescent="0.2">
      <c r="A69" s="83"/>
      <c r="B69" s="103"/>
      <c r="C69" s="83"/>
      <c r="D69" s="83"/>
      <c r="E69" s="83"/>
      <c r="F69" s="83"/>
      <c r="G69" s="104"/>
      <c r="H69" s="103"/>
      <c r="I69" s="83"/>
      <c r="J69" s="83"/>
      <c r="K69" s="83"/>
      <c r="L69" s="83"/>
      <c r="M69" s="83"/>
      <c r="N69" s="104"/>
      <c r="O69" s="161"/>
      <c r="P69" s="376"/>
      <c r="Q69" s="376"/>
      <c r="R69" s="376"/>
      <c r="S69" s="376"/>
      <c r="T69" s="376"/>
      <c r="U69" s="376"/>
      <c r="V69" s="376"/>
      <c r="W69" s="376"/>
      <c r="X69" s="376"/>
      <c r="Y69" s="215"/>
      <c r="Z69" s="215"/>
      <c r="AA69" s="215"/>
      <c r="AB69" s="215"/>
      <c r="AC69" s="215"/>
      <c r="AD69" s="215"/>
      <c r="AE69" s="215"/>
      <c r="AF69" s="215"/>
      <c r="AG69" s="215"/>
      <c r="AH69" s="215"/>
      <c r="AI69" s="215"/>
      <c r="AJ69" s="215"/>
      <c r="AK69" s="215"/>
      <c r="AL69" s="215"/>
      <c r="AM69" s="215"/>
      <c r="AN69" s="215"/>
      <c r="AO69" s="215"/>
      <c r="AP69" s="215"/>
      <c r="AQ69" s="215"/>
      <c r="AR69" s="371"/>
      <c r="AS69" s="372"/>
      <c r="AT69" s="372"/>
      <c r="AU69" s="372"/>
      <c r="AV69" s="372"/>
      <c r="AW69" s="372"/>
      <c r="AX69" s="372"/>
      <c r="AY69" s="372"/>
      <c r="AZ69" s="372"/>
      <c r="BA69" s="372"/>
      <c r="BB69" s="372"/>
      <c r="BC69" s="372"/>
      <c r="BD69" s="372"/>
      <c r="BE69" s="372"/>
    </row>
    <row r="70" spans="1:57" ht="16.25" customHeight="1" x14ac:dyDescent="0.2">
      <c r="A70" s="83"/>
      <c r="B70" s="103"/>
      <c r="C70" s="83"/>
      <c r="D70" s="83"/>
      <c r="E70" s="83"/>
      <c r="F70" s="83"/>
      <c r="G70" s="104"/>
      <c r="H70" s="103"/>
      <c r="I70" s="83"/>
      <c r="J70" s="83"/>
      <c r="K70" s="83"/>
      <c r="L70" s="83"/>
      <c r="M70" s="83"/>
      <c r="N70" s="104"/>
      <c r="O70" s="161"/>
      <c r="P70" s="374"/>
      <c r="Q70" s="376"/>
      <c r="R70" s="377"/>
      <c r="S70" s="377"/>
      <c r="T70" s="377"/>
      <c r="U70" s="377"/>
      <c r="V70" s="377"/>
      <c r="W70" s="376"/>
      <c r="X70" s="376"/>
      <c r="Y70" s="215"/>
      <c r="Z70" s="215"/>
      <c r="AA70" s="215"/>
      <c r="AB70" s="215"/>
      <c r="AC70" s="215"/>
      <c r="AD70" s="215"/>
      <c r="AE70" s="215"/>
      <c r="AF70" s="215"/>
      <c r="AG70" s="215"/>
      <c r="AH70" s="215"/>
      <c r="AI70" s="215"/>
      <c r="AJ70" s="215"/>
      <c r="AK70" s="215"/>
      <c r="AL70" s="215"/>
      <c r="AM70" s="215"/>
      <c r="AN70" s="215"/>
      <c r="AO70" s="215"/>
      <c r="AP70" s="215"/>
      <c r="AQ70" s="215"/>
      <c r="AR70" s="371"/>
      <c r="AS70" s="372"/>
      <c r="AT70" s="372"/>
      <c r="AU70" s="372"/>
      <c r="AV70" s="372"/>
      <c r="AW70" s="372"/>
      <c r="AX70" s="372"/>
      <c r="AY70" s="372"/>
      <c r="AZ70" s="372"/>
      <c r="BA70" s="372"/>
      <c r="BB70" s="372"/>
      <c r="BC70" s="372"/>
      <c r="BD70" s="372"/>
      <c r="BE70" s="372"/>
    </row>
    <row r="71" spans="1:57" ht="16.25" customHeight="1" x14ac:dyDescent="0.2">
      <c r="A71" s="83"/>
      <c r="B71" s="103"/>
      <c r="C71" s="83"/>
      <c r="D71" s="83"/>
      <c r="E71" s="83"/>
      <c r="F71" s="83"/>
      <c r="G71" s="104"/>
      <c r="H71" s="103"/>
      <c r="I71" s="83"/>
      <c r="J71" s="83"/>
      <c r="K71" s="83"/>
      <c r="L71" s="83"/>
      <c r="M71" s="83"/>
      <c r="N71" s="104"/>
      <c r="O71" s="83"/>
      <c r="P71" s="215"/>
      <c r="Q71" s="215"/>
      <c r="R71" s="215"/>
      <c r="S71" s="215"/>
      <c r="T71" s="215"/>
      <c r="U71" s="215"/>
      <c r="V71" s="215"/>
      <c r="W71" s="215"/>
      <c r="X71" s="215"/>
      <c r="Y71" s="215"/>
      <c r="Z71" s="215"/>
      <c r="AA71" s="215"/>
      <c r="AB71" s="215"/>
      <c r="AC71" s="215"/>
      <c r="AD71" s="215"/>
      <c r="AE71" s="215"/>
      <c r="AF71" s="215"/>
      <c r="AG71" s="215"/>
      <c r="AH71" s="215"/>
      <c r="AI71" s="215"/>
      <c r="AJ71" s="215"/>
      <c r="AK71" s="215"/>
      <c r="AL71" s="215"/>
      <c r="AM71" s="215"/>
      <c r="AN71" s="215"/>
      <c r="AO71" s="215"/>
      <c r="AP71" s="215"/>
      <c r="AQ71" s="215"/>
      <c r="AR71" s="371"/>
      <c r="AS71" s="372"/>
      <c r="AT71" s="372"/>
      <c r="AU71" s="372"/>
      <c r="AV71" s="372"/>
      <c r="AW71" s="372"/>
      <c r="AX71" s="372"/>
      <c r="AY71" s="372"/>
      <c r="AZ71" s="372"/>
      <c r="BA71" s="372"/>
      <c r="BB71" s="372"/>
      <c r="BC71" s="372"/>
      <c r="BD71" s="372"/>
      <c r="BE71" s="372"/>
    </row>
    <row r="72" spans="1:57" ht="16.25" customHeight="1" x14ac:dyDescent="0.2">
      <c r="A72" s="83"/>
      <c r="B72" s="103"/>
      <c r="C72" s="83"/>
      <c r="D72" s="83"/>
      <c r="E72" s="83"/>
      <c r="F72" s="83"/>
      <c r="G72" s="104"/>
      <c r="H72" s="103"/>
      <c r="I72" s="83"/>
      <c r="J72" s="83"/>
      <c r="K72" s="83"/>
      <c r="L72" s="83"/>
      <c r="M72" s="83"/>
      <c r="N72" s="104"/>
      <c r="O72" s="162"/>
      <c r="P72" s="371"/>
      <c r="Q72" s="371"/>
      <c r="R72" s="371"/>
      <c r="S72" s="371"/>
      <c r="T72" s="215"/>
      <c r="U72" s="215"/>
      <c r="V72" s="215"/>
      <c r="W72" s="215"/>
      <c r="X72" s="215"/>
      <c r="Y72" s="215"/>
      <c r="Z72" s="215"/>
      <c r="AA72" s="215"/>
      <c r="AB72" s="215"/>
      <c r="AC72" s="215"/>
      <c r="AD72" s="215"/>
      <c r="AE72" s="215"/>
      <c r="AF72" s="215"/>
      <c r="AG72" s="215"/>
      <c r="AH72" s="215"/>
      <c r="AI72" s="215"/>
      <c r="AJ72" s="215"/>
      <c r="AK72" s="215"/>
      <c r="AL72" s="215"/>
      <c r="AM72" s="215"/>
      <c r="AN72" s="215"/>
      <c r="AO72" s="215"/>
      <c r="AP72" s="215"/>
      <c r="AQ72" s="215"/>
      <c r="AR72" s="371"/>
      <c r="AS72" s="372"/>
      <c r="AT72" s="372"/>
      <c r="AU72" s="372"/>
      <c r="AV72" s="372"/>
      <c r="AW72" s="372"/>
      <c r="AX72" s="372"/>
      <c r="AY72" s="372"/>
      <c r="AZ72" s="372"/>
      <c r="BA72" s="372"/>
      <c r="BB72" s="372"/>
      <c r="BC72" s="372"/>
      <c r="BD72" s="372"/>
      <c r="BE72" s="372"/>
    </row>
    <row r="73" spans="1:57" ht="16.25" customHeight="1" x14ac:dyDescent="0.2">
      <c r="A73" s="83"/>
      <c r="B73" s="103"/>
      <c r="C73" s="83"/>
      <c r="D73" s="83"/>
      <c r="E73" s="83"/>
      <c r="F73" s="83"/>
      <c r="G73" s="104"/>
      <c r="H73" s="103"/>
      <c r="I73" s="83"/>
      <c r="J73" s="83"/>
      <c r="K73" s="83"/>
      <c r="L73" s="83"/>
      <c r="M73" s="83"/>
      <c r="N73" s="104"/>
      <c r="O73" s="162"/>
      <c r="P73" s="371"/>
      <c r="Q73" s="371"/>
      <c r="R73" s="371"/>
      <c r="S73" s="371"/>
      <c r="T73" s="215"/>
      <c r="U73" s="215"/>
      <c r="V73" s="215"/>
      <c r="W73" s="215"/>
      <c r="X73" s="215"/>
      <c r="Y73" s="215"/>
      <c r="Z73" s="215"/>
      <c r="AA73" s="215"/>
      <c r="AB73" s="215"/>
      <c r="AC73" s="215"/>
      <c r="AD73" s="215"/>
      <c r="AE73" s="215"/>
      <c r="AF73" s="215"/>
      <c r="AG73" s="215"/>
      <c r="AH73" s="215"/>
      <c r="AI73" s="215"/>
      <c r="AJ73" s="215"/>
      <c r="AK73" s="215"/>
      <c r="AL73" s="215"/>
      <c r="AM73" s="215"/>
      <c r="AN73" s="215"/>
      <c r="AO73" s="215"/>
      <c r="AP73" s="215"/>
      <c r="AQ73" s="215"/>
      <c r="AR73" s="371"/>
      <c r="AS73" s="372"/>
      <c r="AT73" s="372"/>
      <c r="AU73" s="372"/>
      <c r="AV73" s="372"/>
      <c r="AW73" s="372"/>
      <c r="AX73" s="372"/>
      <c r="AY73" s="372"/>
      <c r="AZ73" s="372"/>
      <c r="BA73" s="372"/>
      <c r="BB73" s="372"/>
      <c r="BC73" s="372"/>
      <c r="BD73" s="372"/>
      <c r="BE73" s="372"/>
    </row>
    <row r="74" spans="1:57" ht="16.25" customHeight="1" x14ac:dyDescent="0.2">
      <c r="A74" s="83"/>
      <c r="B74" s="103"/>
      <c r="C74" s="83"/>
      <c r="D74" s="83"/>
      <c r="E74" s="83"/>
      <c r="F74" s="83"/>
      <c r="G74" s="104"/>
      <c r="H74" s="103"/>
      <c r="I74" s="83"/>
      <c r="J74" s="83"/>
      <c r="K74" s="83"/>
      <c r="L74" s="83"/>
      <c r="M74" s="83"/>
      <c r="N74" s="104"/>
      <c r="O74" s="161"/>
      <c r="P74" s="376"/>
      <c r="Q74" s="376"/>
      <c r="R74" s="376"/>
      <c r="S74" s="376"/>
      <c r="T74" s="215"/>
      <c r="U74" s="215"/>
      <c r="V74" s="215"/>
      <c r="W74" s="215"/>
      <c r="X74" s="215"/>
      <c r="Y74" s="215"/>
      <c r="Z74" s="215"/>
      <c r="AA74" s="215"/>
      <c r="AB74" s="215"/>
      <c r="AC74" s="215"/>
      <c r="AD74" s="215"/>
      <c r="AE74" s="215"/>
      <c r="AF74" s="215"/>
      <c r="AG74" s="215"/>
      <c r="AH74" s="215"/>
      <c r="AI74" s="215"/>
      <c r="AJ74" s="215"/>
      <c r="AK74" s="215"/>
      <c r="AL74" s="215"/>
      <c r="AM74" s="215"/>
      <c r="AN74" s="215"/>
      <c r="AO74" s="215"/>
      <c r="AP74" s="215"/>
      <c r="AQ74" s="215"/>
      <c r="AR74" s="371"/>
      <c r="AS74" s="372"/>
      <c r="AT74" s="372"/>
      <c r="AU74" s="372"/>
      <c r="AV74" s="372"/>
      <c r="AW74" s="372"/>
      <c r="AX74" s="372"/>
      <c r="AY74" s="372"/>
      <c r="AZ74" s="372"/>
      <c r="BA74" s="372"/>
      <c r="BB74" s="372"/>
      <c r="BC74" s="372"/>
      <c r="BD74" s="372"/>
      <c r="BE74" s="372"/>
    </row>
    <row r="75" spans="1:57" ht="16.25" customHeight="1" x14ac:dyDescent="0.2">
      <c r="A75" s="83"/>
      <c r="B75" s="103"/>
      <c r="C75" s="83"/>
      <c r="D75" s="83"/>
      <c r="E75" s="83"/>
      <c r="F75" s="83"/>
      <c r="G75" s="104"/>
      <c r="H75" s="103"/>
      <c r="I75" s="83"/>
      <c r="J75" s="83"/>
      <c r="K75" s="83"/>
      <c r="L75" s="83"/>
      <c r="M75" s="83"/>
      <c r="N75" s="104"/>
      <c r="O75" s="163"/>
      <c r="P75" s="373"/>
      <c r="Q75" s="377"/>
      <c r="R75" s="376"/>
      <c r="S75" s="376"/>
      <c r="T75" s="215"/>
      <c r="U75" s="215"/>
      <c r="V75" s="215"/>
      <c r="W75" s="215"/>
      <c r="X75" s="215"/>
      <c r="Y75" s="215"/>
      <c r="Z75" s="215"/>
      <c r="AA75" s="215"/>
      <c r="AB75" s="215"/>
      <c r="AC75" s="215"/>
      <c r="AD75" s="215"/>
      <c r="AE75" s="215"/>
      <c r="AF75" s="215"/>
      <c r="AG75" s="215"/>
      <c r="AH75" s="215"/>
      <c r="AI75" s="215"/>
      <c r="AJ75" s="215"/>
      <c r="AK75" s="215"/>
      <c r="AL75" s="215"/>
      <c r="AM75" s="215"/>
      <c r="AN75" s="215"/>
      <c r="AO75" s="215"/>
      <c r="AP75" s="215"/>
      <c r="AQ75" s="215"/>
      <c r="AR75" s="371"/>
      <c r="AS75" s="372"/>
      <c r="AT75" s="372"/>
      <c r="AU75" s="372"/>
      <c r="AV75" s="372"/>
      <c r="AW75" s="372"/>
      <c r="AX75" s="372"/>
      <c r="AY75" s="372"/>
      <c r="AZ75" s="372"/>
      <c r="BA75" s="372"/>
      <c r="BB75" s="372"/>
      <c r="BC75" s="372"/>
      <c r="BD75" s="372"/>
      <c r="BE75" s="372"/>
    </row>
    <row r="76" spans="1:57" ht="16.25" customHeight="1" x14ac:dyDescent="0.2">
      <c r="A76" s="83"/>
      <c r="B76" s="103"/>
      <c r="C76" s="83"/>
      <c r="D76" s="83"/>
      <c r="E76" s="83"/>
      <c r="F76" s="83"/>
      <c r="G76" s="104"/>
      <c r="H76" s="103"/>
      <c r="I76" s="83"/>
      <c r="J76" s="83"/>
      <c r="K76" s="83"/>
      <c r="L76" s="83"/>
      <c r="M76" s="83"/>
      <c r="N76" s="104"/>
      <c r="O76" s="162"/>
      <c r="P76" s="371"/>
      <c r="Q76" s="371"/>
      <c r="R76" s="371"/>
      <c r="S76" s="371"/>
      <c r="T76" s="215"/>
      <c r="U76" s="215"/>
      <c r="V76" s="215"/>
      <c r="W76" s="215"/>
      <c r="X76" s="215"/>
      <c r="Y76" s="215"/>
      <c r="Z76" s="215"/>
      <c r="AA76" s="215"/>
      <c r="AB76" s="215"/>
      <c r="AC76" s="215"/>
      <c r="AD76" s="215"/>
      <c r="AE76" s="215"/>
      <c r="AF76" s="215"/>
      <c r="AG76" s="215"/>
      <c r="AH76" s="215"/>
      <c r="AI76" s="215"/>
      <c r="AJ76" s="215"/>
      <c r="AK76" s="215"/>
      <c r="AL76" s="215"/>
      <c r="AM76" s="215"/>
      <c r="AN76" s="215"/>
      <c r="AO76" s="215"/>
      <c r="AP76" s="215"/>
      <c r="AQ76" s="215"/>
      <c r="AR76" s="371"/>
      <c r="AS76" s="372"/>
      <c r="AT76" s="372"/>
      <c r="AU76" s="372"/>
      <c r="AV76" s="372"/>
      <c r="AW76" s="372"/>
      <c r="AX76" s="372"/>
      <c r="AY76" s="372"/>
      <c r="AZ76" s="372"/>
      <c r="BA76" s="372"/>
      <c r="BB76" s="372"/>
      <c r="BC76" s="372"/>
      <c r="BD76" s="372"/>
      <c r="BE76" s="372"/>
    </row>
    <row r="77" spans="1:57" ht="16.25" customHeight="1" x14ac:dyDescent="0.2">
      <c r="A77" s="83"/>
      <c r="B77" s="103"/>
      <c r="C77" s="83"/>
      <c r="D77" s="83"/>
      <c r="E77" s="83"/>
      <c r="F77" s="83"/>
      <c r="G77" s="104"/>
      <c r="H77" s="103"/>
      <c r="I77" s="83"/>
      <c r="J77" s="83"/>
      <c r="K77" s="83"/>
      <c r="L77" s="83"/>
      <c r="M77" s="83"/>
      <c r="N77" s="104"/>
      <c r="O77" s="162"/>
      <c r="P77" s="371"/>
      <c r="Q77" s="371"/>
      <c r="R77" s="371"/>
      <c r="S77" s="371"/>
      <c r="T77" s="215"/>
      <c r="U77" s="215"/>
      <c r="V77" s="215"/>
      <c r="W77" s="215"/>
      <c r="X77" s="215"/>
      <c r="Y77" s="215"/>
      <c r="Z77" s="215"/>
      <c r="AA77" s="215"/>
      <c r="AB77" s="215"/>
      <c r="AC77" s="215"/>
      <c r="AD77" s="215"/>
      <c r="AE77" s="215"/>
      <c r="AF77" s="215"/>
      <c r="AG77" s="215"/>
      <c r="AH77" s="215"/>
      <c r="AI77" s="215"/>
      <c r="AJ77" s="215"/>
      <c r="AK77" s="215"/>
      <c r="AL77" s="215"/>
      <c r="AM77" s="215"/>
      <c r="AN77" s="215"/>
      <c r="AO77" s="215"/>
      <c r="AP77" s="215"/>
      <c r="AQ77" s="215"/>
      <c r="AR77" s="371"/>
      <c r="AS77" s="372"/>
      <c r="AT77" s="372"/>
      <c r="AU77" s="372"/>
      <c r="AV77" s="372"/>
      <c r="AW77" s="372"/>
      <c r="AX77" s="372"/>
      <c r="AY77" s="372"/>
      <c r="AZ77" s="372"/>
      <c r="BA77" s="372"/>
      <c r="BB77" s="372"/>
      <c r="BC77" s="372"/>
      <c r="BD77" s="372"/>
      <c r="BE77" s="372"/>
    </row>
    <row r="78" spans="1:57" ht="16.25" customHeight="1" x14ac:dyDescent="0.2">
      <c r="A78" s="83"/>
      <c r="B78" s="103"/>
      <c r="C78" s="83"/>
      <c r="D78" s="83"/>
      <c r="E78" s="83"/>
      <c r="F78" s="83"/>
      <c r="G78" s="104"/>
      <c r="H78" s="103"/>
      <c r="I78" s="83"/>
      <c r="J78" s="83"/>
      <c r="K78" s="83"/>
      <c r="L78" s="83"/>
      <c r="M78" s="83"/>
      <c r="N78" s="104"/>
      <c r="O78" s="162"/>
      <c r="P78" s="371"/>
      <c r="Q78" s="371"/>
      <c r="R78" s="371"/>
      <c r="S78" s="371"/>
      <c r="T78" s="215"/>
      <c r="U78" s="215"/>
      <c r="V78" s="215"/>
      <c r="W78" s="215"/>
      <c r="X78" s="215"/>
      <c r="Y78" s="215"/>
      <c r="Z78" s="215"/>
      <c r="AA78" s="215"/>
      <c r="AB78" s="215"/>
      <c r="AC78" s="215"/>
      <c r="AD78" s="215"/>
      <c r="AE78" s="215"/>
      <c r="AF78" s="215"/>
      <c r="AG78" s="215"/>
      <c r="AH78" s="215"/>
      <c r="AI78" s="215"/>
      <c r="AJ78" s="215"/>
      <c r="AK78" s="215"/>
      <c r="AL78" s="215"/>
      <c r="AM78" s="215"/>
      <c r="AN78" s="215"/>
      <c r="AO78" s="215"/>
      <c r="AP78" s="215"/>
      <c r="AQ78" s="215"/>
      <c r="AR78" s="371"/>
      <c r="AS78" s="372"/>
      <c r="AT78" s="372"/>
      <c r="AU78" s="372"/>
      <c r="AV78" s="372"/>
      <c r="AW78" s="372"/>
      <c r="AX78" s="372"/>
      <c r="AY78" s="372"/>
      <c r="AZ78" s="372"/>
      <c r="BA78" s="372"/>
      <c r="BB78" s="372"/>
      <c r="BC78" s="372"/>
      <c r="BD78" s="372"/>
      <c r="BE78" s="372"/>
    </row>
    <row r="79" spans="1:57" ht="16.25" customHeight="1" x14ac:dyDescent="0.2">
      <c r="A79" s="83"/>
      <c r="B79" s="103"/>
      <c r="C79" s="83"/>
      <c r="D79" s="83"/>
      <c r="E79" s="83"/>
      <c r="F79" s="83"/>
      <c r="G79" s="104"/>
      <c r="H79" s="103"/>
      <c r="I79" s="83"/>
      <c r="J79" s="83"/>
      <c r="K79" s="83"/>
      <c r="L79" s="83"/>
      <c r="M79" s="83"/>
      <c r="N79" s="104"/>
      <c r="O79" s="162"/>
      <c r="P79" s="371"/>
      <c r="Q79" s="371"/>
      <c r="R79" s="371"/>
      <c r="S79" s="371"/>
      <c r="T79" s="215"/>
      <c r="U79" s="215"/>
      <c r="V79" s="215"/>
      <c r="W79" s="215"/>
      <c r="X79" s="215"/>
      <c r="Y79" s="215"/>
      <c r="Z79" s="215"/>
      <c r="AA79" s="215"/>
      <c r="AB79" s="215"/>
      <c r="AC79" s="215"/>
      <c r="AD79" s="215"/>
      <c r="AE79" s="215"/>
      <c r="AF79" s="215"/>
      <c r="AG79" s="215"/>
      <c r="AH79" s="215"/>
      <c r="AI79" s="215"/>
      <c r="AJ79" s="215"/>
      <c r="AK79" s="215"/>
      <c r="AL79" s="215"/>
      <c r="AM79" s="215"/>
      <c r="AN79" s="215"/>
      <c r="AO79" s="215"/>
      <c r="AP79" s="215"/>
      <c r="AQ79" s="215"/>
      <c r="AR79" s="371"/>
      <c r="AS79" s="372"/>
      <c r="AT79" s="372"/>
      <c r="AU79" s="372"/>
      <c r="AV79" s="372"/>
      <c r="AW79" s="372"/>
      <c r="AX79" s="372"/>
      <c r="AY79" s="372"/>
      <c r="AZ79" s="372"/>
      <c r="BA79" s="372"/>
      <c r="BB79" s="372"/>
      <c r="BC79" s="372"/>
      <c r="BD79" s="372"/>
      <c r="BE79" s="372"/>
    </row>
    <row r="80" spans="1:57" ht="16.25" customHeight="1" x14ac:dyDescent="0.2">
      <c r="A80" s="83"/>
      <c r="B80" s="933" t="s">
        <v>281</v>
      </c>
      <c r="C80" s="934"/>
      <c r="D80" s="934"/>
      <c r="E80" s="934"/>
      <c r="F80" s="934"/>
      <c r="G80" s="935"/>
      <c r="H80" s="116" t="s">
        <v>252</v>
      </c>
      <c r="I80" s="117" t="s">
        <v>2</v>
      </c>
      <c r="J80" s="939" t="s">
        <v>82</v>
      </c>
      <c r="K80" s="940"/>
      <c r="L80" s="940"/>
      <c r="M80" s="940"/>
      <c r="N80" s="941"/>
      <c r="O80" s="162"/>
      <c r="P80" s="371"/>
      <c r="Q80" s="371"/>
      <c r="R80" s="371"/>
      <c r="S80" s="371"/>
      <c r="T80" s="215"/>
      <c r="U80" s="215"/>
      <c r="V80" s="215"/>
      <c r="W80" s="215"/>
      <c r="X80" s="215"/>
      <c r="Y80" s="215"/>
      <c r="Z80" s="215"/>
      <c r="AA80" s="215"/>
      <c r="AB80" s="215"/>
      <c r="AC80" s="215"/>
      <c r="AD80" s="215"/>
      <c r="AE80" s="215"/>
      <c r="AF80" s="215"/>
      <c r="AG80" s="215"/>
      <c r="AH80" s="215"/>
      <c r="AI80" s="215"/>
      <c r="AJ80" s="215"/>
      <c r="AK80" s="215"/>
      <c r="AL80" s="215"/>
      <c r="AM80" s="215"/>
      <c r="AN80" s="215"/>
      <c r="AO80" s="215"/>
      <c r="AP80" s="215"/>
      <c r="AQ80" s="215"/>
      <c r="AR80" s="371"/>
      <c r="AS80" s="372"/>
      <c r="AT80" s="372"/>
      <c r="AU80" s="372"/>
      <c r="AV80" s="372"/>
      <c r="AW80" s="372"/>
      <c r="AX80" s="372"/>
      <c r="AY80" s="372"/>
      <c r="AZ80" s="372"/>
      <c r="BA80" s="372"/>
      <c r="BB80" s="372"/>
      <c r="BC80" s="372"/>
      <c r="BD80" s="372"/>
      <c r="BE80" s="372"/>
    </row>
    <row r="81" spans="1:57" ht="16.25" customHeight="1" x14ac:dyDescent="0.2">
      <c r="A81" s="83"/>
      <c r="B81" s="936"/>
      <c r="C81" s="937"/>
      <c r="D81" s="937"/>
      <c r="E81" s="937"/>
      <c r="F81" s="937"/>
      <c r="G81" s="938"/>
      <c r="H81" s="493"/>
      <c r="I81" s="110"/>
      <c r="J81" s="988"/>
      <c r="K81" s="989"/>
      <c r="L81" s="989"/>
      <c r="M81" s="989"/>
      <c r="N81" s="990"/>
      <c r="O81" s="83"/>
      <c r="P81" s="215"/>
      <c r="Q81" s="215"/>
      <c r="R81" s="215"/>
      <c r="S81" s="215"/>
      <c r="T81" s="215"/>
      <c r="U81" s="215"/>
      <c r="V81" s="215"/>
      <c r="W81" s="215"/>
      <c r="X81" s="215"/>
      <c r="Y81" s="215"/>
      <c r="Z81" s="215"/>
      <c r="AA81" s="215"/>
      <c r="AB81" s="215"/>
      <c r="AC81" s="215"/>
      <c r="AD81" s="215"/>
      <c r="AE81" s="215"/>
      <c r="AF81" s="215"/>
      <c r="AG81" s="215"/>
      <c r="AH81" s="215"/>
      <c r="AI81" s="215"/>
      <c r="AJ81" s="215"/>
      <c r="AK81" s="215"/>
      <c r="AL81" s="215"/>
      <c r="AM81" s="215"/>
      <c r="AN81" s="215"/>
      <c r="AO81" s="215"/>
      <c r="AP81" s="215"/>
      <c r="AQ81" s="215"/>
      <c r="AR81" s="371"/>
      <c r="AS81" s="372"/>
      <c r="AT81" s="372"/>
      <c r="AU81" s="372"/>
      <c r="AV81" s="372"/>
      <c r="AW81" s="372"/>
      <c r="AX81" s="372"/>
      <c r="AY81" s="372"/>
      <c r="AZ81" s="372"/>
      <c r="BA81" s="372"/>
      <c r="BB81" s="372"/>
      <c r="BC81" s="372"/>
      <c r="BD81" s="372"/>
      <c r="BE81" s="372"/>
    </row>
    <row r="82" spans="1:57" ht="16.25" customHeight="1" x14ac:dyDescent="0.2">
      <c r="A82" s="83"/>
      <c r="B82" s="83"/>
      <c r="C82" s="83"/>
      <c r="D82" s="83"/>
      <c r="E82" s="83"/>
      <c r="F82" s="83"/>
      <c r="G82" s="83"/>
      <c r="H82" s="83"/>
      <c r="I82" s="83"/>
      <c r="J82" s="83"/>
      <c r="K82" s="83"/>
      <c r="L82" s="83"/>
      <c r="M82" s="162"/>
      <c r="N82" s="165"/>
      <c r="O82" s="83"/>
      <c r="P82" s="215"/>
      <c r="Q82" s="215"/>
      <c r="R82" s="215"/>
      <c r="S82" s="215"/>
      <c r="T82" s="215"/>
      <c r="U82" s="215"/>
      <c r="V82" s="215"/>
      <c r="W82" s="215"/>
      <c r="X82" s="215"/>
      <c r="Y82" s="215"/>
      <c r="Z82" s="215"/>
      <c r="AA82" s="215"/>
      <c r="AB82" s="215"/>
      <c r="AC82" s="215"/>
      <c r="AD82" s="215"/>
      <c r="AE82" s="215"/>
      <c r="AF82" s="215"/>
      <c r="AG82" s="215"/>
      <c r="AH82" s="215"/>
      <c r="AI82" s="215"/>
      <c r="AJ82" s="215"/>
      <c r="AK82" s="215"/>
      <c r="AL82" s="215"/>
      <c r="AM82" s="215"/>
      <c r="AN82" s="215"/>
      <c r="AO82" s="215"/>
      <c r="AP82" s="215"/>
      <c r="AQ82" s="215"/>
      <c r="AR82" s="371"/>
      <c r="AS82" s="372"/>
      <c r="AT82" s="372"/>
      <c r="AU82" s="372"/>
      <c r="AV82" s="372"/>
      <c r="AW82" s="372"/>
      <c r="AX82" s="372"/>
      <c r="AY82" s="372"/>
      <c r="AZ82" s="372"/>
      <c r="BA82" s="372"/>
      <c r="BB82" s="372"/>
      <c r="BC82" s="372"/>
      <c r="BD82" s="372"/>
      <c r="BE82" s="372"/>
    </row>
    <row r="83" spans="1:57" x14ac:dyDescent="0.2">
      <c r="A83" s="83"/>
      <c r="B83" s="83"/>
      <c r="C83" s="83"/>
      <c r="D83" s="83"/>
      <c r="E83" s="83"/>
      <c r="F83" s="83"/>
      <c r="G83" s="83"/>
      <c r="H83" s="83"/>
      <c r="I83" s="83"/>
      <c r="J83" s="83"/>
      <c r="K83" s="83"/>
      <c r="L83" s="83"/>
      <c r="M83" s="162"/>
      <c r="N83" s="165"/>
      <c r="O83" s="83"/>
      <c r="P83" s="215"/>
      <c r="Q83" s="215"/>
      <c r="R83" s="215"/>
      <c r="S83" s="215"/>
      <c r="T83" s="215"/>
      <c r="U83" s="215"/>
      <c r="V83" s="215"/>
      <c r="W83" s="215"/>
      <c r="X83" s="215"/>
      <c r="Y83" s="215"/>
      <c r="Z83" s="215"/>
      <c r="AA83" s="215"/>
      <c r="AB83" s="215"/>
      <c r="AC83" s="215"/>
      <c r="AD83" s="215"/>
      <c r="AE83" s="215"/>
      <c r="AF83" s="215"/>
      <c r="AG83" s="215"/>
      <c r="AH83" s="215"/>
      <c r="AI83" s="215"/>
      <c r="AJ83" s="215"/>
      <c r="AK83" s="215"/>
      <c r="AL83" s="215"/>
      <c r="AM83" s="215"/>
      <c r="AN83" s="215"/>
      <c r="AO83" s="215"/>
      <c r="AP83" s="215"/>
      <c r="AQ83" s="215"/>
      <c r="AR83" s="371"/>
      <c r="AS83" s="372"/>
      <c r="AT83" s="372"/>
      <c r="AU83" s="372"/>
      <c r="AV83" s="372"/>
      <c r="AW83" s="372"/>
      <c r="AX83" s="372"/>
      <c r="AY83" s="372"/>
      <c r="AZ83" s="372"/>
      <c r="BA83" s="372"/>
      <c r="BB83" s="372"/>
      <c r="BC83" s="372"/>
      <c r="BD83" s="372"/>
      <c r="BE83" s="372"/>
    </row>
    <row r="84" spans="1:57" x14ac:dyDescent="0.2">
      <c r="P84" s="372"/>
      <c r="Q84" s="372"/>
      <c r="R84" s="372"/>
      <c r="S84" s="372"/>
      <c r="T84" s="372"/>
      <c r="U84" s="372"/>
      <c r="V84" s="372"/>
      <c r="W84" s="372"/>
      <c r="X84" s="372"/>
      <c r="Y84" s="372"/>
      <c r="Z84" s="372"/>
      <c r="AA84" s="372"/>
      <c r="AB84" s="372"/>
      <c r="AC84" s="372"/>
      <c r="AD84" s="372"/>
      <c r="AE84" s="372"/>
      <c r="AF84" s="372"/>
      <c r="AG84" s="372"/>
      <c r="AH84" s="372"/>
      <c r="AI84" s="372"/>
      <c r="AJ84" s="372"/>
      <c r="AK84" s="372"/>
      <c r="AL84" s="372"/>
      <c r="AM84" s="372"/>
      <c r="AN84" s="372"/>
      <c r="AO84" s="372"/>
      <c r="AP84" s="372"/>
      <c r="AS84" s="372"/>
      <c r="AT84" s="372"/>
      <c r="AU84" s="372"/>
      <c r="AV84" s="372"/>
      <c r="AW84" s="372"/>
      <c r="AX84" s="372"/>
      <c r="AY84" s="372"/>
      <c r="AZ84" s="372"/>
      <c r="BA84" s="372"/>
      <c r="BB84" s="372"/>
      <c r="BC84" s="372"/>
      <c r="BD84" s="372"/>
      <c r="BE84" s="372"/>
    </row>
    <row r="85" spans="1:57" x14ac:dyDescent="0.2">
      <c r="P85" s="372"/>
      <c r="Q85" s="372"/>
      <c r="R85" s="372"/>
      <c r="S85" s="372"/>
      <c r="T85" s="372"/>
      <c r="U85" s="372"/>
      <c r="V85" s="372"/>
      <c r="W85" s="372"/>
      <c r="X85" s="372"/>
      <c r="Y85" s="372"/>
      <c r="Z85" s="372"/>
      <c r="AA85" s="372"/>
      <c r="AB85" s="372"/>
      <c r="AC85" s="372"/>
      <c r="AD85" s="372"/>
      <c r="AE85" s="372"/>
      <c r="AF85" s="372"/>
      <c r="AG85" s="372"/>
      <c r="AH85" s="372"/>
      <c r="AI85" s="372"/>
      <c r="AJ85" s="372"/>
      <c r="AK85" s="372"/>
      <c r="AL85" s="372"/>
      <c r="AM85" s="372"/>
      <c r="AN85" s="372"/>
      <c r="AO85" s="372"/>
      <c r="AP85" s="372"/>
      <c r="AS85" s="372"/>
      <c r="AT85" s="372"/>
      <c r="AU85" s="372"/>
      <c r="AV85" s="372"/>
      <c r="AW85" s="372"/>
      <c r="AX85" s="372"/>
      <c r="AY85" s="372"/>
      <c r="AZ85" s="372"/>
      <c r="BA85" s="372"/>
      <c r="BB85" s="372"/>
      <c r="BC85" s="372"/>
      <c r="BD85" s="372"/>
      <c r="BE85" s="372"/>
    </row>
    <row r="86" spans="1:57" x14ac:dyDescent="0.2">
      <c r="P86" s="372"/>
      <c r="Q86" s="372"/>
      <c r="R86" s="372"/>
      <c r="S86" s="372"/>
      <c r="T86" s="372"/>
      <c r="U86" s="372"/>
      <c r="V86" s="372"/>
      <c r="W86" s="372"/>
      <c r="X86" s="372"/>
      <c r="Y86" s="372"/>
      <c r="Z86" s="372"/>
      <c r="AA86" s="372"/>
      <c r="AB86" s="372"/>
      <c r="AC86" s="372"/>
      <c r="AD86" s="372"/>
      <c r="AE86" s="372"/>
      <c r="AF86" s="372"/>
      <c r="AG86" s="372"/>
      <c r="AH86" s="372"/>
      <c r="AI86" s="372"/>
      <c r="AJ86" s="372"/>
      <c r="AK86" s="372"/>
      <c r="AL86" s="372"/>
      <c r="AM86" s="372"/>
      <c r="AN86" s="372"/>
      <c r="AO86" s="372"/>
      <c r="AP86" s="372"/>
      <c r="AS86" s="372"/>
      <c r="AT86" s="372"/>
      <c r="AU86" s="372"/>
      <c r="AV86" s="372"/>
      <c r="AW86" s="372"/>
      <c r="AX86" s="372"/>
      <c r="AY86" s="372"/>
      <c r="AZ86" s="372"/>
      <c r="BA86" s="372"/>
      <c r="BB86" s="372"/>
      <c r="BC86" s="372"/>
      <c r="BD86" s="372"/>
      <c r="BE86" s="372"/>
    </row>
    <row r="87" spans="1:57" x14ac:dyDescent="0.2">
      <c r="P87" s="372"/>
      <c r="Q87" s="372"/>
      <c r="R87" s="372"/>
      <c r="S87" s="372"/>
      <c r="T87" s="372"/>
      <c r="U87" s="372"/>
      <c r="V87" s="372"/>
      <c r="W87" s="372"/>
      <c r="X87" s="372"/>
      <c r="Y87" s="372"/>
      <c r="Z87" s="372"/>
      <c r="AA87" s="372"/>
      <c r="AB87" s="372"/>
      <c r="AC87" s="372"/>
      <c r="AD87" s="372"/>
      <c r="AE87" s="372"/>
      <c r="AF87" s="372"/>
      <c r="AG87" s="372"/>
      <c r="AH87" s="372"/>
      <c r="AI87" s="372"/>
      <c r="AJ87" s="372"/>
      <c r="AK87" s="372"/>
      <c r="AL87" s="372"/>
      <c r="AM87" s="372"/>
      <c r="AN87" s="372"/>
      <c r="AO87" s="372"/>
      <c r="AP87" s="372"/>
      <c r="AS87" s="372"/>
      <c r="AT87" s="372"/>
      <c r="AU87" s="372"/>
      <c r="AV87" s="372"/>
      <c r="AW87" s="372"/>
      <c r="AX87" s="372"/>
      <c r="AY87" s="372"/>
      <c r="AZ87" s="372"/>
      <c r="BA87" s="372"/>
      <c r="BB87" s="372"/>
      <c r="BC87" s="372"/>
      <c r="BD87" s="372"/>
      <c r="BE87" s="372"/>
    </row>
    <row r="88" spans="1:57" x14ac:dyDescent="0.2">
      <c r="P88" s="372"/>
      <c r="Q88" s="372"/>
      <c r="R88" s="372"/>
      <c r="S88" s="372"/>
      <c r="T88" s="372"/>
      <c r="U88" s="372"/>
      <c r="V88" s="372"/>
      <c r="W88" s="372"/>
      <c r="X88" s="372"/>
      <c r="Y88" s="372"/>
      <c r="Z88" s="372"/>
      <c r="AA88" s="372"/>
      <c r="AB88" s="372"/>
      <c r="AC88" s="372"/>
      <c r="AD88" s="372"/>
      <c r="AE88" s="372"/>
      <c r="AF88" s="372"/>
      <c r="AG88" s="372"/>
      <c r="AH88" s="372"/>
      <c r="AI88" s="372"/>
      <c r="AJ88" s="372"/>
      <c r="AK88" s="372"/>
      <c r="AL88" s="372"/>
      <c r="AM88" s="372"/>
      <c r="AN88" s="372"/>
      <c r="AO88" s="372"/>
      <c r="AP88" s="372"/>
      <c r="AS88" s="372"/>
      <c r="AT88" s="372"/>
      <c r="AU88" s="372"/>
      <c r="AV88" s="372"/>
      <c r="AW88" s="372"/>
      <c r="AX88" s="372"/>
      <c r="AY88" s="372"/>
      <c r="AZ88" s="372"/>
      <c r="BA88" s="372"/>
      <c r="BB88" s="372"/>
      <c r="BC88" s="372"/>
      <c r="BD88" s="372"/>
      <c r="BE88" s="372"/>
    </row>
    <row r="89" spans="1:57" x14ac:dyDescent="0.2">
      <c r="P89" s="372"/>
      <c r="Q89" s="372"/>
      <c r="R89" s="372"/>
      <c r="S89" s="372"/>
      <c r="T89" s="372"/>
      <c r="U89" s="372"/>
      <c r="V89" s="372"/>
      <c r="W89" s="372"/>
      <c r="X89" s="372"/>
      <c r="Y89" s="372"/>
      <c r="Z89" s="372"/>
      <c r="AA89" s="372"/>
      <c r="AB89" s="372"/>
      <c r="AC89" s="372"/>
      <c r="AD89" s="372"/>
      <c r="AE89" s="372"/>
      <c r="AF89" s="372"/>
      <c r="AG89" s="372"/>
      <c r="AH89" s="372"/>
      <c r="AI89" s="372"/>
      <c r="AJ89" s="372"/>
      <c r="AK89" s="372"/>
      <c r="AL89" s="372"/>
      <c r="AM89" s="372"/>
      <c r="AN89" s="372"/>
      <c r="AO89" s="372"/>
      <c r="AP89" s="372"/>
      <c r="AS89" s="372"/>
      <c r="AT89" s="372"/>
      <c r="AU89" s="372"/>
      <c r="AV89" s="372"/>
      <c r="AW89" s="372"/>
      <c r="AX89" s="372"/>
      <c r="AY89" s="372"/>
      <c r="AZ89" s="372"/>
      <c r="BA89" s="372"/>
      <c r="BB89" s="372"/>
      <c r="BC89" s="372"/>
      <c r="BD89" s="372"/>
      <c r="BE89" s="372"/>
    </row>
    <row r="90" spans="1:57" x14ac:dyDescent="0.2">
      <c r="P90" s="372"/>
      <c r="Q90" s="372"/>
      <c r="R90" s="372"/>
      <c r="S90" s="372"/>
      <c r="T90" s="372"/>
      <c r="U90" s="372"/>
      <c r="V90" s="372"/>
      <c r="W90" s="372"/>
      <c r="X90" s="372"/>
      <c r="Y90" s="372"/>
      <c r="Z90" s="372"/>
      <c r="AA90" s="372"/>
      <c r="AB90" s="372"/>
      <c r="AC90" s="372"/>
      <c r="AD90" s="372"/>
      <c r="AE90" s="372"/>
      <c r="AF90" s="372"/>
      <c r="AG90" s="372"/>
      <c r="AH90" s="372"/>
      <c r="AI90" s="372"/>
      <c r="AJ90" s="372"/>
      <c r="AK90" s="372"/>
      <c r="AL90" s="372"/>
      <c r="AM90" s="372"/>
      <c r="AN90" s="372"/>
      <c r="AO90" s="372"/>
      <c r="AP90" s="372"/>
      <c r="AS90" s="372"/>
      <c r="AT90" s="372"/>
      <c r="AU90" s="372"/>
      <c r="AV90" s="372"/>
      <c r="AW90" s="372"/>
      <c r="AX90" s="372"/>
      <c r="AY90" s="372"/>
      <c r="AZ90" s="372"/>
      <c r="BA90" s="372"/>
      <c r="BB90" s="372"/>
      <c r="BC90" s="372"/>
      <c r="BD90" s="372"/>
      <c r="BE90" s="372"/>
    </row>
    <row r="91" spans="1:57" x14ac:dyDescent="0.2">
      <c r="P91" s="372"/>
      <c r="Q91" s="372"/>
      <c r="R91" s="372"/>
      <c r="S91" s="372"/>
      <c r="T91" s="372"/>
      <c r="U91" s="372"/>
      <c r="V91" s="372"/>
      <c r="W91" s="372"/>
      <c r="X91" s="372"/>
      <c r="Y91" s="372"/>
      <c r="Z91" s="372"/>
      <c r="AA91" s="372"/>
      <c r="AB91" s="372"/>
      <c r="AC91" s="372"/>
      <c r="AD91" s="372"/>
      <c r="AE91" s="372"/>
      <c r="AF91" s="372"/>
      <c r="AG91" s="372"/>
      <c r="AH91" s="372"/>
      <c r="AI91" s="372"/>
      <c r="AJ91" s="372"/>
      <c r="AK91" s="372"/>
      <c r="AL91" s="372"/>
      <c r="AM91" s="372"/>
      <c r="AN91" s="372"/>
      <c r="AO91" s="372"/>
      <c r="AP91" s="372"/>
      <c r="AS91" s="372"/>
      <c r="AT91" s="372"/>
      <c r="AU91" s="372"/>
      <c r="AV91" s="372"/>
      <c r="AW91" s="372"/>
      <c r="AX91" s="372"/>
      <c r="AY91" s="372"/>
      <c r="AZ91" s="372"/>
      <c r="BA91" s="372"/>
      <c r="BB91" s="372"/>
      <c r="BC91" s="372"/>
      <c r="BD91" s="372"/>
      <c r="BE91" s="372"/>
    </row>
    <row r="92" spans="1:57" x14ac:dyDescent="0.2">
      <c r="P92" s="372"/>
      <c r="Q92" s="372"/>
      <c r="R92" s="372"/>
      <c r="S92" s="372"/>
      <c r="T92" s="372"/>
      <c r="U92" s="372"/>
      <c r="V92" s="372"/>
      <c r="W92" s="372"/>
      <c r="X92" s="372"/>
      <c r="Y92" s="372"/>
      <c r="Z92" s="372"/>
      <c r="AA92" s="372"/>
      <c r="AB92" s="372"/>
      <c r="AC92" s="372"/>
      <c r="AD92" s="372"/>
      <c r="AE92" s="372"/>
      <c r="AF92" s="372"/>
      <c r="AG92" s="372"/>
      <c r="AH92" s="372"/>
      <c r="AI92" s="372"/>
      <c r="AJ92" s="372"/>
      <c r="AK92" s="372"/>
      <c r="AL92" s="372"/>
      <c r="AM92" s="372"/>
      <c r="AN92" s="372"/>
      <c r="AO92" s="372"/>
      <c r="AP92" s="372"/>
      <c r="AS92" s="372"/>
      <c r="AT92" s="372"/>
      <c r="AU92" s="372"/>
      <c r="AV92" s="372"/>
      <c r="AW92" s="372"/>
      <c r="AX92" s="372"/>
      <c r="AY92" s="372"/>
      <c r="AZ92" s="372"/>
      <c r="BA92" s="372"/>
      <c r="BB92" s="372"/>
      <c r="BC92" s="372"/>
      <c r="BD92" s="372"/>
      <c r="BE92" s="372"/>
    </row>
    <row r="93" spans="1:57" x14ac:dyDescent="0.2">
      <c r="P93" s="372"/>
      <c r="Q93" s="372"/>
      <c r="R93" s="372"/>
      <c r="S93" s="372"/>
      <c r="T93" s="372"/>
      <c r="U93" s="372"/>
      <c r="V93" s="372"/>
      <c r="W93" s="372"/>
      <c r="X93" s="372"/>
      <c r="Y93" s="372"/>
      <c r="Z93" s="372"/>
      <c r="AA93" s="372"/>
      <c r="AB93" s="372"/>
      <c r="AC93" s="372"/>
      <c r="AD93" s="372"/>
      <c r="AE93" s="372"/>
      <c r="AF93" s="372"/>
      <c r="AG93" s="372"/>
      <c r="AH93" s="372"/>
      <c r="AI93" s="372"/>
      <c r="AJ93" s="372"/>
      <c r="AK93" s="372"/>
      <c r="AL93" s="372"/>
      <c r="AM93" s="372"/>
      <c r="AN93" s="372"/>
      <c r="AO93" s="372"/>
      <c r="AP93" s="372"/>
      <c r="AS93" s="372"/>
      <c r="AT93" s="372"/>
      <c r="AU93" s="372"/>
      <c r="AV93" s="372"/>
      <c r="AW93" s="372"/>
      <c r="AX93" s="372"/>
      <c r="AY93" s="372"/>
      <c r="AZ93" s="372"/>
      <c r="BA93" s="372"/>
      <c r="BB93" s="372"/>
      <c r="BC93" s="372"/>
      <c r="BD93" s="372"/>
      <c r="BE93" s="372"/>
    </row>
    <row r="94" spans="1:57" x14ac:dyDescent="0.2">
      <c r="P94" s="372"/>
      <c r="Q94" s="372"/>
      <c r="R94" s="372"/>
      <c r="S94" s="372"/>
      <c r="T94" s="372"/>
      <c r="U94" s="372"/>
      <c r="V94" s="372"/>
      <c r="W94" s="372"/>
      <c r="X94" s="372"/>
      <c r="Y94" s="372"/>
      <c r="Z94" s="372"/>
      <c r="AA94" s="372"/>
      <c r="AB94" s="372"/>
      <c r="AC94" s="372"/>
      <c r="AD94" s="372"/>
      <c r="AE94" s="372"/>
      <c r="AF94" s="372"/>
      <c r="AG94" s="372"/>
      <c r="AH94" s="372"/>
      <c r="AI94" s="372"/>
      <c r="AJ94" s="372"/>
      <c r="AK94" s="372"/>
      <c r="AL94" s="372"/>
      <c r="AM94" s="372"/>
      <c r="AN94" s="372"/>
      <c r="AO94" s="372"/>
      <c r="AP94" s="372"/>
      <c r="AS94" s="372"/>
      <c r="AT94" s="372"/>
      <c r="AU94" s="372"/>
      <c r="AV94" s="372"/>
      <c r="AW94" s="372"/>
      <c r="AX94" s="372"/>
      <c r="AY94" s="372"/>
      <c r="AZ94" s="372"/>
      <c r="BA94" s="372"/>
      <c r="BB94" s="372"/>
      <c r="BC94" s="372"/>
      <c r="BD94" s="372"/>
      <c r="BE94" s="372"/>
    </row>
    <row r="95" spans="1:57" x14ac:dyDescent="0.2">
      <c r="P95" s="372"/>
      <c r="Q95" s="372"/>
      <c r="R95" s="372"/>
      <c r="S95" s="372"/>
      <c r="T95" s="372"/>
      <c r="U95" s="372"/>
      <c r="V95" s="372"/>
      <c r="W95" s="372"/>
      <c r="X95" s="372"/>
      <c r="Y95" s="372"/>
      <c r="Z95" s="372"/>
      <c r="AA95" s="372"/>
      <c r="AB95" s="372"/>
      <c r="AC95" s="372"/>
      <c r="AD95" s="372"/>
      <c r="AE95" s="372"/>
      <c r="AF95" s="372"/>
      <c r="AG95" s="372"/>
      <c r="AH95" s="372"/>
      <c r="AI95" s="372"/>
      <c r="AJ95" s="372"/>
      <c r="AK95" s="372"/>
      <c r="AL95" s="372"/>
      <c r="AM95" s="372"/>
      <c r="AN95" s="372"/>
      <c r="AO95" s="372"/>
      <c r="AP95" s="372"/>
      <c r="AS95" s="372"/>
      <c r="AT95" s="372"/>
      <c r="AU95" s="372"/>
      <c r="AV95" s="372"/>
      <c r="AW95" s="372"/>
      <c r="AX95" s="372"/>
      <c r="AY95" s="372"/>
      <c r="AZ95" s="372"/>
      <c r="BA95" s="372"/>
      <c r="BB95" s="372"/>
      <c r="BC95" s="372"/>
      <c r="BD95" s="372"/>
      <c r="BE95" s="372"/>
    </row>
    <row r="96" spans="1:57" x14ac:dyDescent="0.2">
      <c r="P96" s="372"/>
      <c r="Q96" s="372"/>
      <c r="R96" s="372"/>
      <c r="S96" s="372"/>
      <c r="T96" s="372"/>
      <c r="U96" s="372"/>
      <c r="V96" s="372"/>
      <c r="W96" s="372"/>
      <c r="X96" s="372"/>
      <c r="Y96" s="372"/>
      <c r="Z96" s="372"/>
      <c r="AA96" s="372"/>
      <c r="AB96" s="372"/>
      <c r="AC96" s="372"/>
      <c r="AD96" s="372"/>
      <c r="AE96" s="372"/>
      <c r="AF96" s="372"/>
      <c r="AG96" s="372"/>
      <c r="AH96" s="372"/>
      <c r="AI96" s="372"/>
      <c r="AJ96" s="372"/>
      <c r="AK96" s="372"/>
      <c r="AL96" s="372"/>
      <c r="AM96" s="372"/>
      <c r="AN96" s="372"/>
      <c r="AO96" s="372"/>
      <c r="AP96" s="372"/>
      <c r="AS96" s="372"/>
      <c r="AT96" s="372"/>
      <c r="AU96" s="372"/>
      <c r="AV96" s="372"/>
      <c r="AW96" s="372"/>
      <c r="AX96" s="372"/>
      <c r="AY96" s="372"/>
      <c r="AZ96" s="372"/>
      <c r="BA96" s="372"/>
      <c r="BB96" s="372"/>
      <c r="BC96" s="372"/>
      <c r="BD96" s="372"/>
      <c r="BE96" s="372"/>
    </row>
    <row r="97" spans="16:57" x14ac:dyDescent="0.2">
      <c r="P97" s="372"/>
      <c r="Q97" s="372"/>
      <c r="R97" s="372"/>
      <c r="S97" s="372"/>
      <c r="T97" s="372"/>
      <c r="U97" s="372"/>
      <c r="V97" s="372"/>
      <c r="W97" s="372"/>
      <c r="X97" s="372"/>
      <c r="Y97" s="372"/>
      <c r="Z97" s="372"/>
      <c r="AA97" s="372"/>
      <c r="AB97" s="372"/>
      <c r="AC97" s="372"/>
      <c r="AD97" s="372"/>
      <c r="AE97" s="372"/>
      <c r="AF97" s="372"/>
      <c r="AG97" s="372"/>
      <c r="AH97" s="372"/>
      <c r="AI97" s="372"/>
      <c r="AJ97" s="372"/>
      <c r="AK97" s="372"/>
      <c r="AL97" s="372"/>
      <c r="AM97" s="372"/>
      <c r="AN97" s="372"/>
      <c r="AO97" s="372"/>
      <c r="AP97" s="372"/>
      <c r="AS97" s="372"/>
      <c r="AT97" s="372"/>
      <c r="AU97" s="372"/>
      <c r="AV97" s="372"/>
      <c r="AW97" s="372"/>
      <c r="AX97" s="372"/>
      <c r="AY97" s="372"/>
      <c r="AZ97" s="372"/>
      <c r="BA97" s="372"/>
      <c r="BB97" s="372"/>
      <c r="BC97" s="372"/>
      <c r="BD97" s="372"/>
      <c r="BE97" s="372"/>
    </row>
    <row r="98" spans="16:57" x14ac:dyDescent="0.2">
      <c r="P98" s="372"/>
      <c r="Q98" s="372"/>
      <c r="R98" s="372"/>
      <c r="S98" s="372"/>
      <c r="T98" s="372"/>
      <c r="U98" s="372"/>
      <c r="V98" s="372"/>
      <c r="W98" s="372"/>
      <c r="X98" s="372"/>
      <c r="Y98" s="372"/>
      <c r="Z98" s="372"/>
      <c r="AA98" s="372"/>
      <c r="AB98" s="372"/>
      <c r="AC98" s="372"/>
      <c r="AD98" s="372"/>
      <c r="AE98" s="372"/>
      <c r="AF98" s="372"/>
      <c r="AG98" s="372"/>
      <c r="AH98" s="372"/>
      <c r="AI98" s="372"/>
      <c r="AJ98" s="372"/>
      <c r="AK98" s="372"/>
      <c r="AL98" s="372"/>
      <c r="AM98" s="372"/>
      <c r="AN98" s="372"/>
      <c r="AO98" s="372"/>
      <c r="AP98" s="372"/>
      <c r="AS98" s="372"/>
      <c r="AT98" s="372"/>
      <c r="AU98" s="372"/>
      <c r="AV98" s="372"/>
      <c r="AW98" s="372"/>
      <c r="AX98" s="372"/>
      <c r="AY98" s="372"/>
      <c r="AZ98" s="372"/>
      <c r="BA98" s="372"/>
      <c r="BB98" s="372"/>
      <c r="BC98" s="372"/>
      <c r="BD98" s="372"/>
      <c r="BE98" s="372"/>
    </row>
    <row r="99" spans="16:57" x14ac:dyDescent="0.2">
      <c r="P99" s="372"/>
      <c r="Q99" s="372"/>
      <c r="R99" s="372"/>
      <c r="S99" s="372"/>
      <c r="T99" s="372"/>
      <c r="U99" s="372"/>
      <c r="V99" s="372"/>
      <c r="W99" s="372"/>
      <c r="X99" s="372"/>
      <c r="Y99" s="372"/>
      <c r="Z99" s="372"/>
      <c r="AA99" s="372"/>
      <c r="AB99" s="372"/>
      <c r="AC99" s="372"/>
      <c r="AD99" s="372"/>
      <c r="AE99" s="372"/>
      <c r="AF99" s="372"/>
      <c r="AG99" s="372"/>
      <c r="AH99" s="372"/>
      <c r="AI99" s="372"/>
      <c r="AJ99" s="372"/>
      <c r="AK99" s="372"/>
      <c r="AL99" s="372"/>
      <c r="AM99" s="372"/>
      <c r="AN99" s="372"/>
      <c r="AO99" s="372"/>
      <c r="AP99" s="372"/>
      <c r="AS99" s="372"/>
      <c r="AT99" s="372"/>
      <c r="AU99" s="372"/>
      <c r="AV99" s="372"/>
      <c r="AW99" s="372"/>
      <c r="AX99" s="372"/>
      <c r="AY99" s="372"/>
      <c r="AZ99" s="372"/>
      <c r="BA99" s="372"/>
      <c r="BB99" s="372"/>
      <c r="BC99" s="372"/>
      <c r="BD99" s="372"/>
      <c r="BE99" s="372"/>
    </row>
    <row r="100" spans="16:57" x14ac:dyDescent="0.2">
      <c r="P100" s="372"/>
      <c r="Q100" s="372"/>
      <c r="R100" s="372"/>
      <c r="S100" s="372"/>
      <c r="T100" s="372"/>
      <c r="U100" s="372"/>
      <c r="V100" s="372"/>
      <c r="W100" s="372"/>
      <c r="X100" s="372"/>
      <c r="Y100" s="372"/>
      <c r="Z100" s="372"/>
      <c r="AA100" s="372"/>
      <c r="AB100" s="372"/>
      <c r="AC100" s="372"/>
      <c r="AD100" s="372"/>
      <c r="AE100" s="372"/>
      <c r="AF100" s="372"/>
      <c r="AG100" s="372"/>
      <c r="AH100" s="372"/>
      <c r="AI100" s="372"/>
      <c r="AJ100" s="372"/>
      <c r="AK100" s="372"/>
      <c r="AL100" s="372"/>
      <c r="AM100" s="372"/>
      <c r="AN100" s="372"/>
      <c r="AO100" s="372"/>
      <c r="AP100" s="372"/>
      <c r="AS100" s="372"/>
      <c r="AT100" s="372"/>
      <c r="AU100" s="372"/>
      <c r="AV100" s="372"/>
      <c r="AW100" s="372"/>
      <c r="AX100" s="372"/>
      <c r="AY100" s="372"/>
      <c r="AZ100" s="372"/>
      <c r="BA100" s="372"/>
      <c r="BB100" s="372"/>
      <c r="BC100" s="372"/>
      <c r="BD100" s="372"/>
      <c r="BE100" s="372"/>
    </row>
  </sheetData>
  <mergeCells count="36">
    <mergeCell ref="B56:G56"/>
    <mergeCell ref="H56:N56"/>
    <mergeCell ref="B80:G81"/>
    <mergeCell ref="J80:N80"/>
    <mergeCell ref="J81:N81"/>
    <mergeCell ref="P51:Q51"/>
    <mergeCell ref="W51:X51"/>
    <mergeCell ref="P52:Q52"/>
    <mergeCell ref="W52:X52"/>
    <mergeCell ref="AA43:AC43"/>
    <mergeCell ref="AI48:AN48"/>
    <mergeCell ref="W49:X49"/>
    <mergeCell ref="C8:C9"/>
    <mergeCell ref="D8:D9"/>
    <mergeCell ref="E8:E9"/>
    <mergeCell ref="D11:L11"/>
    <mergeCell ref="M11:R11"/>
    <mergeCell ref="W34:AN34"/>
    <mergeCell ref="AI49:AN53"/>
    <mergeCell ref="P53:Q53"/>
    <mergeCell ref="W53:X53"/>
    <mergeCell ref="W36:Y36"/>
    <mergeCell ref="Z36:AA36"/>
    <mergeCell ref="AB36:AC36"/>
    <mergeCell ref="D44:R44"/>
    <mergeCell ref="W50:X50"/>
    <mergeCell ref="C3:F3"/>
    <mergeCell ref="G3:H3"/>
    <mergeCell ref="J3:M3"/>
    <mergeCell ref="O3:S3"/>
    <mergeCell ref="W3:AN3"/>
    <mergeCell ref="D5:E5"/>
    <mergeCell ref="G5:H5"/>
    <mergeCell ref="J5:K9"/>
    <mergeCell ref="O5:S5"/>
    <mergeCell ref="C6:C7"/>
  </mergeCells>
  <phoneticPr fontId="15" type="noConversion"/>
  <dataValidations count="11">
    <dataValidation type="list" allowBlank="1" showInputMessage="1" showErrorMessage="1" sqref="D22:D43 D13:D20" xr:uid="{A6736EA0-B25F-4B8E-9B6A-3001B6FDDA8B}">
      <formula1>Equipment</formula1>
    </dataValidation>
    <dataValidation type="list" allowBlank="1" showInputMessage="1" showErrorMessage="1" sqref="E22:E43 E13:E20" xr:uid="{265539AF-9EBF-4652-95D9-862D559D35D5}">
      <formula1>INDIRECT(SUBSTITUTE($D13," ",""))</formula1>
    </dataValidation>
    <dataValidation type="list" allowBlank="1" showInputMessage="1" showErrorMessage="1" sqref="E8:E9" xr:uid="{C5BAAAFF-D57A-471A-926F-E94B4FEA4FD6}">
      <formula1>Case</formula1>
    </dataValidation>
    <dataValidation type="list" allowBlank="1" showInputMessage="1" showErrorMessage="1" sqref="I49:J49" xr:uid="{F03AD516-A3FB-49F9-95A6-E3831CA3E5A9}">
      <formula1>INDIRECT(IF($D13="Heat Exchanger",SUBSTITUTE($D13," ","")&amp;"_"&amp;SUBSTITUTE(SUBSTITUTE($E13,",","")," ","")&amp;"_Material",SUBSTITUTE($D13," ","")&amp;"_Material"))</formula1>
    </dataValidation>
    <dataValidation type="list" allowBlank="1" showInputMessage="1" showErrorMessage="1" sqref="E21" xr:uid="{FEE59EF4-1C72-4C8A-9684-B09D756BCB59}">
      <formula1>INDIRECT(SUBSTITUTE($D22," ",""))</formula1>
    </dataValidation>
    <dataValidation type="list" allowBlank="1" showInputMessage="1" showErrorMessage="1" sqref="I13:I43" xr:uid="{766B21A9-5A4A-4E9D-96E3-EE75F91A42EF}">
      <formula1>INDIRECT(IF($D13="Heat Exchanger",SUBSTITUTE($D13," ","")&amp;"_"&amp;SUBSTITUTE(SUBSTITUTE($E13,",","")," ","")&amp;"_Material",SUBSTITUTE($D13," ","")&amp;"_Material"))</formula1>
    </dataValidation>
    <dataValidation type="list" allowBlank="1" showInputMessage="1" showErrorMessage="1" sqref="H46:H51" xr:uid="{86FB0D97-1CDF-4126-85D7-8762D46098B4}">
      <formula1>Location</formula1>
    </dataValidation>
    <dataValidation type="list" allowBlank="1" showInputMessage="1" showErrorMessage="1" sqref="G46:G51" xr:uid="{47872572-7769-454D-9646-8A14FC80F2B5}">
      <formula1>Year</formula1>
    </dataValidation>
    <dataValidation type="list" allowBlank="1" showInputMessage="1" showErrorMessage="1" sqref="F46:F51" xr:uid="{A27EC3CC-FA46-4C0D-BA9D-1D1F8899E513}">
      <formula1>Currency</formula1>
    </dataValidation>
    <dataValidation type="list" allowBlank="1" showInputMessage="1" showErrorMessage="1" sqref="B54" xr:uid="{6C8C20DB-A86C-4682-8100-8C28B170F86D}">
      <formula1>Construction</formula1>
    </dataValidation>
    <dataValidation type="list" allowBlank="1" showInputMessage="1" showErrorMessage="1" sqref="B53" xr:uid="{1E144CD3-4023-4CF2-892C-8C093CB38A2F}">
      <formula1>Lifetime</formula1>
    </dataValidation>
  </dataValidations>
  <pageMargins left="0.7" right="0.7" top="0.75" bottom="0.75" header="0.3" footer="0.3"/>
  <pageSetup paperSize="9" orientation="portrait" verticalDpi="1200" r:id="rId1"/>
  <ignoredErrors>
    <ignoredError sqref="T25:T43 T13:T24"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76481" r:id="rId4" name="Button 1">
              <controlPr defaultSize="0" print="0" autoFill="0" autoPict="0" macro="[0]!Plant">
                <anchor moveWithCells="1" sizeWithCells="1">
                  <from>
                    <xdr:col>2</xdr:col>
                    <xdr:colOff>63500</xdr:colOff>
                    <xdr:row>7</xdr:row>
                    <xdr:rowOff>25400</xdr:rowOff>
                  </from>
                  <to>
                    <xdr:col>2</xdr:col>
                    <xdr:colOff>1320800</xdr:colOff>
                    <xdr:row>8</xdr:row>
                    <xdr:rowOff>177800</xdr:rowOff>
                  </to>
                </anchor>
              </controlPr>
            </control>
          </mc:Choice>
        </mc:AlternateContent>
      </controls>
    </mc:Choice>
  </mc:AlternateContent>
  <tableParts count="3">
    <tablePart r:id="rId5"/>
    <tablePart r:id="rId6"/>
    <tablePart r:id="rId7"/>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6295A-B38A-4FB4-BD67-44B2E9099288}">
  <sheetPr codeName="Hoja38"/>
  <dimension ref="A1:BE101"/>
  <sheetViews>
    <sheetView showGridLines="0" topLeftCell="D1" zoomScale="55" zoomScaleNormal="55" workbookViewId="0">
      <selection activeCell="O32" sqref="O32"/>
    </sheetView>
  </sheetViews>
  <sheetFormatPr baseColWidth="10" defaultColWidth="11.1640625" defaultRowHeight="15" x14ac:dyDescent="0.2"/>
  <cols>
    <col min="1" max="2" width="3.33203125" customWidth="1"/>
    <col min="3" max="19" width="19.6640625" customWidth="1"/>
    <col min="20" max="22" width="4" customWidth="1"/>
    <col min="23" max="25" width="23" customWidth="1"/>
    <col min="26" max="26" width="12.83203125" customWidth="1"/>
    <col min="27" max="27" width="18.1640625" bestFit="1" customWidth="1"/>
    <col min="28" max="40" width="12.83203125" customWidth="1"/>
    <col min="41" max="41" width="3.1640625" customWidth="1"/>
    <col min="43" max="43" width="11.1640625" style="372"/>
    <col min="44" max="44" width="11.1640625" style="372" customWidth="1"/>
  </cols>
  <sheetData>
    <row r="1" spans="1:44" ht="16.25" customHeight="1" x14ac:dyDescent="0.2">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15"/>
      <c r="AR1" s="371"/>
    </row>
    <row r="2" spans="1:44" ht="16.25" customHeight="1" x14ac:dyDescent="0.2">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15"/>
      <c r="AR2" s="371"/>
    </row>
    <row r="3" spans="1:44" ht="16.25" customHeight="1" x14ac:dyDescent="0.2">
      <c r="A3" s="83"/>
      <c r="B3" s="103"/>
      <c r="C3" s="917" t="s">
        <v>140</v>
      </c>
      <c r="D3" s="918"/>
      <c r="E3" s="918"/>
      <c r="F3" s="918"/>
      <c r="G3" s="917" t="s">
        <v>141</v>
      </c>
      <c r="H3" s="919"/>
      <c r="J3" s="917" t="s">
        <v>142</v>
      </c>
      <c r="K3" s="918"/>
      <c r="L3" s="918"/>
      <c r="M3" s="919"/>
      <c r="N3" s="186"/>
      <c r="O3" s="917" t="str">
        <f>+E6</f>
        <v>CO2 CPU</v>
      </c>
      <c r="P3" s="918"/>
      <c r="Q3" s="918"/>
      <c r="R3" s="918"/>
      <c r="S3" s="919"/>
      <c r="T3" s="104"/>
      <c r="U3" s="104"/>
      <c r="V3" s="83"/>
      <c r="W3" s="970" t="str">
        <f>+E6&amp;" Diagram"</f>
        <v>CO2 CPU Diagram</v>
      </c>
      <c r="X3" s="971"/>
      <c r="Y3" s="971"/>
      <c r="Z3" s="971"/>
      <c r="AA3" s="971"/>
      <c r="AB3" s="971"/>
      <c r="AC3" s="971"/>
      <c r="AD3" s="971"/>
      <c r="AE3" s="971"/>
      <c r="AF3" s="971"/>
      <c r="AG3" s="971"/>
      <c r="AH3" s="971"/>
      <c r="AI3" s="971"/>
      <c r="AJ3" s="971"/>
      <c r="AK3" s="971"/>
      <c r="AL3" s="971"/>
      <c r="AM3" s="971"/>
      <c r="AN3" s="972"/>
      <c r="AO3" s="104"/>
      <c r="AP3" s="83"/>
      <c r="AQ3" s="215"/>
      <c r="AR3" s="371"/>
    </row>
    <row r="4" spans="1:44" ht="16.25" customHeight="1" x14ac:dyDescent="0.2">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15"/>
      <c r="AR4" s="371"/>
    </row>
    <row r="5" spans="1:44" ht="16.25" customHeight="1" x14ac:dyDescent="0.2">
      <c r="A5" s="83"/>
      <c r="B5" s="103"/>
      <c r="C5" s="83"/>
      <c r="D5" s="920" t="s">
        <v>143</v>
      </c>
      <c r="E5" s="921"/>
      <c r="F5" s="83"/>
      <c r="G5" s="920" t="s">
        <v>40</v>
      </c>
      <c r="H5" s="921"/>
      <c r="J5" s="973"/>
      <c r="K5" s="974"/>
      <c r="L5" s="190" t="s">
        <v>144</v>
      </c>
      <c r="M5" s="191" t="s">
        <v>145</v>
      </c>
      <c r="N5" s="394"/>
      <c r="O5" s="833" t="s">
        <v>82</v>
      </c>
      <c r="P5" s="834"/>
      <c r="Q5" s="834"/>
      <c r="R5" s="834"/>
      <c r="S5" s="835"/>
      <c r="T5" s="104"/>
      <c r="U5" s="104"/>
      <c r="V5" s="83"/>
      <c r="W5" s="83"/>
      <c r="X5" s="83"/>
      <c r="Y5" s="83"/>
      <c r="Z5" s="83"/>
      <c r="AA5" s="83"/>
      <c r="AB5" s="83"/>
      <c r="AC5" s="83"/>
      <c r="AD5" s="83"/>
      <c r="AE5" s="83"/>
      <c r="AF5" s="83"/>
      <c r="AG5" s="83"/>
      <c r="AH5" s="83"/>
      <c r="AI5" s="83"/>
      <c r="AJ5" s="83"/>
      <c r="AK5" s="83"/>
      <c r="AL5" s="83"/>
      <c r="AM5" s="83"/>
      <c r="AN5" s="83"/>
      <c r="AO5" s="104"/>
      <c r="AP5" s="83"/>
      <c r="AQ5" s="215"/>
      <c r="AR5" s="371"/>
    </row>
    <row r="6" spans="1:44" ht="16.25" customHeight="1" x14ac:dyDescent="0.2">
      <c r="A6" s="83"/>
      <c r="B6" s="103"/>
      <c r="C6" s="979" t="s">
        <v>146</v>
      </c>
      <c r="D6" s="242" t="s">
        <v>147</v>
      </c>
      <c r="E6" s="409" t="str">
        <f>+'Plant Overview'!V41</f>
        <v>CO2 CPU</v>
      </c>
      <c r="F6" s="83"/>
      <c r="G6" s="85"/>
      <c r="H6" s="324" t="s">
        <v>43</v>
      </c>
      <c r="J6" s="975"/>
      <c r="K6" s="976"/>
      <c r="L6" s="169" t="s">
        <v>148</v>
      </c>
      <c r="M6" s="86" t="s">
        <v>149</v>
      </c>
      <c r="N6" s="394"/>
      <c r="O6" s="836" t="str">
        <f>+'Plant Overview'!X41</f>
        <v>CO2 purification unit</v>
      </c>
      <c r="P6" s="882"/>
      <c r="Q6" s="882"/>
      <c r="R6" s="882"/>
      <c r="S6" s="883"/>
      <c r="T6" s="104"/>
      <c r="U6" s="104"/>
      <c r="V6" s="83"/>
      <c r="W6" s="83"/>
      <c r="X6" s="83"/>
      <c r="Y6" s="83"/>
      <c r="Z6" s="83"/>
      <c r="AA6" s="83"/>
      <c r="AB6" s="83"/>
      <c r="AC6" s="83"/>
      <c r="AD6" s="83"/>
      <c r="AE6" s="83"/>
      <c r="AF6" s="83"/>
      <c r="AG6" s="83"/>
      <c r="AH6" s="83"/>
      <c r="AI6" s="83"/>
      <c r="AJ6" s="83"/>
      <c r="AK6" s="83"/>
      <c r="AL6" s="83"/>
      <c r="AM6" s="83"/>
      <c r="AN6" s="83"/>
      <c r="AO6" s="104"/>
      <c r="AP6" s="83"/>
      <c r="AQ6" s="215"/>
      <c r="AR6" s="371"/>
    </row>
    <row r="7" spans="1:44" ht="16.25" customHeight="1" x14ac:dyDescent="0.2">
      <c r="A7" s="83"/>
      <c r="B7" s="103"/>
      <c r="C7" s="980"/>
      <c r="D7" s="242" t="s">
        <v>150</v>
      </c>
      <c r="E7" s="409" t="str">
        <f>+'Plant Overview'!W41</f>
        <v>U-500</v>
      </c>
      <c r="F7" s="83"/>
      <c r="G7" s="95"/>
      <c r="H7" s="324" t="s">
        <v>49</v>
      </c>
      <c r="J7" s="975"/>
      <c r="K7" s="976"/>
      <c r="L7" s="190" t="s">
        <v>151</v>
      </c>
      <c r="M7" s="191" t="s">
        <v>152</v>
      </c>
      <c r="N7" s="394"/>
      <c r="O7" s="884"/>
      <c r="P7" s="885"/>
      <c r="Q7" s="885"/>
      <c r="R7" s="885"/>
      <c r="S7" s="886"/>
      <c r="T7" s="104"/>
      <c r="U7" s="104"/>
      <c r="V7" s="83"/>
      <c r="W7" s="83"/>
      <c r="X7" s="83"/>
      <c r="Y7" s="83"/>
      <c r="Z7" s="83"/>
      <c r="AA7" s="83"/>
      <c r="AB7" s="83"/>
      <c r="AC7" s="83"/>
      <c r="AD7" s="83"/>
      <c r="AE7" s="83"/>
      <c r="AF7" s="83"/>
      <c r="AG7" s="83"/>
      <c r="AH7" s="83"/>
      <c r="AI7" s="83"/>
      <c r="AJ7" s="83"/>
      <c r="AK7" s="83"/>
      <c r="AL7" s="83"/>
      <c r="AM7" s="83"/>
      <c r="AN7" s="83"/>
      <c r="AO7" s="104"/>
      <c r="AP7" s="83"/>
      <c r="AQ7" s="215"/>
      <c r="AR7" s="371"/>
    </row>
    <row r="8" spans="1:44" ht="16.25" customHeight="1" x14ac:dyDescent="0.2">
      <c r="A8" s="83"/>
      <c r="B8" s="103"/>
      <c r="C8" s="880"/>
      <c r="D8" s="981" t="s">
        <v>153</v>
      </c>
      <c r="E8" s="983" t="s">
        <v>398</v>
      </c>
      <c r="F8" s="83"/>
      <c r="G8" s="94"/>
      <c r="H8" s="98" t="s">
        <v>51</v>
      </c>
      <c r="J8" s="975"/>
      <c r="K8" s="976"/>
      <c r="L8" s="190" t="s">
        <v>155</v>
      </c>
      <c r="M8" s="191" t="s">
        <v>156</v>
      </c>
      <c r="N8" s="394"/>
      <c r="O8" s="884"/>
      <c r="P8" s="885"/>
      <c r="Q8" s="885"/>
      <c r="R8" s="885"/>
      <c r="S8" s="886"/>
      <c r="T8" s="104"/>
      <c r="U8" s="104"/>
      <c r="V8" s="83"/>
      <c r="W8" s="83"/>
      <c r="X8" s="83"/>
      <c r="Y8" s="83"/>
      <c r="Z8" s="83"/>
      <c r="AA8" s="83"/>
      <c r="AB8" s="83"/>
      <c r="AC8" s="83"/>
      <c r="AD8" s="83"/>
      <c r="AE8" s="83"/>
      <c r="AF8" s="83"/>
      <c r="AG8" s="83"/>
      <c r="AH8" s="83"/>
      <c r="AI8" s="83"/>
      <c r="AJ8" s="83"/>
      <c r="AK8" s="83"/>
      <c r="AL8" s="83"/>
      <c r="AM8" s="83"/>
      <c r="AN8" s="83"/>
      <c r="AO8" s="104"/>
      <c r="AP8" s="83"/>
      <c r="AQ8" s="215"/>
      <c r="AR8" s="371"/>
    </row>
    <row r="9" spans="1:44" ht="16.25" customHeight="1" x14ac:dyDescent="0.2">
      <c r="A9" s="83"/>
      <c r="B9" s="103"/>
      <c r="C9" s="881"/>
      <c r="D9" s="982"/>
      <c r="E9" s="984"/>
      <c r="F9" s="83"/>
      <c r="G9" s="108"/>
      <c r="H9" s="310" t="s">
        <v>54</v>
      </c>
      <c r="J9" s="977"/>
      <c r="K9" s="978"/>
      <c r="L9" s="190" t="s">
        <v>157</v>
      </c>
      <c r="M9" s="191" t="s">
        <v>158</v>
      </c>
      <c r="N9" s="394"/>
      <c r="O9" s="887"/>
      <c r="P9" s="888"/>
      <c r="Q9" s="888"/>
      <c r="R9" s="888"/>
      <c r="S9" s="889"/>
      <c r="T9" s="104"/>
      <c r="U9" s="104"/>
      <c r="V9" s="83"/>
      <c r="W9" s="83"/>
      <c r="X9" s="83"/>
      <c r="Y9" s="83"/>
      <c r="Z9" s="83"/>
      <c r="AA9" s="83"/>
      <c r="AB9" s="83"/>
      <c r="AC9" s="83"/>
      <c r="AD9" s="83"/>
      <c r="AE9" s="83"/>
      <c r="AF9" s="83"/>
      <c r="AG9" s="83"/>
      <c r="AH9" s="83"/>
      <c r="AI9" s="83"/>
      <c r="AJ9" s="83"/>
      <c r="AK9" s="83"/>
      <c r="AL9" s="83"/>
      <c r="AM9" s="83"/>
      <c r="AN9" s="83"/>
      <c r="AO9" s="104"/>
      <c r="AP9" s="83"/>
      <c r="AQ9" s="215"/>
      <c r="AR9" s="371"/>
    </row>
    <row r="10" spans="1:44" ht="16.25" customHeight="1" x14ac:dyDescent="0.2">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15"/>
      <c r="AR10" s="371"/>
    </row>
    <row r="11" spans="1:44" ht="16.25" customHeight="1" x14ac:dyDescent="0.2">
      <c r="A11" s="83"/>
      <c r="B11" s="103"/>
      <c r="C11" s="83"/>
      <c r="D11" s="917" t="s">
        <v>159</v>
      </c>
      <c r="E11" s="918"/>
      <c r="F11" s="918"/>
      <c r="G11" s="918"/>
      <c r="H11" s="918"/>
      <c r="I11" s="918"/>
      <c r="J11" s="918"/>
      <c r="K11" s="918"/>
      <c r="L11" s="919"/>
      <c r="M11" s="917" t="s">
        <v>160</v>
      </c>
      <c r="N11" s="918"/>
      <c r="O11" s="918"/>
      <c r="P11" s="918"/>
      <c r="Q11" s="918"/>
      <c r="R11" s="919"/>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15"/>
      <c r="AR11" s="371"/>
    </row>
    <row r="12" spans="1:44" ht="16.25" customHeight="1" x14ac:dyDescent="0.2">
      <c r="A12" s="83"/>
      <c r="B12" s="103"/>
      <c r="C12" s="416" t="s">
        <v>161</v>
      </c>
      <c r="D12" s="572" t="s">
        <v>141</v>
      </c>
      <c r="E12" s="572" t="s">
        <v>162</v>
      </c>
      <c r="F12" s="417" t="s">
        <v>163</v>
      </c>
      <c r="G12" s="417" t="s">
        <v>164</v>
      </c>
      <c r="H12" s="418" t="s">
        <v>75</v>
      </c>
      <c r="I12" s="572" t="s">
        <v>165</v>
      </c>
      <c r="J12" s="569" t="s">
        <v>166</v>
      </c>
      <c r="K12" s="417" t="s">
        <v>167</v>
      </c>
      <c r="L12" s="417" t="s">
        <v>168</v>
      </c>
      <c r="M12" s="420" t="s">
        <v>169</v>
      </c>
      <c r="N12" s="420" t="s">
        <v>170</v>
      </c>
      <c r="O12" s="420" t="s">
        <v>171</v>
      </c>
      <c r="P12" s="420" t="s">
        <v>172</v>
      </c>
      <c r="Q12" s="420" t="s">
        <v>173</v>
      </c>
      <c r="R12" s="419" t="s">
        <v>174</v>
      </c>
      <c r="S12" s="420" t="s">
        <v>175</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15"/>
      <c r="AR12" s="371"/>
    </row>
    <row r="13" spans="1:44" ht="16.25" customHeight="1" x14ac:dyDescent="0.2">
      <c r="A13" s="83"/>
      <c r="B13" s="103"/>
      <c r="C13" s="182" t="s">
        <v>407</v>
      </c>
      <c r="D13" s="208" t="s">
        <v>194</v>
      </c>
      <c r="E13" s="208" t="s">
        <v>195</v>
      </c>
      <c r="F13" s="158">
        <f>+X39*1000/3600/AD39</f>
        <v>1314.9853339447113</v>
      </c>
      <c r="G13" s="96">
        <v>30</v>
      </c>
      <c r="H13" s="96" t="s">
        <v>196</v>
      </c>
      <c r="I13" s="96" t="s">
        <v>199</v>
      </c>
      <c r="J13" s="96" t="str">
        <f>+IF(F13&gt;'Equipment Data'!$L$126,"yes","No")</f>
        <v>yes</v>
      </c>
      <c r="K13" s="96">
        <v>0.67</v>
      </c>
      <c r="L13" s="96" t="s">
        <v>198</v>
      </c>
      <c r="M13" s="156">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92464.922317343953</v>
      </c>
      <c r="N13" s="152">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1.1192978146648862</v>
      </c>
      <c r="O13" s="96">
        <f>+IF(I13="CS/CS",'Equipment Data'!$C$149,IF(I13="CS/Cu",'Equipment Data'!$D$149,IF(I13="Cu/Cu",'Equipment Data'!$E$149,IF(I13="CS/SS",'Equipment Data'!$F$149,IF(I13="SS/SS",'Equipment Data'!$G$149,IF(I13="CS/Ni",'Equipment Data'!$H$149,IF(I13="Ni/Ni",'Equipment Data'!$I$149,IF(I13="CS/Ti",'Equipment Data'!$J$149,IF(I13="Ti/Ti",'Equipment Data'!$K$149,"N/A")))))))))</f>
        <v>2.73</v>
      </c>
      <c r="P13" s="152">
        <f>+'Equipment Data'!$I$126+'Equipment Data'!$J$126*N13*O13</f>
        <v>6.7024338364983311</v>
      </c>
      <c r="Q13" s="153">
        <f t="shared" ref="Q13:Q14" si="0">+M13*P13</f>
        <v>619740.02402895584</v>
      </c>
      <c r="R13" s="151">
        <v>1</v>
      </c>
      <c r="S13" s="199">
        <f>+IF(Tabla2587901201356288919497[[#This Row],[Equipment]]="","",Q13*R13/10^6)</f>
        <v>0.61974002402895589</v>
      </c>
      <c r="T13" s="587">
        <f ca="1">+$S$53/$R$53*S13</f>
        <v>1.0003059270675347</v>
      </c>
      <c r="U13" s="104"/>
      <c r="V13" s="83"/>
      <c r="W13" s="83"/>
      <c r="X13" s="83"/>
      <c r="Y13" s="83"/>
      <c r="Z13" s="83"/>
      <c r="AA13" s="83"/>
      <c r="AB13" s="83"/>
      <c r="AC13" s="83"/>
      <c r="AD13" s="83"/>
      <c r="AE13" s="83"/>
      <c r="AF13" s="83"/>
      <c r="AG13" s="83"/>
      <c r="AH13" s="83"/>
      <c r="AI13" s="83"/>
      <c r="AJ13" s="83"/>
      <c r="AK13" s="83"/>
      <c r="AL13" s="83"/>
      <c r="AM13" s="83"/>
      <c r="AN13" s="83"/>
      <c r="AO13" s="104"/>
      <c r="AP13" s="83"/>
      <c r="AQ13" s="215"/>
      <c r="AR13" s="371"/>
    </row>
    <row r="14" spans="1:44" ht="16.25" customHeight="1" x14ac:dyDescent="0.2">
      <c r="A14" s="83"/>
      <c r="B14" s="103"/>
      <c r="C14" s="99" t="s">
        <v>408</v>
      </c>
      <c r="D14" s="208" t="s">
        <v>194</v>
      </c>
      <c r="E14" s="208" t="s">
        <v>195</v>
      </c>
      <c r="F14" s="158">
        <f>+X40*1000/3600/AD40</f>
        <v>62.865245448106549</v>
      </c>
      <c r="G14" s="96">
        <v>30</v>
      </c>
      <c r="H14" s="96" t="s">
        <v>196</v>
      </c>
      <c r="I14" s="96" t="s">
        <v>199</v>
      </c>
      <c r="J14" s="96" t="str">
        <f>+IF(F14&gt;'Equipment Data'!$L$126,"yes","No")</f>
        <v>No</v>
      </c>
      <c r="K14" s="96">
        <v>0.67</v>
      </c>
      <c r="L14" s="96" t="s">
        <v>198</v>
      </c>
      <c r="M14" s="156">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20335.884038991822</v>
      </c>
      <c r="N14" s="152">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1.1192978146648862</v>
      </c>
      <c r="O14" s="96">
        <f>+IF(I14="CS/CS",'Equipment Data'!$C$149,IF(I14="CS/Cu",'Equipment Data'!$D$149,IF(I14="Cu/Cu",'Equipment Data'!$E$149,IF(I14="CS/SS",'Equipment Data'!$F$149,IF(I14="SS/SS",'Equipment Data'!$G$149,IF(I14="CS/Ni",'Equipment Data'!$H$149,IF(I14="Ni/Ni",'Equipment Data'!$I$149,IF(I14="CS/Ti",'Equipment Data'!$J$149,IF(I14="Ti/Ti",'Equipment Data'!$K$149,"N/A")))))))))</f>
        <v>2.73</v>
      </c>
      <c r="P14" s="152">
        <f>+'Equipment Data'!$I$126+'Equipment Data'!$J$126*N14*O14</f>
        <v>6.7024338364983311</v>
      </c>
      <c r="Q14" s="153">
        <f t="shared" si="0"/>
        <v>136299.91727804515</v>
      </c>
      <c r="R14" s="97">
        <v>1</v>
      </c>
      <c r="S14" s="193">
        <f>+IF(Tabla2587901201356288919497[[#This Row],[Equipment]]="","",Q14*R14/10^6)</f>
        <v>0.13629991727804514</v>
      </c>
      <c r="T14" s="587">
        <f t="shared" ref="T14:T44" ca="1" si="1">+$S$53/$R$53*S14</f>
        <v>0.2199980795587167</v>
      </c>
      <c r="U14" s="104"/>
      <c r="V14" s="83"/>
      <c r="W14" s="83"/>
      <c r="X14" s="83"/>
      <c r="Y14" s="83"/>
      <c r="Z14" s="83"/>
      <c r="AA14" s="83"/>
      <c r="AB14" s="83"/>
      <c r="AC14" s="83"/>
      <c r="AD14" s="83"/>
      <c r="AE14" s="83"/>
      <c r="AF14" s="83"/>
      <c r="AG14" s="83"/>
      <c r="AH14" s="83"/>
      <c r="AI14" s="83"/>
      <c r="AJ14" s="83"/>
      <c r="AK14" s="83"/>
      <c r="AL14" s="83"/>
      <c r="AM14" s="83"/>
      <c r="AN14" s="83"/>
      <c r="AO14" s="104"/>
      <c r="AP14" s="83"/>
      <c r="AQ14" s="215"/>
      <c r="AR14" s="371"/>
    </row>
    <row r="15" spans="1:44" ht="16.25" customHeight="1" x14ac:dyDescent="0.2">
      <c r="A15" s="83"/>
      <c r="B15" s="103"/>
      <c r="C15" s="99" t="s">
        <v>409</v>
      </c>
      <c r="D15" s="208" t="s">
        <v>177</v>
      </c>
      <c r="E15" s="208" t="s">
        <v>178</v>
      </c>
      <c r="F15" s="152">
        <f>+AD45+AE45</f>
        <v>24.120695518952395</v>
      </c>
      <c r="G15" s="96">
        <f>+AF45</f>
        <v>31</v>
      </c>
      <c r="H15" s="96" t="s">
        <v>179</v>
      </c>
      <c r="I15" s="96" t="s">
        <v>410</v>
      </c>
      <c r="J15" s="96" t="str">
        <f>+IF(F15&gt;'Equipment Data'!$F$239,"yes","No")</f>
        <v>No</v>
      </c>
      <c r="K15" s="96">
        <v>0.67</v>
      </c>
      <c r="L15" s="152">
        <f>+AB45</f>
        <v>0.94047462765510303</v>
      </c>
      <c r="M15" s="156">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21020.517929636972</v>
      </c>
      <c r="N15" s="155">
        <f>+IF(L15="","Input Diameter in m",IF(G15&gt;0.5,IF(((G15*L15)/(2*(850-0.6*G15))+0.00315)/0.0063&lt;1,1,((G15*L15)/(2*(850-0.6*G15))+0.00315)/0.0063),1.25))</f>
        <v>3.2830961599776427</v>
      </c>
      <c r="O15" s="96">
        <f>+IF(I15="CS",'Equipment Data'!$C$247,IF(I15="SS Clad",'Equipment Data'!$C$248,IF(I15="SS",'Equipment Data'!$C$249,IF(I15="Ni Clad",'Equipment Data'!$C$250,IF(I15="Ni",'Equipment Data'!$C$251,IF(I15="Ti Clad",'Equipment Data'!$C$252,IF(I15="Ti",'Equipment Data'!$C$253,"N/A")))))))</f>
        <v>3.11</v>
      </c>
      <c r="P15" s="153">
        <f>+'Equipment Data'!$C$244+'Equipment Data'!$D$244*N15*O15</f>
        <v>20.832980884705453</v>
      </c>
      <c r="Q15" s="153">
        <f>+M15*P15</f>
        <v>437920.04821473529</v>
      </c>
      <c r="R15" s="97">
        <v>1</v>
      </c>
      <c r="S15" s="193">
        <f>+IF(Tabla2587901201356288919497[[#This Row],[Equipment]]="","",Q15*R15/10^6)</f>
        <v>0.43792004821473529</v>
      </c>
      <c r="T15" s="587">
        <f t="shared" ca="1" si="1"/>
        <v>0.70683512896761569</v>
      </c>
      <c r="U15" s="104"/>
      <c r="V15" s="83"/>
      <c r="W15" s="83"/>
      <c r="X15" s="83"/>
      <c r="Y15" s="83"/>
      <c r="Z15" s="83"/>
      <c r="AA15" s="83"/>
      <c r="AB15" s="83"/>
      <c r="AC15" s="83"/>
      <c r="AD15" s="83"/>
      <c r="AE15" s="83"/>
      <c r="AF15" s="83"/>
      <c r="AG15" s="83"/>
      <c r="AH15" s="83"/>
      <c r="AI15" s="83"/>
      <c r="AJ15" s="83"/>
      <c r="AK15" s="83"/>
      <c r="AL15" s="83"/>
      <c r="AM15" s="83"/>
      <c r="AN15" s="83"/>
      <c r="AO15" s="104"/>
      <c r="AP15" s="83"/>
      <c r="AQ15" s="215"/>
      <c r="AR15" s="371"/>
    </row>
    <row r="16" spans="1:44" ht="16.25" customHeight="1" x14ac:dyDescent="0.2">
      <c r="A16" s="83"/>
      <c r="B16" s="103"/>
      <c r="C16" s="99" t="s">
        <v>411</v>
      </c>
      <c r="D16" s="208" t="s">
        <v>177</v>
      </c>
      <c r="E16" s="208" t="s">
        <v>178</v>
      </c>
      <c r="F16" s="152">
        <f>+AD46+AE46</f>
        <v>1.8727563490767003</v>
      </c>
      <c r="G16" s="96">
        <f>+AF46</f>
        <v>30</v>
      </c>
      <c r="H16" s="96" t="s">
        <v>179</v>
      </c>
      <c r="I16" s="96" t="s">
        <v>410</v>
      </c>
      <c r="J16" s="96" t="str">
        <f>+IF(F16&gt;'Equipment Data'!$F$239,"yes","No")</f>
        <v>No</v>
      </c>
      <c r="K16" s="96">
        <v>0.67</v>
      </c>
      <c r="L16" s="152">
        <f>+AB46</f>
        <v>0.69356084503024074</v>
      </c>
      <c r="M16" s="156">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4242.1095396665123</v>
      </c>
      <c r="N16" s="155">
        <f>+IF(L16="","Input Diameter in m",IF(G16&gt;0.5,IF(((G16*L16)/(2*(850-0.6*G16))+0.00315)/0.0063&lt;1,1,((G16*L16)/(2*(850-0.6*G16))+0.00315)/0.0063),1.25))</f>
        <v>2.4847780592669433</v>
      </c>
      <c r="O16" s="96">
        <f>+IF(I16="CS",'Equipment Data'!$C$247,IF(I16="SS Clad",'Equipment Data'!$C$248,IF(I16="SS",'Equipment Data'!$C$249,IF(I16="Ni Clad",'Equipment Data'!$C$250,IF(I16="Ni",'Equipment Data'!$C$251,IF(I16="Ti Clad",'Equipment Data'!$C$252,IF(I16="Ti",'Equipment Data'!$C$253,"N/A")))))))</f>
        <v>3.11</v>
      </c>
      <c r="P16" s="153">
        <f>+'Equipment Data'!$C$244+'Equipment Data'!$D$244*N16*O16</f>
        <v>16.314340771062753</v>
      </c>
      <c r="Q16" s="153">
        <f>+M16*P16</f>
        <v>69207.220618295629</v>
      </c>
      <c r="R16" s="97">
        <v>1</v>
      </c>
      <c r="S16" s="193">
        <f>+IF(Tabla2587901201356288919497[[#This Row],[Equipment]]="","",Q16*R16/10^6)</f>
        <v>6.9207220618295623E-2</v>
      </c>
      <c r="T16" s="587">
        <f t="shared" ca="1" si="1"/>
        <v>0.11170553828409358</v>
      </c>
      <c r="U16" s="104"/>
      <c r="V16" s="83"/>
      <c r="W16" s="83"/>
      <c r="X16" s="83"/>
      <c r="Y16" s="83"/>
      <c r="Z16" s="83"/>
      <c r="AA16" s="83"/>
      <c r="AB16" s="83"/>
      <c r="AC16" s="83"/>
      <c r="AD16" s="83"/>
      <c r="AE16" s="83"/>
      <c r="AF16" s="83"/>
      <c r="AG16" s="83"/>
      <c r="AH16" s="83"/>
      <c r="AI16" s="83"/>
      <c r="AJ16" s="83"/>
      <c r="AK16" s="83"/>
      <c r="AL16" s="83"/>
      <c r="AM16" s="83"/>
      <c r="AN16" s="83"/>
      <c r="AO16" s="104"/>
      <c r="AP16" s="83"/>
      <c r="AQ16" s="215"/>
      <c r="AR16" s="371"/>
    </row>
    <row r="17" spans="1:44" ht="16.25" customHeight="1" x14ac:dyDescent="0.2">
      <c r="A17" s="83"/>
      <c r="B17" s="103"/>
      <c r="C17" s="99" t="s">
        <v>412</v>
      </c>
      <c r="D17" s="208" t="s">
        <v>189</v>
      </c>
      <c r="E17" s="208" t="s">
        <v>190</v>
      </c>
      <c r="F17" s="158">
        <f>1000*0.238371424743149</f>
        <v>238.37142474314902</v>
      </c>
      <c r="G17" s="96" t="s">
        <v>187</v>
      </c>
      <c r="H17" s="96" t="s">
        <v>186</v>
      </c>
      <c r="I17" s="96" t="s">
        <v>410</v>
      </c>
      <c r="J17" s="96" t="str">
        <f>+IF(F17&gt;'Equipment Data'!$J$19,"yes","No")</f>
        <v>No</v>
      </c>
      <c r="K17" s="96">
        <v>0.67</v>
      </c>
      <c r="L17" s="96" t="s">
        <v>187</v>
      </c>
      <c r="M17" s="156">
        <f>+IF(AND(D17="Compressor",E17="Centrifugal"),IF(F17&lt;'Equipment Data'!$J$19,10^('Equipment Data'!$C$19+'Equipment Data'!$D$19*LOG10(F17)+'Equipment Data'!$E$19*LOG10(F17)*LOG10(F17)),10^('Equipment Data'!$C$19+'Equipment Data'!$D$19*LOG10('Equipment Data'!$J$19)+'Equipment Data'!$E$19*LOG10('Equipment Data'!$J$19)*LOG10('Equipment Data'!$J$19))*(F17/'Equipment Data'!$J$19)^K17),"N/A")</f>
        <v>87644.414164717557</v>
      </c>
      <c r="N17" s="96" t="s">
        <v>187</v>
      </c>
      <c r="O17" s="158" t="s">
        <v>187</v>
      </c>
      <c r="P17" s="152">
        <f>+IF(I17="CS",'Equipment Data'!$F$19,IF(I17="SS",'Equipment Data'!$G$19,IF(I17="Ni",'Equipment Data'!$H$19,"N/A")))</f>
        <v>5.75</v>
      </c>
      <c r="Q17" s="153">
        <f t="shared" ref="Q17:Q21" si="2">+M17*P17</f>
        <v>503955.38144712592</v>
      </c>
      <c r="R17" s="97">
        <v>1</v>
      </c>
      <c r="S17" s="193">
        <f>+IF(Tabla2587901201356288919497[[#This Row],[Equipment]]="","",Q17*R17/10^6)</f>
        <v>0.50395538144712593</v>
      </c>
      <c r="T17" s="587">
        <f t="shared" ca="1" si="1"/>
        <v>0.81342100799284034</v>
      </c>
      <c r="U17" s="104"/>
      <c r="V17" s="83"/>
      <c r="W17" s="83"/>
      <c r="X17" s="83"/>
      <c r="Y17" s="83"/>
      <c r="Z17" s="83"/>
      <c r="AA17" s="83"/>
      <c r="AB17" s="83"/>
      <c r="AC17" s="83"/>
      <c r="AD17" s="83"/>
      <c r="AE17" s="83"/>
      <c r="AF17" s="83"/>
      <c r="AG17" s="83"/>
      <c r="AH17" s="83"/>
      <c r="AI17" s="83"/>
      <c r="AJ17" s="83"/>
      <c r="AK17" s="83"/>
      <c r="AL17" s="83"/>
      <c r="AM17" s="83"/>
      <c r="AN17" s="83"/>
      <c r="AO17" s="104"/>
      <c r="AP17" s="83"/>
      <c r="AQ17" s="215"/>
      <c r="AR17" s="371"/>
    </row>
    <row r="18" spans="1:44" ht="16.25" customHeight="1" x14ac:dyDescent="0.2">
      <c r="A18" s="83"/>
      <c r="B18" s="103"/>
      <c r="C18" s="99" t="s">
        <v>413</v>
      </c>
      <c r="D18" s="208" t="s">
        <v>189</v>
      </c>
      <c r="E18" s="208" t="s">
        <v>190</v>
      </c>
      <c r="F18" s="158">
        <v>3528</v>
      </c>
      <c r="G18" s="96" t="s">
        <v>187</v>
      </c>
      <c r="H18" s="96" t="s">
        <v>186</v>
      </c>
      <c r="I18" s="96" t="s">
        <v>410</v>
      </c>
      <c r="J18" s="96" t="str">
        <f>+IF(F18&gt;'Equipment Data'!$J$19,"yes","No")</f>
        <v>yes</v>
      </c>
      <c r="K18" s="96">
        <v>0.67</v>
      </c>
      <c r="L18" s="96" t="s">
        <v>187</v>
      </c>
      <c r="M18" s="156">
        <f>+IF(AND(D18="Compressor",E18="Centrifugal"),IF(F18&lt;'Equipment Data'!$J$19,10^('Equipment Data'!$C$19+'Equipment Data'!$D$19*LOG10(F18)+'Equipment Data'!$E$19*LOG10(F18)*LOG10(F18)),10^('Equipment Data'!$C$19+'Equipment Data'!$D$19*LOG10('Equipment Data'!$J$19)+'Equipment Data'!$E$19*LOG10('Equipment Data'!$J$19)*LOG10('Equipment Data'!$J$19))*(F18/'Equipment Data'!$J$19)^K18),"N/A")</f>
        <v>668139.9396153359</v>
      </c>
      <c r="N18" s="96" t="s">
        <v>187</v>
      </c>
      <c r="O18" s="158" t="s">
        <v>187</v>
      </c>
      <c r="P18" s="152">
        <f>+IF(I18="CS",'Equipment Data'!$F$19,IF(I18="SS",'Equipment Data'!$G$19,IF(I18="Ni",'Equipment Data'!$H$19,"N/A")))</f>
        <v>5.75</v>
      </c>
      <c r="Q18" s="153">
        <f t="shared" si="2"/>
        <v>3841804.6527881813</v>
      </c>
      <c r="R18" s="97">
        <v>1</v>
      </c>
      <c r="S18" s="193">
        <f>+IF(Tabla2587901201356288919497[[#This Row],[Equipment]]="","",Q18*R18/10^6)</f>
        <v>3.8418046527881815</v>
      </c>
      <c r="T18" s="587">
        <f t="shared" ca="1" si="1"/>
        <v>6.200954942100199</v>
      </c>
      <c r="U18" s="104"/>
      <c r="V18" s="83"/>
      <c r="W18" s="83"/>
      <c r="X18" s="83"/>
      <c r="Y18" s="83"/>
      <c r="Z18" s="83"/>
      <c r="AA18" s="83"/>
      <c r="AB18" s="83"/>
      <c r="AC18" s="83"/>
      <c r="AD18" s="83"/>
      <c r="AE18" s="83"/>
      <c r="AF18" s="83"/>
      <c r="AG18" s="83"/>
      <c r="AH18" s="83"/>
      <c r="AI18" s="83"/>
      <c r="AJ18" s="83"/>
      <c r="AK18" s="83"/>
      <c r="AL18" s="83"/>
      <c r="AM18" s="83"/>
      <c r="AN18" s="83"/>
      <c r="AO18" s="104"/>
      <c r="AP18" s="83"/>
      <c r="AQ18" s="215"/>
      <c r="AR18" s="371"/>
    </row>
    <row r="19" spans="1:44" ht="16.25" customHeight="1" x14ac:dyDescent="0.2">
      <c r="A19" s="83"/>
      <c r="B19" s="103"/>
      <c r="C19" s="680" t="s">
        <v>414</v>
      </c>
      <c r="D19" s="208" t="s">
        <v>192</v>
      </c>
      <c r="E19" s="208" t="s">
        <v>193</v>
      </c>
      <c r="F19" s="158">
        <f>+F17+F18</f>
        <v>3766.371424743149</v>
      </c>
      <c r="G19" s="96" t="s">
        <v>187</v>
      </c>
      <c r="H19" s="96" t="s">
        <v>186</v>
      </c>
      <c r="I19" s="96" t="s">
        <v>415</v>
      </c>
      <c r="J19" s="96" t="str">
        <f>+IF(F19&gt;'Equipment Data'!$H$40,"yes","No")</f>
        <v>yes</v>
      </c>
      <c r="K19" s="96">
        <v>0.67</v>
      </c>
      <c r="L19" s="96" t="s">
        <v>187</v>
      </c>
      <c r="M19" s="156">
        <f>+IF(AND(D19="Drive",E19="Explosion Proof"),IF(F19&lt;'Equipment Data'!$H$40,10^('Equipment Data'!$C$40+'Equipment Data'!$D$40*LOG10(F19)+'Equipment Data'!$E$40*LOG10(F19)*LOG10(F19)),10^('Equipment Data'!$C$40+LOG10('Equipment Data'!$H$40)*'Equipment Data'!$D$40+'Equipment Data'!$E$40*LOG10('Equipment Data'!$H$40)*LOG10('Equipment Data'!$H$40))*(F19/'Equipment Data'!$H$40)^K19),"N/A")</f>
        <v>207773.29033220693</v>
      </c>
      <c r="N19" s="96" t="s">
        <v>187</v>
      </c>
      <c r="O19" s="96" t="s">
        <v>187</v>
      </c>
      <c r="P19" s="152">
        <f>+'Equipment Data'!$F$40</f>
        <v>1.5</v>
      </c>
      <c r="Q19" s="153">
        <f t="shared" si="2"/>
        <v>311659.93549831037</v>
      </c>
      <c r="R19" s="97">
        <v>1</v>
      </c>
      <c r="S19" s="193">
        <f>+IF(Tabla2587901201356288919497[[#This Row],[Equipment]]="","",Q19*R19/10^6)</f>
        <v>0.31165993549831039</v>
      </c>
      <c r="T19" s="587">
        <f t="shared" ca="1" si="1"/>
        <v>0.50304203153075588</v>
      </c>
      <c r="U19" s="104"/>
      <c r="V19" s="83"/>
      <c r="W19" s="83"/>
      <c r="X19" s="83"/>
      <c r="Y19" s="83"/>
      <c r="Z19" s="83"/>
      <c r="AA19" s="83"/>
      <c r="AB19" s="83"/>
      <c r="AC19" s="83"/>
      <c r="AD19" s="83"/>
      <c r="AE19" s="83"/>
      <c r="AF19" s="83"/>
      <c r="AG19" s="83"/>
      <c r="AH19" s="83"/>
      <c r="AI19" s="83"/>
      <c r="AJ19" s="83"/>
      <c r="AK19" s="83"/>
      <c r="AL19" s="83"/>
      <c r="AM19" s="83"/>
      <c r="AN19" s="83"/>
      <c r="AO19" s="104"/>
      <c r="AP19" s="83"/>
      <c r="AQ19" s="215"/>
      <c r="AR19" s="371"/>
    </row>
    <row r="20" spans="1:44" ht="16.25" customHeight="1" x14ac:dyDescent="0.2">
      <c r="A20" s="83"/>
      <c r="B20" s="103"/>
      <c r="C20" s="99" t="s">
        <v>416</v>
      </c>
      <c r="D20" s="208" t="s">
        <v>194</v>
      </c>
      <c r="E20" s="208" t="s">
        <v>195</v>
      </c>
      <c r="F20" s="152">
        <f>+X41*1000/3600/AD41</f>
        <v>2472.8493502317324</v>
      </c>
      <c r="G20" s="96">
        <f>+AB41</f>
        <v>20</v>
      </c>
      <c r="H20" s="96" t="s">
        <v>196</v>
      </c>
      <c r="I20" s="96" t="s">
        <v>364</v>
      </c>
      <c r="J20" s="96" t="str">
        <f>+IF(F20&gt;'Equipment Data'!$L$126,"yes","No")</f>
        <v>yes</v>
      </c>
      <c r="K20" s="96">
        <v>0.67</v>
      </c>
      <c r="L20" s="96" t="s">
        <v>289</v>
      </c>
      <c r="M20" s="156">
        <f>+IF(AND(D20="Heat Exchanger",E20="Fixed tube, sheet, or U tube"),IF(F20&lt;'Equipment Data'!$L$126,10^('Equipment Data'!$C$126+'Equipment Data'!$D$126*LOG10(F20)+'Equipment Data'!$E$126*LOG10(F20)*LOG10(F20)),10^('Equipment Data'!$C$126+'Equipment Data'!$D$126*LOG10('Equipment Data'!$L$126)+'Equipment Data'!$E$126*LOG10('Equipment Data'!$L$126)*LOG10('Equipment Data'!$L$126))*(F20/'Equipment Data'!$L$126)^K20),"N/A")</f>
        <v>141170.00552785181</v>
      </c>
      <c r="N20" s="152">
        <f>+IF(L20="","Input: shell and tube / tube only",IF(L20="shell and tube",IF(G20-1&gt;5,10^('Equipment Data'!$F$126+'Equipment Data'!$G$126*LOG10(G20-1.01325)+'Equipment Data'!$H$126*LOG10(G20-1.01325)*LOG10(G20-1.01325)),1),IF(G20-1.01325&gt;5,10^('Equipment Data'!$F$127+'Equipment Data'!$G$127*LOG10(G20-1.01325)+'Equipment Data'!$H$127*LOG10(G20-1.01325)*LOG10(G20-1.01325)),1)))</f>
        <v>1.0243483626041501</v>
      </c>
      <c r="O20" s="96">
        <f>+IF(I20="CS/CS",'Equipment Data'!$C$149,IF(I20="CS/Cu",'Equipment Data'!$D$149,IF(I20="Cu/Cu",'Equipment Data'!$E$149,IF(I20="CS/SS",'Equipment Data'!$F$149,IF(I20="SS/SS",'Equipment Data'!$G$149,IF(I20="CS/Ni",'Equipment Data'!$H$149,IF(I20="Ni/Ni",'Equipment Data'!$I$149,IF(I20="CS/Ti",'Equipment Data'!$J$149,IF(I20="Ti/Ti",'Equipment Data'!$K$149,"N/A")))))))))</f>
        <v>1.81</v>
      </c>
      <c r="P20" s="152">
        <f>+'Equipment Data'!$I$126+'Equipment Data'!$J$126*N20*O20</f>
        <v>4.7077570902804293</v>
      </c>
      <c r="Q20" s="153">
        <f t="shared" si="2"/>
        <v>664594.09445867175</v>
      </c>
      <c r="R20" s="97">
        <v>1</v>
      </c>
      <c r="S20" s="193">
        <f>+IF(Tabla2587901201356288919497[[#This Row],[Equipment]]="","",Q20*R20/10^6)</f>
        <v>0.66459409445867179</v>
      </c>
      <c r="T20" s="587">
        <f t="shared" ca="1" si="1"/>
        <v>1.0727036918790795</v>
      </c>
      <c r="U20" s="104"/>
      <c r="V20" s="83"/>
      <c r="W20" s="83"/>
      <c r="X20" s="83"/>
      <c r="Y20" s="83"/>
      <c r="Z20" s="83"/>
      <c r="AA20" s="83"/>
      <c r="AB20" s="83"/>
      <c r="AC20" s="83"/>
      <c r="AD20" s="83"/>
      <c r="AE20" s="83"/>
      <c r="AF20" s="83"/>
      <c r="AG20" s="83"/>
      <c r="AH20" s="83"/>
      <c r="AI20" s="83"/>
      <c r="AJ20" s="83"/>
      <c r="AK20" s="83"/>
      <c r="AL20" s="83"/>
      <c r="AM20" s="83"/>
      <c r="AN20" s="83"/>
      <c r="AO20" s="104"/>
      <c r="AP20" s="83"/>
      <c r="AQ20" s="215"/>
      <c r="AR20" s="371"/>
    </row>
    <row r="21" spans="1:44" ht="16.25" customHeight="1" x14ac:dyDescent="0.2">
      <c r="A21" s="83"/>
      <c r="B21" s="103"/>
      <c r="C21" s="99" t="s">
        <v>417</v>
      </c>
      <c r="D21" s="208" t="s">
        <v>194</v>
      </c>
      <c r="E21" s="208" t="s">
        <v>195</v>
      </c>
      <c r="F21" s="152">
        <f>+X42*1000/3600/AD42</f>
        <v>14.93019646225382</v>
      </c>
      <c r="G21" s="96">
        <f>+AB42</f>
        <v>80</v>
      </c>
      <c r="H21" s="96" t="s">
        <v>196</v>
      </c>
      <c r="I21" s="96" t="s">
        <v>364</v>
      </c>
      <c r="J21" s="96" t="str">
        <f>+IF(F21&gt;'Equipment Data'!$L$126,"yes","No")</f>
        <v>No</v>
      </c>
      <c r="K21" s="96">
        <v>0.67</v>
      </c>
      <c r="L21" s="96" t="s">
        <v>289</v>
      </c>
      <c r="M21" s="156">
        <f>+IF(AND(D21="Heat Exchanger",E21="Fixed tube, sheet, or U tube"),IF(F21&lt;'Equipment Data'!$L$126,10^('Equipment Data'!$C$126+'Equipment Data'!$D$126*LOG10(F21)+'Equipment Data'!$E$126*LOG10(F21)*LOG10(F21)),10^('Equipment Data'!$C$126+'Equipment Data'!$D$126*LOG10('Equipment Data'!$L$126)+'Equipment Data'!$E$126*LOG10('Equipment Data'!$L$126)*LOG10('Equipment Data'!$L$126))*(F21/'Equipment Data'!$L$126)^K21),"N/A")</f>
        <v>15638.445623497493</v>
      </c>
      <c r="N21" s="152">
        <f>+IF(L21="","Input: shell and tube / tube only",IF(L21="shell and tube",IF(G21-1&gt;5,10^('Equipment Data'!$F$126+'Equipment Data'!$G$126*LOG10(G21-1.01325)+'Equipment Data'!$H$126*LOG10(G21-1.01325)*LOG10(G21-1.01325)),1),IF(G21-1.01325&gt;5,10^('Equipment Data'!$F$127+'Equipment Data'!$G$127*LOG10(G21-1.01325)+'Equipment Data'!$H$127*LOG10(G21-1.01325)*LOG10(G21-1.01325)),1)))</f>
        <v>1.0733740557481144</v>
      </c>
      <c r="O21" s="96">
        <f>+IF(I21="CS/CS",'Equipment Data'!$C$149,IF(I21="CS/Cu",'Equipment Data'!$D$149,IF(I21="Cu/Cu",'Equipment Data'!$E$149,IF(I21="CS/SS",'Equipment Data'!$F$149,IF(I21="SS/SS",'Equipment Data'!$G$149,IF(I21="CS/Ni",'Equipment Data'!$H$149,IF(I21="Ni/Ni",'Equipment Data'!$I$149,IF(I21="CS/Ti",'Equipment Data'!$J$149,IF(I21="Ti/Ti",'Equipment Data'!$K$149,"N/A")))))))))</f>
        <v>1.81</v>
      </c>
      <c r="P21" s="152">
        <f>+'Equipment Data'!$I$126+'Equipment Data'!$J$126*N21*O21</f>
        <v>4.8550596879007841</v>
      </c>
      <c r="Q21" s="153">
        <f t="shared" si="2"/>
        <v>75925.586928071119</v>
      </c>
      <c r="R21" s="97">
        <v>1</v>
      </c>
      <c r="S21" s="193">
        <f>+IF(Tabla2587901201356288919497[[#This Row],[Equipment]]="","",Q21*R21/10^6)</f>
        <v>7.5925586928071123E-2</v>
      </c>
      <c r="T21" s="587">
        <f t="shared" ca="1" si="1"/>
        <v>0.12254947506292146</v>
      </c>
      <c r="U21" s="104"/>
      <c r="V21" s="83"/>
      <c r="W21" s="83"/>
      <c r="X21" s="83"/>
      <c r="Y21" s="83"/>
      <c r="Z21" s="83"/>
      <c r="AA21" s="83"/>
      <c r="AB21" s="83"/>
      <c r="AC21" s="83"/>
      <c r="AD21" s="83"/>
      <c r="AE21" s="83"/>
      <c r="AF21" s="83"/>
      <c r="AG21" s="83"/>
      <c r="AH21" s="83"/>
      <c r="AI21" s="83"/>
      <c r="AJ21" s="83"/>
      <c r="AK21" s="83"/>
      <c r="AL21" s="83"/>
      <c r="AM21" s="83"/>
      <c r="AN21" s="83"/>
      <c r="AO21" s="104"/>
      <c r="AP21" s="83"/>
      <c r="AQ21" s="215"/>
      <c r="AR21" s="371"/>
    </row>
    <row r="22" spans="1:44" ht="16.25" customHeight="1" x14ac:dyDescent="0.2">
      <c r="A22" s="83"/>
      <c r="B22" s="103"/>
      <c r="C22" s="99" t="s">
        <v>418</v>
      </c>
      <c r="D22" s="208" t="s">
        <v>184</v>
      </c>
      <c r="E22" s="208" t="s">
        <v>185</v>
      </c>
      <c r="F22" s="96">
        <v>590.4</v>
      </c>
      <c r="G22" s="96">
        <v>150</v>
      </c>
      <c r="H22" s="96" t="s">
        <v>186</v>
      </c>
      <c r="I22" s="96" t="s">
        <v>182</v>
      </c>
      <c r="J22" s="96" t="str">
        <f>+IF(F22&gt;'Equipment Data'!$S$179,"yes","No")</f>
        <v>yes</v>
      </c>
      <c r="K22" s="96">
        <v>0.67</v>
      </c>
      <c r="L22" s="96" t="s">
        <v>187</v>
      </c>
      <c r="M22" s="156">
        <f>+IF(AND(D22="Pump",E22="Centrifugal pump"),IF(F22&lt;'Equipment Data'!$S$179,10^('Equipment Data'!$C$179+'Equipment Data'!$D$179*LOG10(F22)+'Equipment Data'!$E$179*LOG10(F22)*LOG10(F22)),10^('Equipment Data'!$C$179+'Equipment Data'!$D$179*LOG10('Equipment Data'!$S$179)+'Equipment Data'!$E$179*LOG10('Equipment Data'!$S$179)*LOG10('Equipment Data'!$S$179))*(F22/'Equipment Data'!$S$179)^K22),"N/A")</f>
        <v>45994.644003258472</v>
      </c>
      <c r="N22" s="158">
        <f>+IF(G22-1.01325&gt;10,10^('Equipment Data'!$F$179+'Equipment Data'!$G$179*LOG10(G22-1.01325)+'Equipment Data'!$H$179*LOG10(G22-1.01325)*LOG10(G22-1.01325)),1)</f>
        <v>2.8558902513168873</v>
      </c>
      <c r="O22" s="96">
        <f>+IF(I22="Cl",'Equipment Data'!$K$179,IF(I22="CS",'Equipment Data'!$L$179,IF(I22="Cu",'Equipment Data'!$M$179,IF(I22="SS",'Equipment Data'!$N$179,IF(I22="Ni",'Equipment Data'!$O$179,IF(I22="Ti",'Equipment Data'!$P$179,"N/A"))))))</f>
        <v>1.55</v>
      </c>
      <c r="P22" s="152">
        <f>+'Equipment Data'!$I$179+'Equipment Data'!$J$179*O22*N22</f>
        <v>7.8659503508805875</v>
      </c>
      <c r="Q22" s="153">
        <f>+P22*M22</f>
        <v>361791.58613605867</v>
      </c>
      <c r="R22" s="97">
        <v>1</v>
      </c>
      <c r="S22" s="193">
        <f>+IF(Tabla2587901201356288919497[[#This Row],[Equipment]]="","",Q22*R22/10^6)</f>
        <v>0.36179158613605866</v>
      </c>
      <c r="T22" s="587">
        <f t="shared" ca="1" si="1"/>
        <v>0.58395819850769393</v>
      </c>
      <c r="U22" s="104"/>
      <c r="V22" s="83"/>
      <c r="W22" s="83"/>
      <c r="X22" s="83"/>
      <c r="Y22" s="83"/>
      <c r="Z22" s="83"/>
      <c r="AA22" s="83"/>
      <c r="AB22" s="83"/>
      <c r="AC22" s="83"/>
      <c r="AD22" s="83"/>
      <c r="AE22" s="83"/>
      <c r="AF22" s="83"/>
      <c r="AG22" s="83"/>
      <c r="AH22" s="83"/>
      <c r="AI22" s="83"/>
      <c r="AJ22" s="83"/>
      <c r="AK22" s="83"/>
      <c r="AL22" s="83"/>
      <c r="AM22" s="83"/>
      <c r="AN22" s="83"/>
      <c r="AO22" s="104"/>
      <c r="AP22" s="83"/>
      <c r="AQ22" s="215"/>
      <c r="AR22" s="371"/>
    </row>
    <row r="23" spans="1:44" ht="16.25" customHeight="1" x14ac:dyDescent="0.2">
      <c r="A23" s="83"/>
      <c r="B23" s="103"/>
      <c r="C23" s="99" t="s">
        <v>419</v>
      </c>
      <c r="D23" s="208" t="s">
        <v>420</v>
      </c>
      <c r="E23" s="208" t="s">
        <v>421</v>
      </c>
      <c r="F23" s="152">
        <v>371.6</v>
      </c>
      <c r="G23" s="96" t="s">
        <v>187</v>
      </c>
      <c r="H23" s="96" t="s">
        <v>186</v>
      </c>
      <c r="I23" s="96" t="s">
        <v>410</v>
      </c>
      <c r="J23" s="96" t="str">
        <f>+IF(F23&gt;'Equipment Data'!$G$211,"yes","No")</f>
        <v>yes</v>
      </c>
      <c r="K23" s="96">
        <v>0.67</v>
      </c>
      <c r="L23" s="96" t="s">
        <v>187</v>
      </c>
      <c r="M23" s="156">
        <f>+IF(AND(D23="Turbine",E23="Radial"),IF(F23&lt;'Equipment Data'!$M$211,10^('Equipment Data'!$C$211+'Equipment Data'!$D$211*LOG10(F23)+'Equipment Data'!$E$211*LOG10(F23)*LOG10(F23)),10^('Equipment Data'!$C$211+'Equipment Data'!$D$211*LOG10('Equipment Data'!$M$211)+'Equipment Data'!$E$211*LOG10('Equipment Data'!$M$211)*LOG10('Equipment Data'!$M$211))*(F23/'Equipment Data'!$M$211)^K23),"N/A")</f>
        <v>105921.1071457169</v>
      </c>
      <c r="N23" s="96" t="s">
        <v>187</v>
      </c>
      <c r="O23" s="96" t="s">
        <v>187</v>
      </c>
      <c r="P23" s="96">
        <f>+IF(I23="Cl",'Equipment Data'!$F$211,IF(I23="CS",'Equipment Data'!$G$211,IF(I23="Cu",'Equipment Data'!$H$211,IF(I23="SS",'Equipment Data'!$I$211,IF(I23="Ni",'Equipment Data'!$J$211,IF(I23="Ti",'Equipment Data'!$K$211,"N/A"))))))</f>
        <v>6.13</v>
      </c>
      <c r="Q23" s="153">
        <f>+M23*P23</f>
        <v>649296.38680324459</v>
      </c>
      <c r="R23" s="97">
        <v>1</v>
      </c>
      <c r="S23" s="193">
        <f>+IF(Tabla2587901201356288919497[[#This Row],[Equipment]]="","",Q23*R23/10^6)</f>
        <v>0.64929638680324464</v>
      </c>
      <c r="T23" s="587">
        <f t="shared" ca="1" si="1"/>
        <v>1.0480120678997393</v>
      </c>
      <c r="U23" s="104"/>
      <c r="V23" s="83"/>
      <c r="W23" s="83"/>
      <c r="X23" s="83"/>
      <c r="Y23" s="83"/>
      <c r="Z23" s="83"/>
      <c r="AA23" s="83"/>
      <c r="AB23" s="83"/>
      <c r="AC23" s="83"/>
      <c r="AD23" s="83"/>
      <c r="AE23" s="83"/>
      <c r="AF23" s="83"/>
      <c r="AG23" s="83"/>
      <c r="AH23" s="83"/>
      <c r="AI23" s="83"/>
      <c r="AJ23" s="83"/>
      <c r="AK23" s="83"/>
      <c r="AL23" s="83"/>
      <c r="AM23" s="83"/>
      <c r="AN23" s="83"/>
      <c r="AO23" s="104"/>
      <c r="AP23" s="83"/>
      <c r="AQ23" s="215"/>
      <c r="AR23" s="371"/>
    </row>
    <row r="24" spans="1:44" ht="16.25" customHeight="1" x14ac:dyDescent="0.2">
      <c r="A24" s="83"/>
      <c r="B24" s="103"/>
      <c r="C24" s="99" t="s">
        <v>422</v>
      </c>
      <c r="D24" s="208" t="s">
        <v>192</v>
      </c>
      <c r="E24" s="208" t="s">
        <v>193</v>
      </c>
      <c r="F24" s="152">
        <f>+F23</f>
        <v>371.6</v>
      </c>
      <c r="G24" s="96" t="s">
        <v>187</v>
      </c>
      <c r="H24" s="96" t="s">
        <v>186</v>
      </c>
      <c r="I24" s="96" t="s">
        <v>415</v>
      </c>
      <c r="J24" s="96" t="str">
        <f>+IF(F24&gt;'Equipment Data'!$H$40,"yes","No")</f>
        <v>No</v>
      </c>
      <c r="K24" s="96">
        <v>0.67</v>
      </c>
      <c r="L24" s="96" t="s">
        <v>187</v>
      </c>
      <c r="M24" s="156">
        <f>+IF(AND(D24="Drive",E24="Explosion Proof"),IF(F24&lt;'Equipment Data'!$H$40,10^('Equipment Data'!$C$40+'Equipment Data'!$D$40*LOG10(F24)+'Equipment Data'!$E$40*LOG10(F24)*LOG10(F24)),10^('Equipment Data'!$C$40+LOG10('Equipment Data'!$H$40)*'Equipment Data'!$D$40+'Equipment Data'!$E$40*LOG10('Equipment Data'!$H$40)*LOG10('Equipment Data'!$H$40))*(F24/'Equipment Data'!$H$40)^K24),"N/A")</f>
        <v>83169.376874270703</v>
      </c>
      <c r="N24" s="96" t="s">
        <v>187</v>
      </c>
      <c r="O24" s="96" t="s">
        <v>187</v>
      </c>
      <c r="P24" s="152">
        <f>+'Equipment Data'!$F$40</f>
        <v>1.5</v>
      </c>
      <c r="Q24" s="153">
        <f t="shared" ref="Q24" si="3">+M24*P24</f>
        <v>124754.06531140606</v>
      </c>
      <c r="R24" s="97">
        <v>1</v>
      </c>
      <c r="S24" s="193">
        <f>+IF(Tabla2587901201356288919497[[#This Row],[Equipment]]="","",Q24*R24/10^6)</f>
        <v>0.12475406531140605</v>
      </c>
      <c r="T24" s="587">
        <f t="shared" ca="1" si="1"/>
        <v>0.20136222628561293</v>
      </c>
      <c r="U24" s="104"/>
      <c r="V24" s="83"/>
      <c r="W24" s="83"/>
      <c r="X24" s="83"/>
      <c r="Y24" s="83"/>
      <c r="Z24" s="83"/>
      <c r="AA24" s="83"/>
      <c r="AB24" s="83"/>
      <c r="AC24" s="83"/>
      <c r="AD24" s="83"/>
      <c r="AE24" s="83"/>
      <c r="AF24" s="83"/>
      <c r="AG24" s="83"/>
      <c r="AH24" s="83"/>
      <c r="AI24" s="83"/>
      <c r="AJ24" s="83"/>
      <c r="AK24" s="83"/>
      <c r="AL24" s="83"/>
      <c r="AM24" s="83"/>
      <c r="AN24" s="83"/>
      <c r="AO24" s="104"/>
      <c r="AP24" s="83"/>
      <c r="AQ24" s="215"/>
      <c r="AR24" s="371"/>
    </row>
    <row r="25" spans="1:44" ht="16.25" customHeight="1" x14ac:dyDescent="0.2">
      <c r="A25" s="83"/>
      <c r="B25" s="103"/>
      <c r="C25" s="99"/>
      <c r="D25" s="208"/>
      <c r="E25" s="208"/>
      <c r="F25" s="158"/>
      <c r="G25" s="158"/>
      <c r="H25" s="395" t="str">
        <f>IF(Tabla2788911211366389929598[[#This Row],[Subtype]]="","",VLOOKUP(Tabla2788911211366389929598[[#This Row],[Subtype]],'Unit-X00 Equipment'!$E$13:$H$107,4,FALSE))</f>
        <v/>
      </c>
      <c r="I25" s="96"/>
      <c r="J25" s="96"/>
      <c r="K25" s="96"/>
      <c r="L25" s="96"/>
      <c r="M25" s="234"/>
      <c r="N25" s="158"/>
      <c r="O25" s="158"/>
      <c r="P25" s="158"/>
      <c r="Q25" s="158"/>
      <c r="R25" s="97"/>
      <c r="S25" s="193" t="str">
        <f>+IF(Tabla2587901201356288919497[[#This Row],[Equipment]]="","",Q25*R25/10^6)</f>
        <v/>
      </c>
      <c r="T25" s="587" t="e">
        <f t="shared" ca="1" si="1"/>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15"/>
      <c r="AR25" s="371"/>
    </row>
    <row r="26" spans="1:44" ht="16.25" customHeight="1" x14ac:dyDescent="0.2">
      <c r="A26" s="83"/>
      <c r="B26" s="103"/>
      <c r="C26" s="99"/>
      <c r="D26" s="208"/>
      <c r="E26" s="208"/>
      <c r="F26" s="158"/>
      <c r="G26" s="158"/>
      <c r="H26" s="395" t="str">
        <f>IF(Tabla2788911211366389929598[[#This Row],[Subtype]]="","",VLOOKUP(Tabla2788911211366389929598[[#This Row],[Subtype]],'Unit-X00 Equipment'!$E$13:$H$107,4,FALSE))</f>
        <v/>
      </c>
      <c r="I26" s="96"/>
      <c r="J26" s="96"/>
      <c r="K26" s="96"/>
      <c r="L26" s="96"/>
      <c r="M26" s="234"/>
      <c r="N26" s="158"/>
      <c r="O26" s="158"/>
      <c r="P26" s="158"/>
      <c r="Q26" s="158"/>
      <c r="R26" s="97"/>
      <c r="S26" s="193" t="str">
        <f>+IF(Tabla2587901201356288919497[[#This Row],[Equipment]]="","",Q26*R26/10^6)</f>
        <v/>
      </c>
      <c r="T26" s="587" t="e">
        <f t="shared" ca="1" si="1"/>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15"/>
      <c r="AR26" s="371"/>
    </row>
    <row r="27" spans="1:44" ht="16.25" customHeight="1" x14ac:dyDescent="0.2">
      <c r="A27" s="83"/>
      <c r="B27" s="103"/>
      <c r="C27" s="99"/>
      <c r="D27" s="208"/>
      <c r="E27" s="208"/>
      <c r="F27" s="158"/>
      <c r="G27" s="158"/>
      <c r="H27" s="395" t="str">
        <f>IF(Tabla2788911211366389929598[[#This Row],[Subtype]]="","",VLOOKUP(Tabla2788911211366389929598[[#This Row],[Subtype]],'Unit-X00 Equipment'!$E$13:$H$107,4,FALSE))</f>
        <v/>
      </c>
      <c r="I27" s="96"/>
      <c r="J27" s="96"/>
      <c r="K27" s="96"/>
      <c r="L27" s="96"/>
      <c r="M27" s="234"/>
      <c r="N27" s="158"/>
      <c r="O27" s="158"/>
      <c r="P27" s="158"/>
      <c r="Q27" s="158"/>
      <c r="R27" s="97"/>
      <c r="S27" s="193" t="str">
        <f>+IF(Tabla2587901201356288919497[[#This Row],[Equipment]]="","",Q27*R27/10^6)</f>
        <v/>
      </c>
      <c r="T27" s="587" t="e">
        <f t="shared" ca="1" si="1"/>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15"/>
      <c r="AR27" s="371"/>
    </row>
    <row r="28" spans="1:44" ht="16.25" customHeight="1" x14ac:dyDescent="0.2">
      <c r="A28" s="83"/>
      <c r="B28" s="103"/>
      <c r="C28" s="99"/>
      <c r="D28" s="208"/>
      <c r="E28" s="208"/>
      <c r="F28" s="158"/>
      <c r="G28" s="158"/>
      <c r="H28" s="395" t="str">
        <f>IF(Tabla2788911211366389929598[[#This Row],[Subtype]]="","",VLOOKUP(Tabla2788911211366389929598[[#This Row],[Subtype]],'Unit-X00 Equipment'!$E$13:$H$107,4,FALSE))</f>
        <v/>
      </c>
      <c r="I28" s="96"/>
      <c r="J28" s="96"/>
      <c r="K28" s="96"/>
      <c r="L28" s="96"/>
      <c r="M28" s="234"/>
      <c r="N28" s="158"/>
      <c r="O28" s="158"/>
      <c r="P28" s="158"/>
      <c r="Q28" s="158"/>
      <c r="R28" s="97"/>
      <c r="S28" s="193" t="str">
        <f>+IF(Tabla2587901201356288919497[[#This Row],[Equipment]]="","",Q28*R28/10^6)</f>
        <v/>
      </c>
      <c r="T28" s="587" t="e">
        <f t="shared" ca="1" si="1"/>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15"/>
      <c r="AR28" s="371"/>
    </row>
    <row r="29" spans="1:44" ht="16.25" customHeight="1" x14ac:dyDescent="0.2">
      <c r="A29" s="83"/>
      <c r="B29" s="103"/>
      <c r="C29" s="99"/>
      <c r="D29" s="208"/>
      <c r="E29" s="208"/>
      <c r="F29" s="158"/>
      <c r="G29" s="158"/>
      <c r="H29" s="395" t="str">
        <f>IF(Tabla2788911211366389929598[[#This Row],[Subtype]]="","",VLOOKUP(Tabla2788911211366389929598[[#This Row],[Subtype]],'Unit-X00 Equipment'!$E$13:$H$107,4,FALSE))</f>
        <v/>
      </c>
      <c r="I29" s="96"/>
      <c r="J29" s="96"/>
      <c r="K29" s="96"/>
      <c r="L29" s="96"/>
      <c r="M29" s="234"/>
      <c r="N29" s="158"/>
      <c r="O29" s="158"/>
      <c r="P29" s="158"/>
      <c r="Q29" s="158"/>
      <c r="R29" s="97"/>
      <c r="S29" s="193" t="str">
        <f>+IF(Tabla2587901201356288919497[[#This Row],[Equipment]]="","",Q29*R29/10^6)</f>
        <v/>
      </c>
      <c r="T29" s="587" t="e">
        <f t="shared" ca="1" si="1"/>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15"/>
      <c r="AR29" s="371"/>
    </row>
    <row r="30" spans="1:44" ht="16.25" customHeight="1" x14ac:dyDescent="0.2">
      <c r="A30" s="83"/>
      <c r="B30" s="103"/>
      <c r="C30" s="99"/>
      <c r="D30" s="208"/>
      <c r="E30" s="208"/>
      <c r="F30" s="158"/>
      <c r="G30" s="158"/>
      <c r="H30" s="395" t="str">
        <f>IF(Tabla2788911211366389929598[[#This Row],[Subtype]]="","",VLOOKUP(Tabla2788911211366389929598[[#This Row],[Subtype]],'Unit-X00 Equipment'!$E$13:$H$107,4,FALSE))</f>
        <v/>
      </c>
      <c r="I30" s="96"/>
      <c r="J30" s="96"/>
      <c r="K30" s="96"/>
      <c r="L30" s="96"/>
      <c r="M30" s="234"/>
      <c r="N30" s="158"/>
      <c r="O30" s="158"/>
      <c r="P30" s="158"/>
      <c r="Q30" s="158"/>
      <c r="R30" s="97"/>
      <c r="S30" s="193" t="str">
        <f>+IF(Tabla2587901201356288919497[[#This Row],[Equipment]]="","",Q30*R30/10^6)</f>
        <v/>
      </c>
      <c r="T30" s="587" t="e">
        <f t="shared" ca="1" si="1"/>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15"/>
      <c r="AR30" s="371"/>
    </row>
    <row r="31" spans="1:44" ht="16.25" customHeight="1" x14ac:dyDescent="0.2">
      <c r="A31" s="83"/>
      <c r="B31" s="103"/>
      <c r="C31" s="99"/>
      <c r="D31" s="208"/>
      <c r="E31" s="208"/>
      <c r="F31" s="158"/>
      <c r="G31" s="158"/>
      <c r="H31" s="395" t="str">
        <f>IF(Tabla2788911211366389929598[[#This Row],[Subtype]]="","",VLOOKUP(Tabla2788911211366389929598[[#This Row],[Subtype]],'Unit-X00 Equipment'!$E$13:$H$107,4,FALSE))</f>
        <v/>
      </c>
      <c r="I31" s="96"/>
      <c r="J31" s="96"/>
      <c r="K31" s="96"/>
      <c r="L31" s="96"/>
      <c r="M31" s="234"/>
      <c r="N31" s="158"/>
      <c r="O31" s="158"/>
      <c r="P31" s="158"/>
      <c r="Q31" s="158"/>
      <c r="R31" s="97"/>
      <c r="S31" s="193" t="str">
        <f>+IF(Tabla2587901201356288919497[[#This Row],[Equipment]]="","",Q31*R31/10^6)</f>
        <v/>
      </c>
      <c r="T31" s="587" t="e">
        <f t="shared" ca="1" si="1"/>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15"/>
      <c r="AR31" s="371"/>
    </row>
    <row r="32" spans="1:44" ht="16.25" customHeight="1" x14ac:dyDescent="0.2">
      <c r="A32" s="83"/>
      <c r="B32" s="103"/>
      <c r="C32" s="99"/>
      <c r="D32" s="208"/>
      <c r="E32" s="208"/>
      <c r="F32" s="158"/>
      <c r="G32" s="158"/>
      <c r="H32" s="395" t="str">
        <f>IF(Tabla2788911211366389929598[[#This Row],[Subtype]]="","",VLOOKUP(Tabla2788911211366389929598[[#This Row],[Subtype]],'Unit-X00 Equipment'!$E$13:$H$107,4,FALSE))</f>
        <v/>
      </c>
      <c r="I32" s="96"/>
      <c r="J32" s="96"/>
      <c r="K32" s="96"/>
      <c r="L32" s="96"/>
      <c r="M32" s="156"/>
      <c r="N32" s="96"/>
      <c r="O32" s="96"/>
      <c r="P32" s="152"/>
      <c r="Q32" s="153"/>
      <c r="R32" s="97"/>
      <c r="S32" s="193" t="str">
        <f>+IF(Tabla2587901201356288919497[[#This Row],[Equipment]]="","",Q32*R32/10^6)</f>
        <v/>
      </c>
      <c r="T32" s="587" t="e">
        <f t="shared" ca="1" si="1"/>
        <v>#VALUE!</v>
      </c>
      <c r="U32" s="83"/>
      <c r="W32" s="83"/>
      <c r="X32" s="83"/>
      <c r="Y32" s="83"/>
      <c r="Z32" s="83"/>
      <c r="AA32" s="83"/>
      <c r="AB32" s="83"/>
      <c r="AC32" s="83"/>
      <c r="AD32" s="83"/>
      <c r="AE32" s="83"/>
      <c r="AF32" s="83"/>
      <c r="AG32" s="83"/>
      <c r="AH32" s="83"/>
      <c r="AI32" s="83"/>
      <c r="AJ32" s="83"/>
      <c r="AK32" s="83"/>
      <c r="AL32" s="83"/>
      <c r="AM32" s="83"/>
      <c r="AN32" s="83"/>
      <c r="AO32" s="83"/>
      <c r="AP32" s="83"/>
      <c r="AQ32" s="215"/>
      <c r="AR32" s="371"/>
    </row>
    <row r="33" spans="1:44" ht="16.25" customHeight="1" x14ac:dyDescent="0.2">
      <c r="A33" s="83"/>
      <c r="B33" s="103"/>
      <c r="C33" s="99"/>
      <c r="D33" s="208"/>
      <c r="E33" s="208"/>
      <c r="F33" s="158"/>
      <c r="G33" s="158"/>
      <c r="H33" s="395" t="str">
        <f>IF(Tabla2788911211366389929598[[#This Row],[Subtype]]="","",VLOOKUP(Tabla2788911211366389929598[[#This Row],[Subtype]],'Unit-X00 Equipment'!$E$13:$H$107,4,FALSE))</f>
        <v/>
      </c>
      <c r="I33" s="96"/>
      <c r="J33" s="96"/>
      <c r="K33" s="96"/>
      <c r="L33" s="96"/>
      <c r="M33" s="156"/>
      <c r="N33" s="96"/>
      <c r="O33" s="96"/>
      <c r="P33" s="158"/>
      <c r="Q33" s="153"/>
      <c r="R33" s="97"/>
      <c r="S33" s="193" t="str">
        <f>+IF(Tabla2587901201356288919497[[#This Row],[Equipment]]="","",Q33*R33/10^6)</f>
        <v/>
      </c>
      <c r="T33" s="587" t="e">
        <f t="shared" ca="1" si="1"/>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15"/>
      <c r="AR33" s="371"/>
    </row>
    <row r="34" spans="1:44" ht="16.25" customHeight="1" x14ac:dyDescent="0.2">
      <c r="A34" s="83"/>
      <c r="B34" s="103"/>
      <c r="C34" s="363"/>
      <c r="D34" s="208"/>
      <c r="E34" s="208"/>
      <c r="F34" s="158"/>
      <c r="G34" s="158"/>
      <c r="H34" s="395" t="str">
        <f>IF(Tabla2788911211366389929598[[#This Row],[Subtype]]="","",VLOOKUP(Tabla2788911211366389929598[[#This Row],[Subtype]],'Unit-X00 Equipment'!$E$13:$H$107,4,FALSE))</f>
        <v/>
      </c>
      <c r="I34" s="96"/>
      <c r="J34" s="96"/>
      <c r="K34" s="96"/>
      <c r="L34" s="96"/>
      <c r="M34" s="156"/>
      <c r="N34" s="96"/>
      <c r="O34" s="96"/>
      <c r="P34" s="96"/>
      <c r="Q34" s="153"/>
      <c r="R34" s="97"/>
      <c r="S34" s="193" t="str">
        <f>+IF(Tabla2587901201356288919497[[#This Row],[Equipment]]="","",Q34*R34/10^6)</f>
        <v/>
      </c>
      <c r="T34" s="587" t="e">
        <f t="shared" ca="1" si="1"/>
        <v>#VALUE!</v>
      </c>
      <c r="U34" s="83"/>
      <c r="V34" s="112"/>
      <c r="W34" s="914" t="str">
        <f>+E6&amp;" Calculations"</f>
        <v>CO2 CPU Calculations</v>
      </c>
      <c r="X34" s="915"/>
      <c r="Y34" s="915"/>
      <c r="Z34" s="915"/>
      <c r="AA34" s="915"/>
      <c r="AB34" s="915"/>
      <c r="AC34" s="915"/>
      <c r="AD34" s="915"/>
      <c r="AE34" s="915"/>
      <c r="AF34" s="915"/>
      <c r="AG34" s="915"/>
      <c r="AH34" s="915"/>
      <c r="AI34" s="915"/>
      <c r="AJ34" s="915"/>
      <c r="AK34" s="915"/>
      <c r="AL34" s="915"/>
      <c r="AM34" s="915"/>
      <c r="AN34" s="916"/>
      <c r="AO34" s="104"/>
      <c r="AP34" s="83"/>
      <c r="AQ34" s="215"/>
      <c r="AR34" s="371"/>
    </row>
    <row r="35" spans="1:44" ht="16.25" customHeight="1" x14ac:dyDescent="0.2">
      <c r="A35" s="83"/>
      <c r="B35" s="103"/>
      <c r="C35" s="363"/>
      <c r="D35" s="208"/>
      <c r="E35" s="208"/>
      <c r="F35" s="158"/>
      <c r="G35" s="158"/>
      <c r="H35" s="395" t="str">
        <f>IF(Tabla2788911211366389929598[[#This Row],[Subtype]]="","",VLOOKUP(Tabla2788911211366389929598[[#This Row],[Subtype]],'Unit-X00 Equipment'!$E$13:$H$107,4,FALSE))</f>
        <v/>
      </c>
      <c r="I35" s="96"/>
      <c r="J35" s="96"/>
      <c r="K35" s="96"/>
      <c r="L35" s="96"/>
      <c r="M35" s="156"/>
      <c r="N35" s="96"/>
      <c r="O35" s="96"/>
      <c r="P35" s="96"/>
      <c r="Q35" s="153"/>
      <c r="R35" s="97"/>
      <c r="S35" s="193" t="str">
        <f>+IF(Tabla2587901201356288919497[[#This Row],[Equipment]]="","",Q35*R35/10^6)</f>
        <v/>
      </c>
      <c r="T35" s="587" t="e">
        <f t="shared" ca="1" si="1"/>
        <v>#VALUE!</v>
      </c>
      <c r="U35" s="83"/>
      <c r="V35" s="311"/>
      <c r="W35" s="395"/>
      <c r="X35" s="395"/>
      <c r="Y35" s="395"/>
      <c r="Z35" s="395"/>
      <c r="AA35" s="395"/>
      <c r="AB35" s="96"/>
      <c r="AC35" s="395"/>
      <c r="AD35" s="395"/>
      <c r="AE35" s="395"/>
      <c r="AF35" s="395"/>
      <c r="AG35" s="395"/>
      <c r="AH35" s="395"/>
      <c r="AI35" s="395"/>
      <c r="AJ35" s="395"/>
      <c r="AK35" s="395"/>
      <c r="AL35" s="395"/>
      <c r="AM35" s="395"/>
      <c r="AN35" s="395"/>
      <c r="AO35" s="104"/>
      <c r="AP35" s="83"/>
      <c r="AQ35" s="215"/>
      <c r="AR35" s="371"/>
    </row>
    <row r="36" spans="1:44" ht="16.25" customHeight="1" x14ac:dyDescent="0.2">
      <c r="A36" s="83"/>
      <c r="B36" s="103"/>
      <c r="C36" s="363"/>
      <c r="D36" s="208"/>
      <c r="E36" s="208"/>
      <c r="F36" s="158"/>
      <c r="G36" s="158"/>
      <c r="H36" s="395" t="str">
        <f>IF(Tabla2788911211366389929598[[#This Row],[Subtype]]="","",VLOOKUP(Tabla2788911211366389929598[[#This Row],[Subtype]],'Unit-X00 Equipment'!$E$13:$H$107,4,FALSE))</f>
        <v/>
      </c>
      <c r="I36" s="96"/>
      <c r="J36" s="96"/>
      <c r="K36" s="96"/>
      <c r="L36" s="96"/>
      <c r="M36" s="156"/>
      <c r="N36" s="96"/>
      <c r="O36" s="96"/>
      <c r="P36" s="96"/>
      <c r="Q36" s="153"/>
      <c r="R36" s="97"/>
      <c r="S36" s="193" t="str">
        <f>+IF(Tabla2587901201356288919497[[#This Row],[Equipment]]="","",Q36*R36/10^6)</f>
        <v/>
      </c>
      <c r="T36" s="587" t="e">
        <f t="shared" ca="1" si="1"/>
        <v>#VALUE!</v>
      </c>
      <c r="U36" s="83"/>
      <c r="V36" s="311"/>
      <c r="W36" s="966" t="s">
        <v>335</v>
      </c>
      <c r="X36" s="996"/>
      <c r="Y36" s="996"/>
      <c r="Z36" s="996"/>
      <c r="AA36" s="996"/>
      <c r="AB36" s="996"/>
      <c r="AC36" s="996"/>
      <c r="AD36" s="967"/>
      <c r="AE36" s="667"/>
      <c r="AF36" s="667"/>
      <c r="AG36" s="667"/>
      <c r="AH36" s="667"/>
      <c r="AI36" s="667"/>
      <c r="AJ36" s="667"/>
      <c r="AK36" s="667"/>
      <c r="AL36" s="667"/>
      <c r="AM36" s="667"/>
      <c r="AN36" s="667"/>
      <c r="AO36" s="104"/>
      <c r="AP36" s="83"/>
      <c r="AQ36" s="215"/>
      <c r="AR36" s="371"/>
    </row>
    <row r="37" spans="1:44" ht="16.25" customHeight="1" x14ac:dyDescent="0.2">
      <c r="A37" s="83"/>
      <c r="B37" s="103"/>
      <c r="C37" s="363"/>
      <c r="D37" s="208"/>
      <c r="E37" s="208"/>
      <c r="F37" s="158"/>
      <c r="G37" s="158"/>
      <c r="H37" s="395" t="str">
        <f>IF(Tabla2788911211366389929598[[#This Row],[Subtype]]="","",VLOOKUP(Tabla2788911211366389929598[[#This Row],[Subtype]],'Unit-X00 Equipment'!$E$13:$H$107,4,FALSE))</f>
        <v/>
      </c>
      <c r="I37" s="96"/>
      <c r="J37" s="96"/>
      <c r="K37" s="96"/>
      <c r="L37" s="96"/>
      <c r="M37" s="156"/>
      <c r="N37" s="96"/>
      <c r="O37" s="96"/>
      <c r="P37" s="96"/>
      <c r="Q37" s="153"/>
      <c r="R37" s="97"/>
      <c r="S37" s="193" t="str">
        <f>+IF(Tabla2587901201356288919497[[#This Row],[Equipment]]="","",Q37*R37/10^6)</f>
        <v/>
      </c>
      <c r="T37" s="587" t="e">
        <f t="shared" ca="1" si="1"/>
        <v>#VALUE!</v>
      </c>
      <c r="U37" s="83"/>
      <c r="V37" s="311"/>
      <c r="W37" s="942" t="s">
        <v>336</v>
      </c>
      <c r="X37" s="899"/>
      <c r="Y37" s="900"/>
      <c r="Z37" s="945" t="s">
        <v>200</v>
      </c>
      <c r="AA37" s="946"/>
      <c r="AB37" s="945" t="s">
        <v>201</v>
      </c>
      <c r="AC37" s="1005"/>
      <c r="AD37" s="316" t="s">
        <v>202</v>
      </c>
      <c r="AE37" s="210"/>
      <c r="AF37" s="210"/>
      <c r="AG37" s="210"/>
      <c r="AH37" s="210"/>
      <c r="AI37" s="210"/>
      <c r="AJ37" s="210"/>
      <c r="AK37" s="210"/>
      <c r="AL37" s="210"/>
      <c r="AM37" s="210"/>
      <c r="AN37" s="210"/>
      <c r="AO37" s="104"/>
      <c r="AP37" s="83"/>
      <c r="AQ37" s="215"/>
      <c r="AR37" s="371"/>
    </row>
    <row r="38" spans="1:44" ht="16.25" customHeight="1" x14ac:dyDescent="0.2">
      <c r="A38" s="83"/>
      <c r="B38" s="103"/>
      <c r="C38" s="363"/>
      <c r="D38" s="208"/>
      <c r="E38" s="208"/>
      <c r="F38" s="158"/>
      <c r="G38" s="158"/>
      <c r="H38" s="395" t="str">
        <f>IF(Tabla2788911211366389929598[[#This Row],[Subtype]]="","",VLOOKUP(Tabla2788911211366389929598[[#This Row],[Subtype]],'Unit-X00 Equipment'!$E$13:$H$107,4,FALSE))</f>
        <v/>
      </c>
      <c r="I38" s="96"/>
      <c r="J38" s="96"/>
      <c r="K38" s="96"/>
      <c r="L38" s="96"/>
      <c r="M38" s="156"/>
      <c r="N38" s="96"/>
      <c r="O38" s="96"/>
      <c r="P38" s="96"/>
      <c r="Q38" s="153"/>
      <c r="R38" s="97"/>
      <c r="S38" s="193" t="str">
        <f>+IF(Tabla2587901201356288919497[[#This Row],[Equipment]]="","",Q38*R38/10^6)</f>
        <v/>
      </c>
      <c r="T38" s="587" t="e">
        <f t="shared" ca="1" si="1"/>
        <v>#VALUE!</v>
      </c>
      <c r="U38" s="83"/>
      <c r="V38" s="311"/>
      <c r="W38" s="316" t="s">
        <v>203</v>
      </c>
      <c r="X38" s="316" t="s">
        <v>204</v>
      </c>
      <c r="Y38" s="316" t="s">
        <v>205</v>
      </c>
      <c r="Z38" s="642" t="s">
        <v>206</v>
      </c>
      <c r="AA38" s="641" t="s">
        <v>207</v>
      </c>
      <c r="AB38" s="642" t="s">
        <v>206</v>
      </c>
      <c r="AC38" s="727" t="s">
        <v>207</v>
      </c>
      <c r="AD38" s="166" t="s">
        <v>208</v>
      </c>
      <c r="AE38" s="210"/>
      <c r="AF38" s="681"/>
      <c r="AG38" s="681"/>
      <c r="AH38" s="681"/>
      <c r="AI38" s="681"/>
      <c r="AJ38" s="672"/>
      <c r="AK38" s="672"/>
      <c r="AL38" s="672"/>
      <c r="AM38" s="672"/>
      <c r="AN38" s="210"/>
      <c r="AO38" s="84"/>
      <c r="AP38" s="83"/>
      <c r="AQ38" s="215"/>
      <c r="AR38" s="371"/>
    </row>
    <row r="39" spans="1:44" ht="16.25" customHeight="1" x14ac:dyDescent="0.2">
      <c r="A39" s="83"/>
      <c r="B39" s="103"/>
      <c r="C39" s="92"/>
      <c r="D39" s="209"/>
      <c r="E39" s="209"/>
      <c r="F39" s="588"/>
      <c r="G39" s="588"/>
      <c r="H39" s="395" t="str">
        <f>IF(Tabla2788911211366389929598[[#This Row],[Subtype]]="","",VLOOKUP(Tabla2788911211366389929598[[#This Row],[Subtype]],'Unit-X00 Equipment'!$E$13:$H$107,4,FALSE))</f>
        <v/>
      </c>
      <c r="M39" s="235"/>
      <c r="Q39" s="236"/>
      <c r="R39" s="84"/>
      <c r="S39" s="193" t="str">
        <f>+IF(Tabla2587901201356288919497[[#This Row],[Equipment]]="","",Q39*R39/10^6)</f>
        <v/>
      </c>
      <c r="T39" s="587" t="e">
        <f t="shared" ca="1" si="1"/>
        <v>#VALUE!</v>
      </c>
      <c r="U39" s="83"/>
      <c r="V39" s="311"/>
      <c r="W39" s="316" t="str">
        <f>+C13</f>
        <v>E-501</v>
      </c>
      <c r="X39" s="316">
        <v>11834868.005502401</v>
      </c>
      <c r="Y39" s="309" t="s">
        <v>340</v>
      </c>
      <c r="Z39" s="278" t="s">
        <v>211</v>
      </c>
      <c r="AA39" s="769">
        <f t="shared" ref="AA39:AA42" si="4">IF(Z39="Ph. Ch.",$Y$52,IF(Z39="Liquid",$Y$51,$Y$49*Z39^$Y$50))</f>
        <v>5000</v>
      </c>
      <c r="AB39" s="770" t="s">
        <v>211</v>
      </c>
      <c r="AC39" s="771">
        <f t="shared" ref="AC39:AC42" si="5">IF(AB39="Ph. Ch.",$Y$52,IF(AB39="Liquid",$Y$51,$Y$49*AB39^$Y$50))</f>
        <v>5000</v>
      </c>
      <c r="AD39" s="645">
        <f t="shared" ref="AD39:AD42" si="6">1/(1/AA39+1/AC39)</f>
        <v>2500</v>
      </c>
      <c r="AE39" s="395"/>
      <c r="AF39" s="606"/>
      <c r="AG39" s="606"/>
      <c r="AH39" s="606"/>
      <c r="AI39" s="606"/>
      <c r="AJ39" s="606"/>
      <c r="AK39" s="606"/>
      <c r="AL39" s="606"/>
      <c r="AM39" s="606"/>
      <c r="AN39" s="395"/>
      <c r="AO39" s="104"/>
      <c r="AP39" s="83"/>
      <c r="AQ39" s="215"/>
      <c r="AR39" s="371"/>
    </row>
    <row r="40" spans="1:44" ht="16.25" customHeight="1" x14ac:dyDescent="0.2">
      <c r="A40" s="83"/>
      <c r="B40" s="103"/>
      <c r="C40" s="92"/>
      <c r="D40" s="209"/>
      <c r="E40" s="209"/>
      <c r="F40" s="588"/>
      <c r="G40" s="588"/>
      <c r="H40" s="395" t="str">
        <f>IF(Tabla2788911211366389929598[[#This Row],[Subtype]]="","",VLOOKUP(Tabla2788911211366389929598[[#This Row],[Subtype]],'Unit-X00 Equipment'!$E$13:$H$107,4,FALSE))</f>
        <v/>
      </c>
      <c r="M40" s="235"/>
      <c r="Q40" s="236"/>
      <c r="R40" s="84"/>
      <c r="S40" s="193" t="str">
        <f>+IF(Tabla2587901201356288919497[[#This Row],[Equipment]]="","",Q40*R40/10^6)</f>
        <v/>
      </c>
      <c r="T40" s="587" t="e">
        <f t="shared" ca="1" si="1"/>
        <v>#VALUE!</v>
      </c>
      <c r="U40" s="83"/>
      <c r="V40" s="311"/>
      <c r="W40" s="316" t="str">
        <f>+C14</f>
        <v>E-502</v>
      </c>
      <c r="X40" s="316">
        <v>565787.20903295896</v>
      </c>
      <c r="Y40" s="309" t="str">
        <f>+Y39</f>
        <v>cond-evap</v>
      </c>
      <c r="Z40" s="112" t="s">
        <v>211</v>
      </c>
      <c r="AA40" s="772">
        <f t="shared" si="4"/>
        <v>5000</v>
      </c>
      <c r="AB40" s="388" t="str">
        <f t="shared" ref="AB40" si="7">+AB39</f>
        <v>Ph. Ch.</v>
      </c>
      <c r="AC40" s="773">
        <f t="shared" si="5"/>
        <v>5000</v>
      </c>
      <c r="AD40" s="647">
        <f t="shared" si="6"/>
        <v>2500</v>
      </c>
      <c r="AE40" s="395"/>
      <c r="AF40" s="395"/>
      <c r="AG40" s="655"/>
      <c r="AH40" s="395"/>
      <c r="AI40" s="655"/>
      <c r="AJ40" s="395"/>
      <c r="AK40" s="655"/>
      <c r="AL40" s="395"/>
      <c r="AM40" s="385"/>
      <c r="AN40" s="655"/>
      <c r="AO40" s="104"/>
      <c r="AP40" s="83"/>
      <c r="AQ40" s="215"/>
      <c r="AR40" s="371"/>
    </row>
    <row r="41" spans="1:44" ht="16.25" customHeight="1" x14ac:dyDescent="0.2">
      <c r="A41" s="83"/>
      <c r="B41" s="103"/>
      <c r="C41" s="99"/>
      <c r="D41" s="208"/>
      <c r="E41" s="208"/>
      <c r="F41" s="158"/>
      <c r="G41" s="158"/>
      <c r="H41" s="395" t="str">
        <f>IF(Tabla2788911211366389929598[[#This Row],[Subtype]]="","",VLOOKUP(Tabla2788911211366389929598[[#This Row],[Subtype]],'Unit-X00 Equipment'!$E$13:$H$107,4,FALSE))</f>
        <v/>
      </c>
      <c r="I41" s="96"/>
      <c r="J41" s="96"/>
      <c r="K41" s="96"/>
      <c r="L41" s="96"/>
      <c r="M41" s="156"/>
      <c r="N41" s="96"/>
      <c r="O41" s="96"/>
      <c r="P41" s="152"/>
      <c r="Q41" s="153"/>
      <c r="R41" s="97"/>
      <c r="S41" s="193" t="str">
        <f>+IF(Tabla2587901201356288919497[[#This Row],[Equipment]]="","",Q41*R41/10^6)</f>
        <v/>
      </c>
      <c r="T41" s="587" t="e">
        <f t="shared" ca="1" si="1"/>
        <v>#VALUE!</v>
      </c>
      <c r="U41" s="83"/>
      <c r="V41" s="311"/>
      <c r="W41" s="316" t="str">
        <f>+C20</f>
        <v>C-501</v>
      </c>
      <c r="X41" s="316">
        <v>2382042.7495837598</v>
      </c>
      <c r="Y41" s="309" t="s">
        <v>386</v>
      </c>
      <c r="Z41" s="311" t="s">
        <v>265</v>
      </c>
      <c r="AA41" s="385">
        <f t="shared" si="4"/>
        <v>1500</v>
      </c>
      <c r="AB41" s="395">
        <v>20</v>
      </c>
      <c r="AC41" s="655">
        <f t="shared" si="5"/>
        <v>325.67242522952336</v>
      </c>
      <c r="AD41" s="662">
        <f t="shared" si="6"/>
        <v>267.57737647424335</v>
      </c>
      <c r="AE41" s="395"/>
      <c r="AF41" s="395"/>
      <c r="AG41" s="655"/>
      <c r="AH41" s="395"/>
      <c r="AI41" s="655"/>
      <c r="AJ41" s="395"/>
      <c r="AK41" s="395"/>
      <c r="AL41" s="395"/>
      <c r="AM41" s="395"/>
      <c r="AN41" s="655"/>
      <c r="AO41" s="104"/>
      <c r="AP41" s="83"/>
      <c r="AQ41" s="215"/>
      <c r="AR41" s="371"/>
    </row>
    <row r="42" spans="1:44" ht="16.25" customHeight="1" x14ac:dyDescent="0.2">
      <c r="A42" s="83"/>
      <c r="B42" s="103"/>
      <c r="C42" s="99"/>
      <c r="D42" s="208"/>
      <c r="E42" s="208"/>
      <c r="F42" s="158"/>
      <c r="G42" s="158"/>
      <c r="H42" s="395" t="str">
        <f>IF(Tabla2788911211366389929598[[#This Row],[Subtype]]="","",VLOOKUP(Tabla2788911211366389929598[[#This Row],[Subtype]],'Unit-X00 Equipment'!$E$13:$H$107,4,FALSE))</f>
        <v/>
      </c>
      <c r="I42" s="96"/>
      <c r="J42" s="96"/>
      <c r="K42" s="96"/>
      <c r="L42" s="96"/>
      <c r="M42" s="156"/>
      <c r="N42" s="96"/>
      <c r="O42" s="96"/>
      <c r="P42" s="158"/>
      <c r="Q42" s="153"/>
      <c r="R42" s="97"/>
      <c r="S42" s="193" t="str">
        <f>+IF(Tabla2587901201356288919497[[#This Row],[Equipment]]="","",Q42*R42/10^6)</f>
        <v/>
      </c>
      <c r="T42" s="587" t="e">
        <f t="shared" ca="1" si="1"/>
        <v>#VALUE!</v>
      </c>
      <c r="U42" s="83"/>
      <c r="V42" s="311"/>
      <c r="W42" s="316" t="str">
        <f>+C21</f>
        <v>C-502</v>
      </c>
      <c r="X42" s="316">
        <v>29367.7465963348</v>
      </c>
      <c r="Y42" s="309" t="str">
        <f>+Y41</f>
        <v>gas-liq</v>
      </c>
      <c r="Z42" s="312" t="s">
        <v>265</v>
      </c>
      <c r="AA42" s="677">
        <f t="shared" si="4"/>
        <v>1500</v>
      </c>
      <c r="AB42" s="652">
        <v>80</v>
      </c>
      <c r="AC42" s="678">
        <f t="shared" si="5"/>
        <v>859.45468282190006</v>
      </c>
      <c r="AD42" s="679">
        <f t="shared" si="6"/>
        <v>546.3898220291278</v>
      </c>
      <c r="AE42" s="395"/>
      <c r="AF42" s="395"/>
      <c r="AG42" s="655"/>
      <c r="AH42" s="395"/>
      <c r="AI42" s="395"/>
      <c r="AJ42" s="395"/>
      <c r="AK42" s="395"/>
      <c r="AL42" s="395"/>
      <c r="AM42" s="395"/>
      <c r="AN42" s="655"/>
      <c r="AO42" s="104"/>
      <c r="AP42" s="83"/>
      <c r="AQ42" s="215"/>
      <c r="AR42" s="371"/>
    </row>
    <row r="43" spans="1:44" ht="16.25" customHeight="1" x14ac:dyDescent="0.2">
      <c r="A43" s="83"/>
      <c r="B43" s="103"/>
      <c r="C43" s="363"/>
      <c r="D43" s="208"/>
      <c r="E43" s="208"/>
      <c r="F43" s="158"/>
      <c r="G43" s="158"/>
      <c r="H43" s="395" t="str">
        <f>IF(Tabla2788911211366389929598[[#This Row],[Subtype]]="","",VLOOKUP(Tabla2788911211366389929598[[#This Row],[Subtype]],'Unit-X00 Equipment'!$E$13:$H$107,4,FALSE))</f>
        <v/>
      </c>
      <c r="I43" s="96"/>
      <c r="J43" s="96"/>
      <c r="K43" s="96"/>
      <c r="L43" s="96"/>
      <c r="M43" s="283"/>
      <c r="N43" s="275"/>
      <c r="O43" s="275"/>
      <c r="P43" s="275"/>
      <c r="Q43" s="284"/>
      <c r="R43" s="98"/>
      <c r="S43" s="193" t="str">
        <f>+IF(Tabla2587901201356288919497[[#This Row],[Equipment]]="","",Q43*R43/10^6)</f>
        <v/>
      </c>
      <c r="T43" s="587" t="e">
        <f t="shared" ca="1" si="1"/>
        <v>#VALUE!</v>
      </c>
      <c r="U43" s="83"/>
      <c r="V43" s="311"/>
      <c r="W43" s="877" t="s">
        <v>423</v>
      </c>
      <c r="X43" s="878"/>
      <c r="Y43" s="878"/>
      <c r="Z43" s="1006"/>
      <c r="AA43" s="1006"/>
      <c r="AB43" s="1006"/>
      <c r="AC43" s="1006"/>
      <c r="AD43" s="1006"/>
      <c r="AE43" s="878"/>
      <c r="AF43" s="879"/>
      <c r="AG43" s="655"/>
      <c r="AH43" s="395"/>
      <c r="AI43" s="395"/>
      <c r="AJ43" s="395"/>
      <c r="AK43" s="395"/>
      <c r="AL43" s="395"/>
      <c r="AM43" s="395"/>
      <c r="AN43" s="655"/>
      <c r="AO43" s="104"/>
      <c r="AP43" s="83"/>
      <c r="AQ43" s="215"/>
      <c r="AR43" s="371"/>
    </row>
    <row r="44" spans="1:44" ht="16.25" customHeight="1" x14ac:dyDescent="0.2">
      <c r="A44" s="83"/>
      <c r="B44" s="103"/>
      <c r="C44" s="364"/>
      <c r="D44" s="918" t="s">
        <v>220</v>
      </c>
      <c r="E44" s="918"/>
      <c r="F44" s="918"/>
      <c r="G44" s="918"/>
      <c r="H44" s="918"/>
      <c r="I44" s="918"/>
      <c r="J44" s="918"/>
      <c r="K44" s="918"/>
      <c r="L44" s="918"/>
      <c r="M44" s="947"/>
      <c r="N44" s="947"/>
      <c r="O44" s="947"/>
      <c r="P44" s="947"/>
      <c r="Q44" s="947"/>
      <c r="R44" s="947"/>
      <c r="S44" s="180"/>
      <c r="T44" s="587">
        <f t="shared" ca="1" si="1"/>
        <v>0</v>
      </c>
      <c r="U44" s="83"/>
      <c r="V44" s="311"/>
      <c r="W44" s="316" t="s">
        <v>303</v>
      </c>
      <c r="X44" s="316" t="s">
        <v>320</v>
      </c>
      <c r="Y44" s="316" t="s">
        <v>321</v>
      </c>
      <c r="Z44" s="316" t="s">
        <v>322</v>
      </c>
      <c r="AA44" s="316" t="s">
        <v>323</v>
      </c>
      <c r="AB44" s="316" t="s">
        <v>324</v>
      </c>
      <c r="AC44" s="316" t="s">
        <v>325</v>
      </c>
      <c r="AD44" s="249" t="s">
        <v>326</v>
      </c>
      <c r="AE44" s="651" t="s">
        <v>327</v>
      </c>
      <c r="AF44" s="671" t="s">
        <v>328</v>
      </c>
      <c r="AG44" s="655"/>
      <c r="AH44" s="395"/>
      <c r="AI44" s="395"/>
      <c r="AJ44" s="395"/>
      <c r="AK44" s="395"/>
      <c r="AL44" s="395"/>
      <c r="AM44" s="395"/>
      <c r="AN44" s="655"/>
      <c r="AO44" s="104"/>
      <c r="AP44" s="83"/>
      <c r="AQ44" s="215"/>
      <c r="AR44" s="371"/>
    </row>
    <row r="45" spans="1:44" ht="16.25" customHeight="1" x14ac:dyDescent="0.2">
      <c r="A45" s="83"/>
      <c r="B45" s="103"/>
      <c r="C45" s="421" t="s">
        <v>223</v>
      </c>
      <c r="D45" s="415" t="s">
        <v>224</v>
      </c>
      <c r="E45" s="415" t="s">
        <v>225</v>
      </c>
      <c r="F45" s="571" t="s">
        <v>226</v>
      </c>
      <c r="G45" s="571" t="s">
        <v>50</v>
      </c>
      <c r="H45" s="571" t="s">
        <v>227</v>
      </c>
      <c r="I45" s="415" t="s">
        <v>228</v>
      </c>
      <c r="J45" s="415" t="s">
        <v>75</v>
      </c>
      <c r="K45" s="415" t="s">
        <v>155</v>
      </c>
      <c r="L45" s="415" t="s">
        <v>157</v>
      </c>
      <c r="M45" s="422" t="s">
        <v>229</v>
      </c>
      <c r="N45" s="423" t="s">
        <v>230</v>
      </c>
      <c r="O45" s="419" t="s">
        <v>231</v>
      </c>
      <c r="P45" s="415" t="s">
        <v>151</v>
      </c>
      <c r="Q45" s="415" t="s">
        <v>148</v>
      </c>
      <c r="R45" s="420" t="s">
        <v>144</v>
      </c>
      <c r="S45" s="420" t="s">
        <v>232</v>
      </c>
      <c r="T45" s="104"/>
      <c r="U45" s="83"/>
      <c r="V45" s="311"/>
      <c r="W45" s="316" t="str">
        <f>+C15</f>
        <v>V-501</v>
      </c>
      <c r="X45" s="774">
        <f>338.772620117342/3600</f>
        <v>9.410350558815056E-2</v>
      </c>
      <c r="Y45" s="774">
        <f>140.804206371556/3600</f>
        <v>3.9112279547654449E-2</v>
      </c>
      <c r="Z45" s="774">
        <v>1045</v>
      </c>
      <c r="AA45" s="774">
        <v>69.760385444376894</v>
      </c>
      <c r="AB45" s="249">
        <f t="shared" ref="AB45:AB46" si="8">+(AC45*4/PI())^0.5</f>
        <v>0.94047462765510303</v>
      </c>
      <c r="AC45" s="648">
        <f t="shared" ref="AC45:AC46" si="9">+X45/(0.035*(Z45/AA45)^0.5)</f>
        <v>0.69467880488033495</v>
      </c>
      <c r="AD45" s="648">
        <f t="shared" ref="AD45:AD46" si="10">+AC45*(4*AC45/PI())^0.5</f>
        <v>0.65332779035972499</v>
      </c>
      <c r="AE45" s="648">
        <f t="shared" ref="AE45:AE46" si="11">600*Y45</f>
        <v>23.46736772859267</v>
      </c>
      <c r="AF45" s="671">
        <v>31</v>
      </c>
      <c r="AG45" s="655"/>
      <c r="AH45" s="395"/>
      <c r="AI45" s="395"/>
      <c r="AJ45" s="395"/>
      <c r="AK45" s="395"/>
      <c r="AL45" s="395"/>
      <c r="AM45" s="395"/>
      <c r="AN45" s="655"/>
      <c r="AO45" s="104"/>
      <c r="AP45" s="83"/>
      <c r="AQ45" s="215"/>
      <c r="AR45" s="371"/>
    </row>
    <row r="46" spans="1:44" ht="16.25" customHeight="1" x14ac:dyDescent="0.2">
      <c r="A46" s="83"/>
      <c r="B46" s="103"/>
      <c r="C46" s="273"/>
      <c r="D46" s="276"/>
      <c r="E46" s="277"/>
      <c r="F46" s="277"/>
      <c r="G46" s="277"/>
      <c r="H46" s="277"/>
      <c r="I46" s="277"/>
      <c r="J46" s="244"/>
      <c r="K46" s="277"/>
      <c r="L46" s="277"/>
      <c r="M46" s="197"/>
      <c r="N46" s="277"/>
      <c r="O46" s="277"/>
      <c r="P46" s="656"/>
      <c r="Q46" s="195"/>
      <c r="R46" s="193" t="str">
        <f>IF(ISBLANK(Q46),"",(P46/M46)^K46*O46*((Q46/P46)/(N46/M46))^L46*R14)</f>
        <v/>
      </c>
      <c r="S46" s="193" t="str" cm="1">
        <f t="array" aca="1" ref="S46" ca="1">IF(ISBLANK(Q46),"",IF(R46&gt;0,R46*INDIRECT(ADDRESS(MATCH(G46,'Cost Conversion'!$B$3:$B$48,0)+2,4,1,1,"Cost conversion"))*INDIRECT(ADDRESS(MATCH(H46,'Cost Conversion'!$F$3:$F$22,0)+2,8,1,1,"Cost conversion"))/IF(F46="$",'Cost Conversion'!$L$2,1),0))</f>
        <v/>
      </c>
      <c r="T46" s="104"/>
      <c r="U46" s="83"/>
      <c r="V46" s="311"/>
      <c r="W46" s="316" t="str">
        <f>+C16</f>
        <v>V-502</v>
      </c>
      <c r="X46" s="774">
        <f>198.418540775562/3600</f>
        <v>5.5116261326544999E-2</v>
      </c>
      <c r="Y46" s="774">
        <f>9.66438500687709/3600</f>
        <v>2.6845513907991919E-3</v>
      </c>
      <c r="Z46" s="774">
        <v>1124.45968692725</v>
      </c>
      <c r="AA46" s="774">
        <v>64.72</v>
      </c>
      <c r="AB46" s="249">
        <f t="shared" si="8"/>
        <v>0.69356084503024074</v>
      </c>
      <c r="AC46" s="648">
        <f t="shared" si="9"/>
        <v>0.37779744412440192</v>
      </c>
      <c r="AD46" s="648">
        <f t="shared" si="10"/>
        <v>0.26202551459718537</v>
      </c>
      <c r="AE46" s="648">
        <f t="shared" si="11"/>
        <v>1.610730834479515</v>
      </c>
      <c r="AF46" s="671">
        <v>30</v>
      </c>
      <c r="AG46" s="655"/>
      <c r="AH46" s="395"/>
      <c r="AI46" s="395"/>
      <c r="AJ46" s="395"/>
      <c r="AK46" s="395"/>
      <c r="AL46" s="395"/>
      <c r="AM46" s="395"/>
      <c r="AN46" s="655"/>
      <c r="AO46" s="104"/>
      <c r="AP46" s="83"/>
      <c r="AQ46" s="215"/>
      <c r="AR46" s="371"/>
    </row>
    <row r="47" spans="1:44" ht="16.25" customHeight="1" x14ac:dyDescent="0.2">
      <c r="A47" s="83"/>
      <c r="B47" s="103"/>
      <c r="C47" s="273"/>
      <c r="D47" s="273"/>
      <c r="E47" s="96"/>
      <c r="F47" s="96"/>
      <c r="G47" s="96"/>
      <c r="H47" s="96"/>
      <c r="I47" s="118"/>
      <c r="J47" s="118"/>
      <c r="K47" s="96"/>
      <c r="L47" s="96"/>
      <c r="M47" s="273"/>
      <c r="N47" s="96"/>
      <c r="O47" s="96"/>
      <c r="P47" s="96"/>
      <c r="Q47" s="158"/>
      <c r="R47" s="193" t="str">
        <f>IF(ISBLANK(Q47),"",(P47/M47)^K47*O47*((Q47/P47)/(N47/M47))^L47)</f>
        <v/>
      </c>
      <c r="S47" s="193" t="str" cm="1">
        <f t="array" aca="1" ref="S47" ca="1">IF(ISBLANK(Q47),"",IF(R47&gt;0,R47*INDIRECT(ADDRESS(MATCH(G47,'Cost Conversion'!$B$3:$B$48,0)+2,4,1,1,"Cost conversion"))*INDIRECT(ADDRESS(MATCH(H47,'Cost Conversion'!$F$3:$F$22,0)+2,8,1,1,"Cost conversion"))/IF(F47="$",'Cost Conversion'!$L$2,1),0))</f>
        <v/>
      </c>
      <c r="T47" s="104"/>
      <c r="U47" s="83"/>
      <c r="V47" s="311"/>
      <c r="W47" s="775"/>
      <c r="X47" s="775"/>
      <c r="Y47" s="775"/>
      <c r="Z47" s="775"/>
      <c r="AA47" s="775"/>
      <c r="AB47" s="775"/>
      <c r="AC47" s="775"/>
      <c r="AD47" s="395"/>
      <c r="AE47" s="395"/>
      <c r="AF47" s="395"/>
      <c r="AG47" s="395"/>
      <c r="AH47" s="395"/>
      <c r="AI47" s="395"/>
      <c r="AJ47" s="395"/>
      <c r="AK47" s="395"/>
      <c r="AL47" s="395"/>
      <c r="AM47" s="395"/>
      <c r="AN47" s="395"/>
      <c r="AO47" s="104"/>
      <c r="AP47" s="83"/>
      <c r="AQ47" s="215"/>
      <c r="AR47" s="371"/>
    </row>
    <row r="48" spans="1:44" ht="16.25" customHeight="1" x14ac:dyDescent="0.2">
      <c r="A48" s="83"/>
      <c r="B48" s="103"/>
      <c r="C48" s="273"/>
      <c r="D48" s="273"/>
      <c r="E48" s="96"/>
      <c r="F48" s="96"/>
      <c r="G48" s="96"/>
      <c r="H48" s="96"/>
      <c r="I48" s="96"/>
      <c r="J48" s="96"/>
      <c r="K48" s="96"/>
      <c r="L48" s="96"/>
      <c r="M48" s="273"/>
      <c r="N48" s="96"/>
      <c r="O48" s="715"/>
      <c r="P48" s="96"/>
      <c r="Q48" s="158"/>
      <c r="R48" s="193" t="str">
        <f>IF(ISBLANK(Q48),"",(P48/M48)^K48*O48*((Q48/P48)/(N48/M48))^L48)</f>
        <v/>
      </c>
      <c r="S48" s="193" t="str" cm="1">
        <f t="array" aca="1" ref="S48" ca="1">IF(ISBLANK(Q48),"",IF(R48&gt;0,R48*INDIRECT(ADDRESS(MATCH(G48,'Cost Conversion'!$B$3:$B$48,0)+2,4,1,1,"Cost conversion"))*INDIRECT(ADDRESS(MATCH(H48,'Cost Conversion'!$F$3:$F$22,0)+2,8,1,1,"Cost conversion"))/IF(F48="$",'Cost Conversion'!$L$2,1),0))</f>
        <v/>
      </c>
      <c r="T48" s="104"/>
      <c r="U48" s="83"/>
      <c r="V48" s="103"/>
      <c r="W48" s="966" t="s">
        <v>250</v>
      </c>
      <c r="X48" s="967"/>
      <c r="Y48" s="316" t="s">
        <v>251</v>
      </c>
      <c r="Z48" s="775"/>
      <c r="AA48" s="775"/>
      <c r="AB48" s="775"/>
      <c r="AC48" s="775"/>
      <c r="AD48" s="210"/>
      <c r="AE48" s="210"/>
      <c r="AF48" s="657"/>
      <c r="AG48" s="230" t="s">
        <v>252</v>
      </c>
      <c r="AH48" s="230" t="s">
        <v>2</v>
      </c>
      <c r="AI48" s="1007" t="s">
        <v>82</v>
      </c>
      <c r="AJ48" s="1007"/>
      <c r="AK48" s="1007"/>
      <c r="AL48" s="1007"/>
      <c r="AM48" s="1007"/>
      <c r="AN48" s="1007"/>
      <c r="AO48" s="104"/>
      <c r="AP48" s="83"/>
      <c r="AQ48" s="215"/>
      <c r="AR48" s="371"/>
    </row>
    <row r="49" spans="1:57" ht="16.25" customHeight="1" x14ac:dyDescent="0.2">
      <c r="A49" s="83"/>
      <c r="B49" s="103"/>
      <c r="C49" s="273"/>
      <c r="D49" s="273"/>
      <c r="E49" s="96"/>
      <c r="F49" s="96"/>
      <c r="G49" s="96"/>
      <c r="H49" s="96"/>
      <c r="I49" s="96"/>
      <c r="J49" s="96"/>
      <c r="K49" s="96"/>
      <c r="L49" s="96"/>
      <c r="M49" s="273"/>
      <c r="N49" s="96"/>
      <c r="O49" s="96"/>
      <c r="P49" s="96"/>
      <c r="Q49" s="158"/>
      <c r="R49" s="193" t="str">
        <f>IF(ISBLANK(Q49),"",(P49/M49)^K49*O49*((Q49/P49)/(N49/M49))^L49)</f>
        <v/>
      </c>
      <c r="S49" s="193" t="str" cm="1">
        <f t="array" aca="1" ref="S49" ca="1">IF(ISBLANK(Q49),"",IF(R49&gt;0,R49*INDIRECT(ADDRESS(MATCH(G49,'Cost Conversion'!$B$3:$B$48,0)+2,4,1,1,"Cost conversion"))*INDIRECT(ADDRESS(MATCH(H49,'Cost Conversion'!$F$3:$F$22,0)+2,8,1,1,"Cost conversion"))/IF(F49="$",'Cost Conversion'!$L$2,1),0))</f>
        <v/>
      </c>
      <c r="T49" s="104"/>
      <c r="U49" s="83"/>
      <c r="V49" s="103"/>
      <c r="W49" s="968" t="s">
        <v>255</v>
      </c>
      <c r="X49" s="969"/>
      <c r="Y49" s="661">
        <v>40</v>
      </c>
      <c r="Z49" s="210"/>
      <c r="AA49" s="210"/>
      <c r="AB49" s="210"/>
      <c r="AC49" s="210"/>
      <c r="AD49" s="210"/>
      <c r="AE49" s="210"/>
      <c r="AF49" s="210"/>
      <c r="AG49" s="609"/>
      <c r="AH49" s="610"/>
      <c r="AI49" s="1008"/>
      <c r="AJ49" s="1008"/>
      <c r="AK49" s="1008"/>
      <c r="AL49" s="1008"/>
      <c r="AM49" s="1008"/>
      <c r="AN49" s="1009"/>
      <c r="AO49" s="104"/>
      <c r="AP49" s="83"/>
      <c r="AQ49" s="215"/>
      <c r="AR49" s="371"/>
    </row>
    <row r="50" spans="1:57" ht="16.25" customHeight="1" x14ac:dyDescent="0.2">
      <c r="A50" s="83"/>
      <c r="B50" s="103"/>
      <c r="C50" s="776" t="s">
        <v>266</v>
      </c>
      <c r="D50" s="776"/>
      <c r="E50" s="777"/>
      <c r="F50" s="777">
        <f>+F46</f>
        <v>0</v>
      </c>
      <c r="G50" s="777">
        <v>2001</v>
      </c>
      <c r="H50" s="777">
        <f>+H49</f>
        <v>0</v>
      </c>
      <c r="I50" s="96"/>
      <c r="J50" s="96"/>
      <c r="K50" s="96"/>
      <c r="L50" s="96"/>
      <c r="M50" s="273"/>
      <c r="N50" s="96"/>
      <c r="O50" s="96"/>
      <c r="P50" s="96"/>
      <c r="Q50" s="778">
        <v>1</v>
      </c>
      <c r="R50" s="779">
        <f>+S13</f>
        <v>0.61974002402895589</v>
      </c>
      <c r="S50" s="779" t="e" cm="1">
        <f t="array" aca="1" ref="S50" ca="1">IF(ISBLANK(Q50),"",IF(R50&gt;0,R50*INDIRECT(ADDRESS(MATCH(G50,'Cost Conversion'!$B$3:$B$48,0)+2,4,1,1,"Cost conversion"))*INDIRECT(ADDRESS(MATCH(H50,'Cost Conversion'!$F$3:$F$22,0)+2,8,1,1,"Cost conversion"))/IF(F50="$",'Cost Conversion'!$L$2,1),0))</f>
        <v>#N/A</v>
      </c>
      <c r="T50" s="104"/>
      <c r="U50" s="83"/>
      <c r="V50" s="103"/>
      <c r="W50" s="892" t="s">
        <v>261</v>
      </c>
      <c r="X50" s="894"/>
      <c r="Y50" s="661">
        <v>0.7</v>
      </c>
      <c r="Z50" s="210"/>
      <c r="AA50" s="210"/>
      <c r="AB50" s="210"/>
      <c r="AC50" s="210"/>
      <c r="AD50" s="210"/>
      <c r="AE50" s="210"/>
      <c r="AF50" s="210"/>
      <c r="AG50" s="488"/>
      <c r="AH50" s="663"/>
      <c r="AI50" s="394"/>
      <c r="AJ50" s="394"/>
      <c r="AK50" s="394"/>
      <c r="AL50" s="394"/>
      <c r="AM50" s="394"/>
      <c r="AN50" s="489"/>
      <c r="AO50" s="104"/>
      <c r="AP50" s="83"/>
      <c r="AQ50" s="215"/>
      <c r="AR50" s="371"/>
    </row>
    <row r="51" spans="1:57" ht="16.25" customHeight="1" x14ac:dyDescent="0.2">
      <c r="A51" s="83"/>
      <c r="B51" s="103"/>
      <c r="C51" s="776" t="s">
        <v>270</v>
      </c>
      <c r="D51" s="776"/>
      <c r="E51" s="777"/>
      <c r="F51" s="777">
        <f>+F50</f>
        <v>0</v>
      </c>
      <c r="G51" s="777">
        <v>2001</v>
      </c>
      <c r="H51" s="777">
        <f>+H50</f>
        <v>0</v>
      </c>
      <c r="I51" s="96"/>
      <c r="J51" s="96"/>
      <c r="K51" s="96"/>
      <c r="L51" s="96"/>
      <c r="M51" s="274"/>
      <c r="N51" s="275"/>
      <c r="O51" s="275"/>
      <c r="P51" s="275"/>
      <c r="Q51" s="780">
        <v>1</v>
      </c>
      <c r="R51" s="779">
        <f>+S14</f>
        <v>0.13629991727804514</v>
      </c>
      <c r="S51" s="779" t="e" cm="1">
        <f t="array" aca="1" ref="S51" ca="1">IF(ISBLANK(Q51),"",IF(R51&gt;0,R51*INDIRECT(ADDRESS(MATCH(G51,'Cost Conversion'!$B$3:$B$48,0)+2,4,1,1,"Cost conversion"))*INDIRECT(ADDRESS(MATCH(H51,'Cost Conversion'!$F$3:$F$22,0)+2,8,1,1,"Cost conversion"))/IF(F51="$",'Cost Conversion'!$L$2,1),0))</f>
        <v>#N/A</v>
      </c>
      <c r="T51" s="104"/>
      <c r="U51" s="83"/>
      <c r="V51" s="103"/>
      <c r="W51" s="892" t="s">
        <v>265</v>
      </c>
      <c r="X51" s="894"/>
      <c r="Y51" s="661">
        <v>1500</v>
      </c>
      <c r="Z51" s="210"/>
      <c r="AA51" s="210"/>
      <c r="AB51" s="210"/>
      <c r="AC51" s="210"/>
      <c r="AD51" s="210"/>
      <c r="AE51" s="210"/>
      <c r="AF51" s="210"/>
      <c r="AG51" s="488"/>
      <c r="AH51" s="663"/>
      <c r="AI51" s="394"/>
      <c r="AJ51" s="394"/>
      <c r="AK51" s="394"/>
      <c r="AL51" s="394"/>
      <c r="AM51" s="394"/>
      <c r="AN51" s="489"/>
      <c r="AO51" s="104"/>
      <c r="AP51" s="83"/>
      <c r="AQ51" s="215"/>
      <c r="AR51" s="371"/>
    </row>
    <row r="52" spans="1:57" ht="16.25" customHeight="1" x14ac:dyDescent="0.2">
      <c r="A52" s="83"/>
      <c r="B52" s="103"/>
      <c r="C52" s="200"/>
      <c r="D52" s="274"/>
      <c r="E52" s="275"/>
      <c r="F52" s="275"/>
      <c r="G52" s="275"/>
      <c r="H52" s="275"/>
      <c r="I52" s="275"/>
      <c r="J52" s="275"/>
      <c r="K52" s="275"/>
      <c r="L52" s="98"/>
      <c r="M52" s="425" t="s">
        <v>272</v>
      </c>
      <c r="N52" s="418" t="s">
        <v>226</v>
      </c>
      <c r="O52" s="570" t="s">
        <v>50</v>
      </c>
      <c r="P52" s="943" t="s">
        <v>47</v>
      </c>
      <c r="Q52" s="944"/>
      <c r="R52" s="420" t="s">
        <v>273</v>
      </c>
      <c r="S52" s="426" t="s">
        <v>274</v>
      </c>
      <c r="T52" s="104"/>
      <c r="U52" s="83"/>
      <c r="V52" s="103"/>
      <c r="W52" s="945" t="s">
        <v>269</v>
      </c>
      <c r="X52" s="946"/>
      <c r="Y52" s="533">
        <v>5000</v>
      </c>
      <c r="Z52" s="210"/>
      <c r="AA52" s="210"/>
      <c r="AB52" s="210"/>
      <c r="AC52" s="210"/>
      <c r="AD52" s="210"/>
      <c r="AE52" s="210"/>
      <c r="AF52" s="210"/>
      <c r="AG52" s="488"/>
      <c r="AH52" s="663"/>
      <c r="AI52" s="394"/>
      <c r="AJ52" s="394"/>
      <c r="AK52" s="394"/>
      <c r="AL52" s="394"/>
      <c r="AM52" s="394"/>
      <c r="AN52" s="489"/>
      <c r="AO52" s="104"/>
      <c r="AP52" s="83"/>
      <c r="AQ52" s="215"/>
      <c r="AR52" s="371"/>
    </row>
    <row r="53" spans="1:57" ht="16.25" customHeight="1" x14ac:dyDescent="0.2">
      <c r="A53" s="83"/>
      <c r="B53" s="103"/>
      <c r="C53" s="577"/>
      <c r="D53" s="365"/>
      <c r="E53" s="365"/>
      <c r="F53" s="365"/>
      <c r="G53" s="365"/>
      <c r="H53" s="365"/>
      <c r="I53" s="365"/>
      <c r="J53" s="365"/>
      <c r="K53" s="365"/>
      <c r="L53" s="573"/>
      <c r="M53" s="502" t="s">
        <v>276</v>
      </c>
      <c r="N53" s="409" t="s">
        <v>236</v>
      </c>
      <c r="O53" s="475">
        <v>2001</v>
      </c>
      <c r="P53" s="871" t="s">
        <v>237</v>
      </c>
      <c r="Q53" s="873"/>
      <c r="R53" s="427">
        <f>+IF(SUM(S13:S43)&gt;0,IF(G3="Equipment",SUM(S13:S43),"NaN"),"")</f>
        <v>7.7969488995111034</v>
      </c>
      <c r="S53" s="428" cm="1">
        <f t="array" aca="1" ref="S53" ca="1">+IF(R53="","",R53*INDIRECT(ADDRESS(MATCH(O53,'Cost Conversion'!$B$3:$B$48,0)+2,4,1,1,"Cost conversion"))*INDIRECT(ADDRESS(MATCH(P53,'Cost Conversion'!$F$3:$F$22,0)+2,8,1,1,"Cost conversion"))/IF(N53="$",'Cost Conversion'!$L$2,1))</f>
        <v>12.584848315136806</v>
      </c>
      <c r="T53" s="104"/>
      <c r="U53" s="83"/>
      <c r="V53" s="103"/>
      <c r="Z53" s="210"/>
      <c r="AA53" s="210"/>
      <c r="AB53" s="210"/>
      <c r="AC53" s="210"/>
      <c r="AD53" s="210"/>
      <c r="AE53" s="210"/>
      <c r="AF53" s="210"/>
      <c r="AG53" s="488"/>
      <c r="AH53" s="663"/>
      <c r="AI53" s="394"/>
      <c r="AJ53" s="394"/>
      <c r="AK53" s="394"/>
      <c r="AL53" s="394"/>
      <c r="AM53" s="394"/>
      <c r="AN53" s="489"/>
      <c r="AO53" s="104"/>
      <c r="AP53" s="83"/>
      <c r="AQ53" s="215"/>
      <c r="AR53" s="371"/>
    </row>
    <row r="54" spans="1:57" ht="16.25" customHeight="1" x14ac:dyDescent="0.2">
      <c r="A54" s="83"/>
      <c r="B54" s="103"/>
      <c r="C54" s="574"/>
      <c r="D54" s="575"/>
      <c r="E54" s="575"/>
      <c r="F54" s="575"/>
      <c r="G54" s="575"/>
      <c r="H54" s="575"/>
      <c r="I54" s="575"/>
      <c r="J54" s="575"/>
      <c r="K54" s="575"/>
      <c r="L54" s="576"/>
      <c r="M54" s="409" t="s">
        <v>278</v>
      </c>
      <c r="N54" s="127"/>
      <c r="O54" s="133"/>
      <c r="P54" s="871"/>
      <c r="Q54" s="873"/>
      <c r="R54" s="427" t="s">
        <v>187</v>
      </c>
      <c r="S54" s="428" t="str">
        <f ca="1">+IF(SUM(S46:S49)&gt;0,SUM(S46:S49),"")</f>
        <v/>
      </c>
      <c r="T54" s="104"/>
      <c r="U54" s="83"/>
      <c r="V54" s="103"/>
      <c r="Z54" s="210"/>
      <c r="AA54" s="210"/>
      <c r="AB54" s="210"/>
      <c r="AC54" s="210"/>
      <c r="AD54" s="210"/>
      <c r="AE54" s="210"/>
      <c r="AF54" s="210"/>
      <c r="AG54" s="490"/>
      <c r="AH54" s="666"/>
      <c r="AI54" s="491"/>
      <c r="AJ54" s="491"/>
      <c r="AK54" s="491"/>
      <c r="AL54" s="491"/>
      <c r="AM54" s="491"/>
      <c r="AN54" s="492"/>
      <c r="AO54" s="104"/>
      <c r="AP54" s="83"/>
      <c r="AQ54" s="215"/>
      <c r="AR54" s="371"/>
    </row>
    <row r="55" spans="1:57" ht="16.25" customHeight="1" x14ac:dyDescent="0.2">
      <c r="A55" s="83"/>
      <c r="B55" s="105"/>
      <c r="C55" s="106"/>
      <c r="D55" s="106"/>
      <c r="E55" s="106"/>
      <c r="F55" s="106"/>
      <c r="G55" s="106"/>
      <c r="H55" s="106"/>
      <c r="I55" s="106"/>
      <c r="J55" s="106"/>
      <c r="K55" s="106"/>
      <c r="L55" s="106"/>
      <c r="M55" s="106"/>
      <c r="N55" s="106"/>
      <c r="O55" s="106"/>
      <c r="P55" s="106"/>
      <c r="Q55" s="106"/>
      <c r="R55" s="106"/>
      <c r="S55" s="106"/>
      <c r="T55" s="107"/>
      <c r="U55" s="83"/>
      <c r="V55" s="105"/>
      <c r="W55" s="106"/>
      <c r="X55" s="106"/>
      <c r="Y55" s="106"/>
      <c r="Z55" s="106"/>
      <c r="AA55" s="106"/>
      <c r="AB55" s="106"/>
      <c r="AC55" s="106"/>
      <c r="AD55" s="106"/>
      <c r="AE55" s="106"/>
      <c r="AF55" s="106"/>
      <c r="AG55" s="106"/>
      <c r="AH55" s="106"/>
      <c r="AI55" s="106"/>
      <c r="AJ55" s="106"/>
      <c r="AK55" s="106"/>
      <c r="AL55" s="106"/>
      <c r="AM55" s="106"/>
      <c r="AN55" s="106"/>
      <c r="AO55" s="107"/>
      <c r="AP55" s="83"/>
      <c r="AQ55" s="215"/>
      <c r="AR55" s="371"/>
    </row>
    <row r="56" spans="1:57" ht="16.25" customHeight="1" x14ac:dyDescent="0.2">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15"/>
      <c r="AR56" s="371"/>
    </row>
    <row r="57" spans="1:57" ht="16.25" customHeight="1" x14ac:dyDescent="0.2">
      <c r="A57" s="83"/>
      <c r="B57" s="917" t="str">
        <f>+"BEC Distribution: "&amp;E6</f>
        <v>BEC Distribution: CO2 CPU</v>
      </c>
      <c r="C57" s="918"/>
      <c r="D57" s="918"/>
      <c r="E57" s="918"/>
      <c r="F57" s="918"/>
      <c r="G57" s="919"/>
      <c r="H57" s="917" t="str">
        <f>+"Estimate Benchmark: "&amp;E6</f>
        <v>Estimate Benchmark: CO2 CPU</v>
      </c>
      <c r="I57" s="918"/>
      <c r="J57" s="918"/>
      <c r="K57" s="918"/>
      <c r="L57" s="918"/>
      <c r="M57" s="918"/>
      <c r="N57" s="919"/>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215"/>
      <c r="AR57" s="371"/>
    </row>
    <row r="58" spans="1:57" ht="16.25" customHeight="1" x14ac:dyDescent="0.2">
      <c r="A58" s="83"/>
      <c r="B58" s="100"/>
      <c r="C58" s="101"/>
      <c r="D58" s="101"/>
      <c r="E58" s="101"/>
      <c r="F58" s="101"/>
      <c r="G58" s="102"/>
      <c r="H58" s="100"/>
      <c r="I58" s="101"/>
      <c r="J58" s="101"/>
      <c r="K58" s="101"/>
      <c r="L58" s="101"/>
      <c r="M58" s="101"/>
      <c r="N58" s="102"/>
      <c r="O58" s="161"/>
      <c r="P58" s="376"/>
      <c r="Q58" s="376"/>
      <c r="R58" s="215"/>
      <c r="S58" s="372"/>
      <c r="T58" s="215"/>
      <c r="U58" s="215"/>
      <c r="V58" s="215"/>
      <c r="W58" s="215"/>
      <c r="X58" s="215"/>
      <c r="Y58" s="215"/>
      <c r="Z58" s="215"/>
      <c r="AA58" s="215"/>
      <c r="AB58" s="215"/>
      <c r="AC58" s="215"/>
      <c r="AD58" s="215"/>
      <c r="AE58" s="215"/>
      <c r="AF58" s="215"/>
      <c r="AG58" s="215"/>
      <c r="AH58" s="215"/>
      <c r="AI58" s="215"/>
      <c r="AJ58" s="215"/>
      <c r="AK58" s="215"/>
      <c r="AL58" s="215"/>
      <c r="AM58" s="215"/>
      <c r="AN58" s="215"/>
      <c r="AO58" s="215"/>
      <c r="AP58" s="215"/>
      <c r="AQ58" s="215"/>
      <c r="AR58" s="371"/>
      <c r="AS58" s="372"/>
      <c r="AT58" s="372"/>
      <c r="AU58" s="372"/>
      <c r="AV58" s="372"/>
      <c r="AW58" s="372"/>
      <c r="AX58" s="372"/>
      <c r="AY58" s="372"/>
      <c r="AZ58" s="372"/>
      <c r="BA58" s="372"/>
      <c r="BB58" s="372"/>
      <c r="BC58" s="372"/>
      <c r="BD58" s="372"/>
      <c r="BE58" s="372"/>
    </row>
    <row r="59" spans="1:57" ht="16.25" customHeight="1" x14ac:dyDescent="0.2">
      <c r="A59" s="83"/>
      <c r="B59" s="103"/>
      <c r="C59" s="83"/>
      <c r="D59" s="83"/>
      <c r="E59" s="83"/>
      <c r="F59" s="83"/>
      <c r="G59" s="104"/>
      <c r="H59" s="103"/>
      <c r="I59" s="83"/>
      <c r="J59" s="83"/>
      <c r="K59" s="83"/>
      <c r="L59" s="83"/>
      <c r="M59" s="83"/>
      <c r="N59" s="104"/>
      <c r="O59" s="164"/>
      <c r="P59" s="376"/>
      <c r="Q59" s="376"/>
      <c r="R59" s="215"/>
      <c r="S59" s="372"/>
      <c r="T59" s="215"/>
      <c r="U59" s="215"/>
      <c r="V59" s="215"/>
      <c r="W59" s="215"/>
      <c r="X59" s="215"/>
      <c r="Y59" s="215"/>
      <c r="Z59" s="215"/>
      <c r="AA59" s="215"/>
      <c r="AB59" s="215"/>
      <c r="AC59" s="215"/>
      <c r="AD59" s="215"/>
      <c r="AE59" s="215"/>
      <c r="AF59" s="215"/>
      <c r="AG59" s="215"/>
      <c r="AH59" s="215"/>
      <c r="AI59" s="215"/>
      <c r="AJ59" s="215"/>
      <c r="AK59" s="215"/>
      <c r="AL59" s="215"/>
      <c r="AM59" s="215"/>
      <c r="AN59" s="215"/>
      <c r="AO59" s="215"/>
      <c r="AP59" s="215"/>
      <c r="AQ59" s="215"/>
      <c r="AR59" s="371"/>
      <c r="AS59" s="372"/>
      <c r="AT59" s="372"/>
      <c r="AU59" s="372"/>
      <c r="AV59" s="372"/>
      <c r="AW59" s="372"/>
      <c r="AX59" s="372"/>
      <c r="AY59" s="372"/>
      <c r="AZ59" s="372"/>
      <c r="BA59" s="372"/>
      <c r="BB59" s="372"/>
      <c r="BC59" s="372"/>
      <c r="BD59" s="372"/>
      <c r="BE59" s="372"/>
    </row>
    <row r="60" spans="1:57" ht="16.25" customHeight="1" x14ac:dyDescent="0.2">
      <c r="A60" s="83"/>
      <c r="B60" s="103"/>
      <c r="C60" s="83"/>
      <c r="D60" s="83"/>
      <c r="E60" s="83"/>
      <c r="F60" s="83"/>
      <c r="G60" s="104"/>
      <c r="H60" s="103"/>
      <c r="I60" s="83"/>
      <c r="J60" s="83"/>
      <c r="K60" s="83"/>
      <c r="L60" s="83"/>
      <c r="M60" s="83"/>
      <c r="N60" s="104"/>
      <c r="O60" s="160"/>
      <c r="P60" s="215"/>
      <c r="Q60" s="215"/>
      <c r="R60" s="215"/>
      <c r="S60" s="215"/>
      <c r="T60" s="215"/>
      <c r="U60" s="215"/>
      <c r="V60" s="215"/>
      <c r="W60" s="215"/>
      <c r="X60" s="215"/>
      <c r="Y60" s="215"/>
      <c r="Z60" s="215"/>
      <c r="AA60" s="215"/>
      <c r="AB60" s="215"/>
      <c r="AC60" s="215"/>
      <c r="AD60" s="215"/>
      <c r="AE60" s="215"/>
      <c r="AF60" s="215"/>
      <c r="AG60" s="215"/>
      <c r="AH60" s="215"/>
      <c r="AI60" s="215"/>
      <c r="AJ60" s="215"/>
      <c r="AK60" s="215"/>
      <c r="AL60" s="215"/>
      <c r="AM60" s="215"/>
      <c r="AN60" s="215"/>
      <c r="AO60" s="215"/>
      <c r="AP60" s="215"/>
      <c r="AQ60" s="215"/>
      <c r="AR60" s="371"/>
      <c r="AS60" s="372"/>
      <c r="AT60" s="372"/>
      <c r="AU60" s="372"/>
      <c r="AV60" s="372"/>
      <c r="AW60" s="372"/>
      <c r="AX60" s="372"/>
      <c r="AY60" s="372"/>
      <c r="AZ60" s="372"/>
      <c r="BA60" s="372"/>
      <c r="BB60" s="372"/>
      <c r="BC60" s="372"/>
      <c r="BD60" s="372"/>
      <c r="BE60" s="372"/>
    </row>
    <row r="61" spans="1:57" ht="16.25" customHeight="1" x14ac:dyDescent="0.2">
      <c r="A61" s="83"/>
      <c r="B61" s="103"/>
      <c r="C61" s="83"/>
      <c r="D61" s="83"/>
      <c r="E61" s="83"/>
      <c r="F61" s="83"/>
      <c r="G61" s="104"/>
      <c r="H61" s="103"/>
      <c r="I61" s="83"/>
      <c r="J61" s="83"/>
      <c r="K61" s="83"/>
      <c r="L61" s="83"/>
      <c r="M61" s="83"/>
      <c r="N61" s="104"/>
      <c r="O61" s="83"/>
      <c r="P61" s="215"/>
      <c r="Q61" s="215"/>
      <c r="R61" s="215"/>
      <c r="S61" s="215"/>
      <c r="T61" s="215"/>
      <c r="U61" s="215"/>
      <c r="V61" s="372"/>
      <c r="W61" s="215"/>
      <c r="X61" s="215"/>
      <c r="Y61" s="215"/>
      <c r="Z61" s="215"/>
      <c r="AA61" s="215"/>
      <c r="AB61" s="215"/>
      <c r="AC61" s="215"/>
      <c r="AD61" s="215"/>
      <c r="AE61" s="215"/>
      <c r="AF61" s="215"/>
      <c r="AG61" s="215"/>
      <c r="AH61" s="215"/>
      <c r="AI61" s="215"/>
      <c r="AJ61" s="215"/>
      <c r="AK61" s="215"/>
      <c r="AL61" s="215"/>
      <c r="AM61" s="215"/>
      <c r="AN61" s="215"/>
      <c r="AO61" s="215"/>
      <c r="AP61" s="215"/>
      <c r="AQ61" s="215"/>
      <c r="AR61" s="371"/>
      <c r="AS61" s="372"/>
      <c r="AT61" s="372"/>
      <c r="AU61" s="372"/>
      <c r="AV61" s="372"/>
      <c r="AW61" s="372"/>
      <c r="AX61" s="372"/>
      <c r="AY61" s="372"/>
      <c r="AZ61" s="372"/>
      <c r="BA61" s="372"/>
      <c r="BB61" s="372"/>
      <c r="BC61" s="372"/>
      <c r="BD61" s="372"/>
      <c r="BE61" s="372"/>
    </row>
    <row r="62" spans="1:57" ht="16.25" customHeight="1" x14ac:dyDescent="0.2">
      <c r="A62" s="83"/>
      <c r="B62" s="103"/>
      <c r="C62" s="83"/>
      <c r="D62" s="83"/>
      <c r="E62" s="83"/>
      <c r="F62" s="83"/>
      <c r="G62" s="104"/>
      <c r="H62" s="103"/>
      <c r="I62" s="83"/>
      <c r="J62" s="83"/>
      <c r="K62" s="83"/>
      <c r="L62" s="83"/>
      <c r="M62" s="83"/>
      <c r="N62" s="104"/>
      <c r="O62" s="83"/>
      <c r="P62" s="215"/>
      <c r="Q62" s="215"/>
      <c r="R62" s="215"/>
      <c r="S62" s="215"/>
      <c r="T62" s="215"/>
      <c r="U62" s="215"/>
      <c r="V62" s="215"/>
      <c r="W62" s="215"/>
      <c r="X62" s="215"/>
      <c r="Y62" s="215"/>
      <c r="Z62" s="215"/>
      <c r="AA62" s="215"/>
      <c r="AB62" s="215"/>
      <c r="AC62" s="215"/>
      <c r="AD62" s="215"/>
      <c r="AE62" s="215"/>
      <c r="AF62" s="215"/>
      <c r="AG62" s="215"/>
      <c r="AH62" s="215"/>
      <c r="AI62" s="215"/>
      <c r="AJ62" s="215"/>
      <c r="AK62" s="215"/>
      <c r="AL62" s="215"/>
      <c r="AM62" s="215"/>
      <c r="AN62" s="215"/>
      <c r="AO62" s="215"/>
      <c r="AP62" s="215"/>
      <c r="AQ62" s="215"/>
      <c r="AR62" s="371"/>
      <c r="AS62" s="372"/>
      <c r="AT62" s="372"/>
      <c r="AU62" s="372"/>
      <c r="AV62" s="372"/>
      <c r="AW62" s="372"/>
      <c r="AX62" s="372"/>
      <c r="AY62" s="372"/>
      <c r="AZ62" s="372"/>
      <c r="BA62" s="372"/>
      <c r="BB62" s="372"/>
      <c r="BC62" s="372"/>
      <c r="BD62" s="372"/>
      <c r="BE62" s="372"/>
    </row>
    <row r="63" spans="1:57" ht="16.25" customHeight="1" x14ac:dyDescent="0.2">
      <c r="A63" s="83"/>
      <c r="B63" s="103"/>
      <c r="C63" s="83"/>
      <c r="D63" s="83"/>
      <c r="E63" s="83"/>
      <c r="F63" s="83"/>
      <c r="G63" s="104"/>
      <c r="H63" s="103"/>
      <c r="I63" s="83"/>
      <c r="J63" s="83"/>
      <c r="K63" s="83"/>
      <c r="L63" s="83"/>
      <c r="M63" s="83"/>
      <c r="N63" s="104"/>
      <c r="O63" s="83"/>
      <c r="P63" s="215"/>
      <c r="Q63" s="215"/>
      <c r="R63" s="215"/>
      <c r="S63" s="215"/>
      <c r="T63" s="376"/>
      <c r="U63" s="215"/>
      <c r="V63" s="215"/>
      <c r="W63" s="215"/>
      <c r="X63" s="215"/>
      <c r="Y63" s="215"/>
      <c r="Z63" s="215"/>
      <c r="AA63" s="215"/>
      <c r="AB63" s="215"/>
      <c r="AC63" s="215"/>
      <c r="AD63" s="215"/>
      <c r="AE63" s="215"/>
      <c r="AF63" s="215"/>
      <c r="AG63" s="215"/>
      <c r="AH63" s="215"/>
      <c r="AI63" s="215"/>
      <c r="AJ63" s="215"/>
      <c r="AK63" s="215"/>
      <c r="AL63" s="215"/>
      <c r="AM63" s="215"/>
      <c r="AN63" s="215"/>
      <c r="AO63" s="215"/>
      <c r="AP63" s="215"/>
      <c r="AQ63" s="215"/>
      <c r="AR63" s="371"/>
      <c r="AS63" s="372"/>
      <c r="AT63" s="372"/>
      <c r="AU63" s="372"/>
      <c r="AV63" s="372"/>
      <c r="AW63" s="372"/>
      <c r="AX63" s="372"/>
      <c r="AY63" s="372"/>
      <c r="AZ63" s="372"/>
      <c r="BA63" s="372"/>
      <c r="BB63" s="372"/>
      <c r="BC63" s="372"/>
      <c r="BD63" s="372"/>
      <c r="BE63" s="372"/>
    </row>
    <row r="64" spans="1:57" ht="16.25" customHeight="1" x14ac:dyDescent="0.2">
      <c r="A64" s="83"/>
      <c r="B64" s="103"/>
      <c r="C64" s="83"/>
      <c r="D64" s="83"/>
      <c r="E64" s="83"/>
      <c r="F64" s="83"/>
      <c r="G64" s="104"/>
      <c r="H64" s="103"/>
      <c r="I64" s="83"/>
      <c r="J64" s="83"/>
      <c r="K64" s="83"/>
      <c r="L64" s="83"/>
      <c r="M64" s="83"/>
      <c r="N64" s="104"/>
      <c r="O64" s="83"/>
      <c r="P64" s="215"/>
      <c r="Q64" s="215"/>
      <c r="R64" s="215"/>
      <c r="S64" s="215"/>
      <c r="T64" s="376"/>
      <c r="U64" s="215"/>
      <c r="V64" s="215"/>
      <c r="W64" s="215"/>
      <c r="X64" s="215"/>
      <c r="Y64" s="215"/>
      <c r="Z64" s="215"/>
      <c r="AA64" s="215"/>
      <c r="AB64" s="215"/>
      <c r="AC64" s="215"/>
      <c r="AD64" s="215"/>
      <c r="AE64" s="215"/>
      <c r="AF64" s="215"/>
      <c r="AG64" s="215"/>
      <c r="AH64" s="215"/>
      <c r="AI64" s="215"/>
      <c r="AJ64" s="215"/>
      <c r="AK64" s="215"/>
      <c r="AL64" s="215"/>
      <c r="AM64" s="215"/>
      <c r="AN64" s="215"/>
      <c r="AO64" s="215"/>
      <c r="AP64" s="215"/>
      <c r="AQ64" s="215"/>
      <c r="AR64" s="371"/>
      <c r="AS64" s="372"/>
      <c r="AT64" s="372"/>
      <c r="AU64" s="372"/>
      <c r="AV64" s="372"/>
      <c r="AW64" s="372"/>
      <c r="AX64" s="372"/>
      <c r="AY64" s="372"/>
      <c r="AZ64" s="372"/>
      <c r="BA64" s="372"/>
      <c r="BB64" s="372"/>
      <c r="BC64" s="372"/>
      <c r="BD64" s="372"/>
      <c r="BE64" s="372"/>
    </row>
    <row r="65" spans="1:57" ht="16.25" customHeight="1" x14ac:dyDescent="0.2">
      <c r="A65" s="83"/>
      <c r="B65" s="103"/>
      <c r="C65" s="83"/>
      <c r="D65" s="83"/>
      <c r="E65" s="83"/>
      <c r="F65" s="83"/>
      <c r="G65" s="104"/>
      <c r="H65" s="103"/>
      <c r="I65" s="83"/>
      <c r="J65" s="83"/>
      <c r="K65" s="83"/>
      <c r="L65" s="83"/>
      <c r="M65" s="83"/>
      <c r="N65" s="104"/>
      <c r="O65" s="83"/>
      <c r="P65" s="215"/>
      <c r="Q65" s="215"/>
      <c r="R65" s="215"/>
      <c r="S65" s="215"/>
      <c r="T65" s="215"/>
      <c r="U65" s="215"/>
      <c r="V65" s="215"/>
      <c r="W65" s="215"/>
      <c r="X65" s="215"/>
      <c r="Y65" s="215"/>
      <c r="Z65" s="215"/>
      <c r="AA65" s="215"/>
      <c r="AB65" s="215"/>
      <c r="AC65" s="215"/>
      <c r="AD65" s="215"/>
      <c r="AE65" s="215"/>
      <c r="AF65" s="215"/>
      <c r="AG65" s="215"/>
      <c r="AH65" s="215"/>
      <c r="AI65" s="215"/>
      <c r="AJ65" s="215"/>
      <c r="AK65" s="215"/>
      <c r="AL65" s="215"/>
      <c r="AM65" s="215"/>
      <c r="AN65" s="215"/>
      <c r="AO65" s="215"/>
      <c r="AP65" s="215"/>
      <c r="AQ65" s="215"/>
      <c r="AR65" s="371"/>
      <c r="AS65" s="372"/>
      <c r="AT65" s="372"/>
      <c r="AU65" s="372"/>
      <c r="AV65" s="372"/>
      <c r="AW65" s="372"/>
      <c r="AX65" s="372"/>
      <c r="AY65" s="372"/>
      <c r="AZ65" s="372"/>
      <c r="BA65" s="372"/>
      <c r="BB65" s="372"/>
      <c r="BC65" s="372"/>
      <c r="BD65" s="372"/>
      <c r="BE65" s="372"/>
    </row>
    <row r="66" spans="1:57" ht="16.25" customHeight="1" x14ac:dyDescent="0.2">
      <c r="A66" s="83"/>
      <c r="B66" s="103"/>
      <c r="C66" s="83"/>
      <c r="D66" s="83"/>
      <c r="E66" s="83"/>
      <c r="F66" s="83"/>
      <c r="G66" s="104"/>
      <c r="H66" s="103"/>
      <c r="I66" s="83"/>
      <c r="J66" s="83"/>
      <c r="K66" s="83"/>
      <c r="L66" s="83"/>
      <c r="M66" s="83"/>
      <c r="N66" s="104"/>
      <c r="O66" s="83"/>
      <c r="P66" s="215"/>
      <c r="Q66" s="215"/>
      <c r="R66" s="215"/>
      <c r="S66" s="215"/>
      <c r="T66" s="215"/>
      <c r="U66" s="215"/>
      <c r="V66" s="215"/>
      <c r="W66" s="215"/>
      <c r="X66" s="215"/>
      <c r="Y66" s="215"/>
      <c r="Z66" s="215"/>
      <c r="AA66" s="215"/>
      <c r="AB66" s="215"/>
      <c r="AC66" s="215"/>
      <c r="AD66" s="215"/>
      <c r="AE66" s="215"/>
      <c r="AF66" s="215"/>
      <c r="AG66" s="215"/>
      <c r="AH66" s="215"/>
      <c r="AI66" s="215"/>
      <c r="AJ66" s="215"/>
      <c r="AK66" s="215"/>
      <c r="AL66" s="215"/>
      <c r="AM66" s="215"/>
      <c r="AN66" s="215"/>
      <c r="AO66" s="215"/>
      <c r="AP66" s="215"/>
      <c r="AQ66" s="215"/>
      <c r="AR66" s="371"/>
      <c r="AS66" s="372"/>
      <c r="AT66" s="372"/>
      <c r="AU66" s="372"/>
      <c r="AV66" s="372"/>
      <c r="AW66" s="372"/>
      <c r="AX66" s="372"/>
      <c r="AY66" s="372"/>
      <c r="AZ66" s="372"/>
      <c r="BA66" s="372"/>
      <c r="BB66" s="372"/>
      <c r="BC66" s="372"/>
      <c r="BD66" s="372"/>
      <c r="BE66" s="372"/>
    </row>
    <row r="67" spans="1:57" ht="16.25" customHeight="1" x14ac:dyDescent="0.2">
      <c r="A67" s="83"/>
      <c r="B67" s="103"/>
      <c r="C67" s="83"/>
      <c r="D67" s="83"/>
      <c r="E67" s="83"/>
      <c r="F67" s="83"/>
      <c r="G67" s="104"/>
      <c r="H67" s="103"/>
      <c r="I67" s="83"/>
      <c r="J67" s="83"/>
      <c r="K67" s="83"/>
      <c r="L67" s="83"/>
      <c r="M67" s="83"/>
      <c r="N67" s="104"/>
      <c r="O67" s="83"/>
      <c r="P67" s="215"/>
      <c r="Q67" s="215"/>
      <c r="R67" s="215"/>
      <c r="S67" s="215"/>
      <c r="T67" s="215"/>
      <c r="U67" s="215"/>
      <c r="V67" s="215"/>
      <c r="W67" s="215"/>
      <c r="X67" s="215"/>
      <c r="Y67" s="215"/>
      <c r="Z67" s="215"/>
      <c r="AA67" s="215"/>
      <c r="AB67" s="215"/>
      <c r="AC67" s="215"/>
      <c r="AD67" s="215"/>
      <c r="AE67" s="215"/>
      <c r="AF67" s="215"/>
      <c r="AG67" s="215"/>
      <c r="AH67" s="215"/>
      <c r="AI67" s="215"/>
      <c r="AJ67" s="215"/>
      <c r="AK67" s="215"/>
      <c r="AL67" s="215"/>
      <c r="AM67" s="215"/>
      <c r="AN67" s="215"/>
      <c r="AO67" s="215"/>
      <c r="AP67" s="215"/>
      <c r="AQ67" s="215"/>
      <c r="AR67" s="371"/>
      <c r="AS67" s="372"/>
      <c r="AT67" s="372"/>
      <c r="AU67" s="372"/>
      <c r="AV67" s="372"/>
      <c r="AW67" s="372"/>
      <c r="AX67" s="372"/>
      <c r="AY67" s="372"/>
      <c r="AZ67" s="372"/>
      <c r="BA67" s="372"/>
      <c r="BB67" s="372"/>
      <c r="BC67" s="372"/>
      <c r="BD67" s="372"/>
      <c r="BE67" s="372"/>
    </row>
    <row r="68" spans="1:57" ht="16.25" customHeight="1" x14ac:dyDescent="0.2">
      <c r="A68" s="83"/>
      <c r="B68" s="103"/>
      <c r="C68" s="83"/>
      <c r="D68" s="83"/>
      <c r="E68" s="83"/>
      <c r="F68" s="83"/>
      <c r="G68" s="104"/>
      <c r="H68" s="103"/>
      <c r="I68" s="83"/>
      <c r="J68" s="83"/>
      <c r="K68" s="83"/>
      <c r="L68" s="83"/>
      <c r="M68" s="83"/>
      <c r="N68" s="104"/>
      <c r="O68" s="83"/>
      <c r="P68" s="215"/>
      <c r="Q68" s="215"/>
      <c r="R68" s="215"/>
      <c r="S68" s="215"/>
      <c r="T68" s="215"/>
      <c r="U68" s="215"/>
      <c r="V68" s="215"/>
      <c r="W68" s="215"/>
      <c r="X68" s="215"/>
      <c r="Y68" s="215"/>
      <c r="Z68" s="215"/>
      <c r="AA68" s="215"/>
      <c r="AB68" s="215"/>
      <c r="AC68" s="215"/>
      <c r="AD68" s="215"/>
      <c r="AE68" s="215"/>
      <c r="AF68" s="215"/>
      <c r="AG68" s="215"/>
      <c r="AH68" s="215"/>
      <c r="AI68" s="215"/>
      <c r="AJ68" s="215"/>
      <c r="AK68" s="215"/>
      <c r="AL68" s="215"/>
      <c r="AM68" s="215"/>
      <c r="AN68" s="215"/>
      <c r="AO68" s="215"/>
      <c r="AP68" s="215"/>
      <c r="AQ68" s="215"/>
      <c r="AR68" s="371"/>
      <c r="AS68" s="372"/>
      <c r="AT68" s="372"/>
      <c r="AU68" s="372"/>
      <c r="AV68" s="372"/>
      <c r="AW68" s="372"/>
      <c r="AX68" s="372"/>
      <c r="AY68" s="372"/>
      <c r="AZ68" s="372"/>
      <c r="BA68" s="372"/>
      <c r="BB68" s="372"/>
      <c r="BC68" s="372"/>
      <c r="BD68" s="372"/>
      <c r="BE68" s="372"/>
    </row>
    <row r="69" spans="1:57" ht="16.25" customHeight="1" x14ac:dyDescent="0.2">
      <c r="A69" s="83"/>
      <c r="B69" s="103"/>
      <c r="C69" s="83"/>
      <c r="D69" s="83"/>
      <c r="E69" s="83"/>
      <c r="F69" s="83"/>
      <c r="G69" s="104"/>
      <c r="H69" s="103"/>
      <c r="I69" s="83"/>
      <c r="J69" s="83"/>
      <c r="K69" s="83"/>
      <c r="L69" s="83"/>
      <c r="M69" s="83"/>
      <c r="N69" s="104"/>
      <c r="O69" s="161"/>
      <c r="P69" s="376"/>
      <c r="Q69" s="376"/>
      <c r="R69" s="376"/>
      <c r="S69" s="376"/>
      <c r="T69" s="376"/>
      <c r="U69" s="377"/>
      <c r="V69" s="371"/>
      <c r="W69" s="371"/>
      <c r="X69" s="371"/>
      <c r="Y69" s="215"/>
      <c r="Z69" s="215"/>
      <c r="AA69" s="215"/>
      <c r="AB69" s="215"/>
      <c r="AC69" s="215"/>
      <c r="AD69" s="215"/>
      <c r="AE69" s="215"/>
      <c r="AF69" s="215"/>
      <c r="AG69" s="215"/>
      <c r="AH69" s="215"/>
      <c r="AI69" s="215"/>
      <c r="AJ69" s="215"/>
      <c r="AK69" s="215"/>
      <c r="AL69" s="215"/>
      <c r="AM69" s="215"/>
      <c r="AN69" s="215"/>
      <c r="AO69" s="215"/>
      <c r="AP69" s="215"/>
      <c r="AQ69" s="215"/>
      <c r="AR69" s="371"/>
      <c r="AS69" s="372"/>
      <c r="AT69" s="372"/>
      <c r="AU69" s="372"/>
      <c r="AV69" s="372"/>
      <c r="AW69" s="372"/>
      <c r="AX69" s="372"/>
      <c r="AY69" s="372"/>
      <c r="AZ69" s="372"/>
      <c r="BA69" s="372"/>
      <c r="BB69" s="372"/>
      <c r="BC69" s="372"/>
      <c r="BD69" s="372"/>
      <c r="BE69" s="372"/>
    </row>
    <row r="70" spans="1:57" ht="16.25" customHeight="1" x14ac:dyDescent="0.2">
      <c r="A70" s="83"/>
      <c r="B70" s="103"/>
      <c r="C70" s="83"/>
      <c r="D70" s="83"/>
      <c r="E70" s="83"/>
      <c r="F70" s="83"/>
      <c r="G70" s="104"/>
      <c r="H70" s="103"/>
      <c r="I70" s="83"/>
      <c r="J70" s="83"/>
      <c r="K70" s="83"/>
      <c r="L70" s="83"/>
      <c r="M70" s="83"/>
      <c r="N70" s="104"/>
      <c r="O70" s="161"/>
      <c r="P70" s="376"/>
      <c r="Q70" s="376"/>
      <c r="R70" s="376"/>
      <c r="S70" s="376"/>
      <c r="T70" s="376"/>
      <c r="U70" s="376"/>
      <c r="V70" s="376"/>
      <c r="W70" s="376"/>
      <c r="X70" s="376"/>
      <c r="Y70" s="215"/>
      <c r="Z70" s="215"/>
      <c r="AA70" s="215"/>
      <c r="AB70" s="215"/>
      <c r="AC70" s="215"/>
      <c r="AD70" s="215"/>
      <c r="AE70" s="215"/>
      <c r="AF70" s="215"/>
      <c r="AG70" s="215"/>
      <c r="AH70" s="215"/>
      <c r="AI70" s="215"/>
      <c r="AJ70" s="215"/>
      <c r="AK70" s="215"/>
      <c r="AL70" s="215"/>
      <c r="AM70" s="215"/>
      <c r="AN70" s="215"/>
      <c r="AO70" s="215"/>
      <c r="AP70" s="215"/>
      <c r="AQ70" s="215"/>
      <c r="AR70" s="371"/>
      <c r="AS70" s="372"/>
      <c r="AT70" s="372"/>
      <c r="AU70" s="372"/>
      <c r="AV70" s="372"/>
      <c r="AW70" s="372"/>
      <c r="AX70" s="372"/>
      <c r="AY70" s="372"/>
      <c r="AZ70" s="372"/>
      <c r="BA70" s="372"/>
      <c r="BB70" s="372"/>
      <c r="BC70" s="372"/>
      <c r="BD70" s="372"/>
      <c r="BE70" s="372"/>
    </row>
    <row r="71" spans="1:57" ht="16.25" customHeight="1" x14ac:dyDescent="0.2">
      <c r="A71" s="83"/>
      <c r="B71" s="103"/>
      <c r="C71" s="83"/>
      <c r="D71" s="83"/>
      <c r="E71" s="83"/>
      <c r="F71" s="83"/>
      <c r="G71" s="104"/>
      <c r="H71" s="103"/>
      <c r="I71" s="83"/>
      <c r="J71" s="83"/>
      <c r="K71" s="83"/>
      <c r="L71" s="83"/>
      <c r="M71" s="83"/>
      <c r="N71" s="104"/>
      <c r="O71" s="161"/>
      <c r="P71" s="374"/>
      <c r="Q71" s="376"/>
      <c r="R71" s="377"/>
      <c r="S71" s="377"/>
      <c r="T71" s="377"/>
      <c r="U71" s="377"/>
      <c r="V71" s="377"/>
      <c r="W71" s="376"/>
      <c r="X71" s="376"/>
      <c r="Y71" s="215"/>
      <c r="Z71" s="215"/>
      <c r="AA71" s="215"/>
      <c r="AB71" s="215"/>
      <c r="AC71" s="215"/>
      <c r="AD71" s="215"/>
      <c r="AE71" s="215"/>
      <c r="AF71" s="215"/>
      <c r="AG71" s="215"/>
      <c r="AH71" s="215"/>
      <c r="AI71" s="215"/>
      <c r="AJ71" s="215"/>
      <c r="AK71" s="215"/>
      <c r="AL71" s="215"/>
      <c r="AM71" s="215"/>
      <c r="AN71" s="215"/>
      <c r="AO71" s="215"/>
      <c r="AP71" s="215"/>
      <c r="AQ71" s="215"/>
      <c r="AR71" s="371"/>
      <c r="AS71" s="372"/>
      <c r="AT71" s="372"/>
      <c r="AU71" s="372"/>
      <c r="AV71" s="372"/>
      <c r="AW71" s="372"/>
      <c r="AX71" s="372"/>
      <c r="AY71" s="372"/>
      <c r="AZ71" s="372"/>
      <c r="BA71" s="372"/>
      <c r="BB71" s="372"/>
      <c r="BC71" s="372"/>
      <c r="BD71" s="372"/>
      <c r="BE71" s="372"/>
    </row>
    <row r="72" spans="1:57" ht="16.25" customHeight="1" x14ac:dyDescent="0.2">
      <c r="A72" s="83"/>
      <c r="B72" s="103"/>
      <c r="C72" s="83"/>
      <c r="D72" s="83"/>
      <c r="E72" s="83"/>
      <c r="F72" s="83"/>
      <c r="G72" s="104"/>
      <c r="H72" s="103"/>
      <c r="I72" s="83"/>
      <c r="J72" s="83"/>
      <c r="K72" s="83"/>
      <c r="L72" s="83"/>
      <c r="M72" s="83"/>
      <c r="N72" s="104"/>
      <c r="O72" s="83"/>
      <c r="P72" s="215"/>
      <c r="Q72" s="215"/>
      <c r="R72" s="215"/>
      <c r="S72" s="215"/>
      <c r="T72" s="215"/>
      <c r="U72" s="215"/>
      <c r="V72" s="215"/>
      <c r="W72" s="215"/>
      <c r="X72" s="215"/>
      <c r="Y72" s="215"/>
      <c r="Z72" s="215"/>
      <c r="AA72" s="215"/>
      <c r="AB72" s="215"/>
      <c r="AC72" s="215"/>
      <c r="AD72" s="215"/>
      <c r="AE72" s="215"/>
      <c r="AF72" s="215"/>
      <c r="AG72" s="215"/>
      <c r="AH72" s="215"/>
      <c r="AI72" s="215"/>
      <c r="AJ72" s="215"/>
      <c r="AK72" s="215"/>
      <c r="AL72" s="215"/>
      <c r="AM72" s="215"/>
      <c r="AN72" s="215"/>
      <c r="AO72" s="215"/>
      <c r="AP72" s="215"/>
      <c r="AQ72" s="215"/>
      <c r="AR72" s="371"/>
      <c r="AS72" s="372"/>
      <c r="AT72" s="372"/>
      <c r="AU72" s="372"/>
      <c r="AV72" s="372"/>
      <c r="AW72" s="372"/>
      <c r="AX72" s="372"/>
      <c r="AY72" s="372"/>
      <c r="AZ72" s="372"/>
      <c r="BA72" s="372"/>
      <c r="BB72" s="372"/>
      <c r="BC72" s="372"/>
      <c r="BD72" s="372"/>
      <c r="BE72" s="372"/>
    </row>
    <row r="73" spans="1:57" ht="16.25" customHeight="1" x14ac:dyDescent="0.2">
      <c r="A73" s="83"/>
      <c r="B73" s="103"/>
      <c r="C73" s="83"/>
      <c r="D73" s="83"/>
      <c r="E73" s="83"/>
      <c r="F73" s="83"/>
      <c r="G73" s="104"/>
      <c r="H73" s="103"/>
      <c r="I73" s="83"/>
      <c r="J73" s="83"/>
      <c r="K73" s="83"/>
      <c r="L73" s="83"/>
      <c r="M73" s="83"/>
      <c r="N73" s="104"/>
      <c r="O73" s="162"/>
      <c r="P73" s="371"/>
      <c r="Q73" s="371"/>
      <c r="R73" s="371"/>
      <c r="S73" s="371"/>
      <c r="T73" s="215"/>
      <c r="U73" s="215"/>
      <c r="V73" s="215"/>
      <c r="W73" s="215"/>
      <c r="X73" s="215"/>
      <c r="Y73" s="215"/>
      <c r="Z73" s="215"/>
      <c r="AA73" s="215"/>
      <c r="AB73" s="215"/>
      <c r="AC73" s="215"/>
      <c r="AD73" s="215"/>
      <c r="AE73" s="215"/>
      <c r="AF73" s="215"/>
      <c r="AG73" s="215"/>
      <c r="AH73" s="215"/>
      <c r="AI73" s="215"/>
      <c r="AJ73" s="215"/>
      <c r="AK73" s="215"/>
      <c r="AL73" s="215"/>
      <c r="AM73" s="215"/>
      <c r="AN73" s="215"/>
      <c r="AO73" s="215"/>
      <c r="AP73" s="215"/>
      <c r="AQ73" s="215"/>
      <c r="AR73" s="371"/>
      <c r="AS73" s="372"/>
      <c r="AT73" s="372"/>
      <c r="AU73" s="372"/>
      <c r="AV73" s="372"/>
      <c r="AW73" s="372"/>
      <c r="AX73" s="372"/>
      <c r="AY73" s="372"/>
      <c r="AZ73" s="372"/>
      <c r="BA73" s="372"/>
      <c r="BB73" s="372"/>
      <c r="BC73" s="372"/>
      <c r="BD73" s="372"/>
      <c r="BE73" s="372"/>
    </row>
    <row r="74" spans="1:57" ht="16.25" customHeight="1" x14ac:dyDescent="0.2">
      <c r="A74" s="83"/>
      <c r="B74" s="103"/>
      <c r="C74" s="83"/>
      <c r="D74" s="83"/>
      <c r="E74" s="83"/>
      <c r="F74" s="83"/>
      <c r="G74" s="104"/>
      <c r="H74" s="103"/>
      <c r="I74" s="83"/>
      <c r="J74" s="83"/>
      <c r="K74" s="83"/>
      <c r="L74" s="83"/>
      <c r="M74" s="83"/>
      <c r="N74" s="104"/>
      <c r="O74" s="162"/>
      <c r="P74" s="371"/>
      <c r="Q74" s="371"/>
      <c r="R74" s="371"/>
      <c r="S74" s="371"/>
      <c r="T74" s="215"/>
      <c r="U74" s="215"/>
      <c r="V74" s="215"/>
      <c r="W74" s="215"/>
      <c r="X74" s="215"/>
      <c r="Y74" s="215"/>
      <c r="Z74" s="215"/>
      <c r="AA74" s="215"/>
      <c r="AB74" s="215"/>
      <c r="AC74" s="215"/>
      <c r="AD74" s="215"/>
      <c r="AE74" s="215"/>
      <c r="AF74" s="215"/>
      <c r="AG74" s="215"/>
      <c r="AH74" s="215"/>
      <c r="AI74" s="215"/>
      <c r="AJ74" s="215"/>
      <c r="AK74" s="215"/>
      <c r="AL74" s="215"/>
      <c r="AM74" s="215"/>
      <c r="AN74" s="215"/>
      <c r="AO74" s="215"/>
      <c r="AP74" s="215"/>
      <c r="AQ74" s="215"/>
      <c r="AR74" s="371"/>
      <c r="AS74" s="372"/>
      <c r="AT74" s="372"/>
      <c r="AU74" s="372"/>
      <c r="AV74" s="372"/>
      <c r="AW74" s="372"/>
      <c r="AX74" s="372"/>
      <c r="AY74" s="372"/>
      <c r="AZ74" s="372"/>
      <c r="BA74" s="372"/>
      <c r="BB74" s="372"/>
      <c r="BC74" s="372"/>
      <c r="BD74" s="372"/>
      <c r="BE74" s="372"/>
    </row>
    <row r="75" spans="1:57" ht="16.25" customHeight="1" x14ac:dyDescent="0.2">
      <c r="A75" s="83"/>
      <c r="B75" s="103"/>
      <c r="C75" s="83"/>
      <c r="D75" s="83"/>
      <c r="E75" s="83"/>
      <c r="F75" s="83"/>
      <c r="G75" s="104"/>
      <c r="H75" s="103"/>
      <c r="I75" s="83"/>
      <c r="J75" s="83"/>
      <c r="K75" s="83"/>
      <c r="L75" s="83"/>
      <c r="M75" s="83"/>
      <c r="N75" s="104"/>
      <c r="O75" s="161"/>
      <c r="P75" s="376"/>
      <c r="Q75" s="376"/>
      <c r="R75" s="376"/>
      <c r="S75" s="376"/>
      <c r="T75" s="215"/>
      <c r="U75" s="215"/>
      <c r="V75" s="215"/>
      <c r="W75" s="215"/>
      <c r="X75" s="215"/>
      <c r="Y75" s="215"/>
      <c r="Z75" s="215"/>
      <c r="AA75" s="215"/>
      <c r="AB75" s="215"/>
      <c r="AC75" s="215"/>
      <c r="AD75" s="215"/>
      <c r="AE75" s="215"/>
      <c r="AF75" s="215"/>
      <c r="AG75" s="215"/>
      <c r="AH75" s="215"/>
      <c r="AI75" s="215"/>
      <c r="AJ75" s="215"/>
      <c r="AK75" s="215"/>
      <c r="AL75" s="215"/>
      <c r="AM75" s="215"/>
      <c r="AN75" s="215"/>
      <c r="AO75" s="215"/>
      <c r="AP75" s="215"/>
      <c r="AQ75" s="215"/>
      <c r="AR75" s="371"/>
      <c r="AS75" s="372"/>
      <c r="AT75" s="372"/>
      <c r="AU75" s="372"/>
      <c r="AV75" s="372"/>
      <c r="AW75" s="372"/>
      <c r="AX75" s="372"/>
      <c r="AY75" s="372"/>
      <c r="AZ75" s="372"/>
      <c r="BA75" s="372"/>
      <c r="BB75" s="372"/>
      <c r="BC75" s="372"/>
      <c r="BD75" s="372"/>
      <c r="BE75" s="372"/>
    </row>
    <row r="76" spans="1:57" ht="16.25" customHeight="1" x14ac:dyDescent="0.2">
      <c r="A76" s="83"/>
      <c r="B76" s="103"/>
      <c r="C76" s="83"/>
      <c r="D76" s="83"/>
      <c r="E76" s="83"/>
      <c r="F76" s="83"/>
      <c r="G76" s="104"/>
      <c r="H76" s="103"/>
      <c r="I76" s="83"/>
      <c r="J76" s="83"/>
      <c r="K76" s="83"/>
      <c r="L76" s="83"/>
      <c r="M76" s="83"/>
      <c r="N76" s="104"/>
      <c r="O76" s="163"/>
      <c r="P76" s="373"/>
      <c r="Q76" s="377"/>
      <c r="R76" s="376"/>
      <c r="S76" s="376"/>
      <c r="T76" s="215"/>
      <c r="U76" s="215"/>
      <c r="V76" s="215"/>
      <c r="W76" s="215"/>
      <c r="X76" s="215"/>
      <c r="Y76" s="215"/>
      <c r="Z76" s="215"/>
      <c r="AA76" s="215"/>
      <c r="AB76" s="215"/>
      <c r="AC76" s="215"/>
      <c r="AD76" s="215"/>
      <c r="AE76" s="215"/>
      <c r="AF76" s="215"/>
      <c r="AG76" s="215"/>
      <c r="AH76" s="215"/>
      <c r="AI76" s="215"/>
      <c r="AJ76" s="215"/>
      <c r="AK76" s="215"/>
      <c r="AL76" s="215"/>
      <c r="AM76" s="215"/>
      <c r="AN76" s="215"/>
      <c r="AO76" s="215"/>
      <c r="AP76" s="215"/>
      <c r="AQ76" s="215"/>
      <c r="AR76" s="371"/>
      <c r="AS76" s="372"/>
      <c r="AT76" s="372"/>
      <c r="AU76" s="372"/>
      <c r="AV76" s="372"/>
      <c r="AW76" s="372"/>
      <c r="AX76" s="372"/>
      <c r="AY76" s="372"/>
      <c r="AZ76" s="372"/>
      <c r="BA76" s="372"/>
      <c r="BB76" s="372"/>
      <c r="BC76" s="372"/>
      <c r="BD76" s="372"/>
      <c r="BE76" s="372"/>
    </row>
    <row r="77" spans="1:57" ht="16.25" customHeight="1" x14ac:dyDescent="0.2">
      <c r="A77" s="83"/>
      <c r="B77" s="103"/>
      <c r="C77" s="83"/>
      <c r="D77" s="83"/>
      <c r="E77" s="83"/>
      <c r="F77" s="83"/>
      <c r="G77" s="104"/>
      <c r="H77" s="103"/>
      <c r="I77" s="83"/>
      <c r="J77" s="83"/>
      <c r="K77" s="83"/>
      <c r="L77" s="83"/>
      <c r="M77" s="83"/>
      <c r="N77" s="104"/>
      <c r="O77" s="162"/>
      <c r="P77" s="371"/>
      <c r="Q77" s="371"/>
      <c r="R77" s="371"/>
      <c r="S77" s="371"/>
      <c r="T77" s="215"/>
      <c r="U77" s="215"/>
      <c r="V77" s="215"/>
      <c r="W77" s="215"/>
      <c r="X77" s="215"/>
      <c r="Y77" s="215"/>
      <c r="Z77" s="215"/>
      <c r="AA77" s="215"/>
      <c r="AB77" s="215"/>
      <c r="AC77" s="215"/>
      <c r="AD77" s="215"/>
      <c r="AE77" s="215"/>
      <c r="AF77" s="215"/>
      <c r="AG77" s="215"/>
      <c r="AH77" s="215"/>
      <c r="AI77" s="215"/>
      <c r="AJ77" s="215"/>
      <c r="AK77" s="215"/>
      <c r="AL77" s="215"/>
      <c r="AM77" s="215"/>
      <c r="AN77" s="215"/>
      <c r="AO77" s="215"/>
      <c r="AP77" s="215"/>
      <c r="AQ77" s="215"/>
      <c r="AR77" s="371"/>
      <c r="AS77" s="372"/>
      <c r="AT77" s="372"/>
      <c r="AU77" s="372"/>
      <c r="AV77" s="372"/>
      <c r="AW77" s="372"/>
      <c r="AX77" s="372"/>
      <c r="AY77" s="372"/>
      <c r="AZ77" s="372"/>
      <c r="BA77" s="372"/>
      <c r="BB77" s="372"/>
      <c r="BC77" s="372"/>
      <c r="BD77" s="372"/>
      <c r="BE77" s="372"/>
    </row>
    <row r="78" spans="1:57" ht="16.25" customHeight="1" x14ac:dyDescent="0.2">
      <c r="A78" s="83"/>
      <c r="B78" s="103"/>
      <c r="C78" s="83"/>
      <c r="D78" s="83"/>
      <c r="E78" s="83"/>
      <c r="F78" s="83"/>
      <c r="G78" s="104"/>
      <c r="H78" s="103"/>
      <c r="I78" s="83"/>
      <c r="J78" s="83"/>
      <c r="K78" s="83"/>
      <c r="L78" s="83"/>
      <c r="M78" s="83"/>
      <c r="N78" s="104"/>
      <c r="O78" s="162"/>
      <c r="P78" s="371"/>
      <c r="Q78" s="371"/>
      <c r="R78" s="371"/>
      <c r="S78" s="371"/>
      <c r="T78" s="215"/>
      <c r="U78" s="215"/>
      <c r="V78" s="215"/>
      <c r="W78" s="215"/>
      <c r="X78" s="215"/>
      <c r="Y78" s="215"/>
      <c r="Z78" s="215"/>
      <c r="AA78" s="215"/>
      <c r="AB78" s="215"/>
      <c r="AC78" s="215"/>
      <c r="AD78" s="215"/>
      <c r="AE78" s="215"/>
      <c r="AF78" s="215"/>
      <c r="AG78" s="215"/>
      <c r="AH78" s="215"/>
      <c r="AI78" s="215"/>
      <c r="AJ78" s="215"/>
      <c r="AK78" s="215"/>
      <c r="AL78" s="215"/>
      <c r="AM78" s="215"/>
      <c r="AN78" s="215"/>
      <c r="AO78" s="215"/>
      <c r="AP78" s="215"/>
      <c r="AQ78" s="215"/>
      <c r="AR78" s="371"/>
      <c r="AS78" s="372"/>
      <c r="AT78" s="372"/>
      <c r="AU78" s="372"/>
      <c r="AV78" s="372"/>
      <c r="AW78" s="372"/>
      <c r="AX78" s="372"/>
      <c r="AY78" s="372"/>
      <c r="AZ78" s="372"/>
      <c r="BA78" s="372"/>
      <c r="BB78" s="372"/>
      <c r="BC78" s="372"/>
      <c r="BD78" s="372"/>
      <c r="BE78" s="372"/>
    </row>
    <row r="79" spans="1:57" ht="16.25" customHeight="1" x14ac:dyDescent="0.2">
      <c r="A79" s="83"/>
      <c r="B79" s="103"/>
      <c r="C79" s="83"/>
      <c r="D79" s="83"/>
      <c r="E79" s="83"/>
      <c r="F79" s="83"/>
      <c r="G79" s="104"/>
      <c r="H79" s="103"/>
      <c r="I79" s="83"/>
      <c r="J79" s="83"/>
      <c r="K79" s="83"/>
      <c r="L79" s="83"/>
      <c r="M79" s="83"/>
      <c r="N79" s="104"/>
      <c r="O79" s="162"/>
      <c r="P79" s="371"/>
      <c r="Q79" s="371"/>
      <c r="R79" s="371"/>
      <c r="S79" s="371"/>
      <c r="T79" s="215"/>
      <c r="U79" s="215"/>
      <c r="V79" s="215"/>
      <c r="W79" s="215"/>
      <c r="X79" s="215"/>
      <c r="Y79" s="215"/>
      <c r="Z79" s="215"/>
      <c r="AA79" s="215"/>
      <c r="AB79" s="215"/>
      <c r="AC79" s="215"/>
      <c r="AD79" s="215"/>
      <c r="AE79" s="215"/>
      <c r="AF79" s="215"/>
      <c r="AG79" s="215"/>
      <c r="AH79" s="215"/>
      <c r="AI79" s="215"/>
      <c r="AJ79" s="215"/>
      <c r="AK79" s="215"/>
      <c r="AL79" s="215"/>
      <c r="AM79" s="215"/>
      <c r="AN79" s="215"/>
      <c r="AO79" s="215"/>
      <c r="AP79" s="215"/>
      <c r="AQ79" s="215"/>
      <c r="AR79" s="371"/>
      <c r="AS79" s="372"/>
      <c r="AT79" s="372"/>
      <c r="AU79" s="372"/>
      <c r="AV79" s="372"/>
      <c r="AW79" s="372"/>
      <c r="AX79" s="372"/>
      <c r="AY79" s="372"/>
      <c r="AZ79" s="372"/>
      <c r="BA79" s="372"/>
      <c r="BB79" s="372"/>
      <c r="BC79" s="372"/>
      <c r="BD79" s="372"/>
      <c r="BE79" s="372"/>
    </row>
    <row r="80" spans="1:57" ht="16.25" customHeight="1" x14ac:dyDescent="0.2">
      <c r="A80" s="83"/>
      <c r="B80" s="103"/>
      <c r="C80" s="83"/>
      <c r="D80" s="83"/>
      <c r="E80" s="83"/>
      <c r="F80" s="83"/>
      <c r="G80" s="104"/>
      <c r="H80" s="103"/>
      <c r="I80" s="83"/>
      <c r="J80" s="83"/>
      <c r="K80" s="83"/>
      <c r="L80" s="83"/>
      <c r="M80" s="83"/>
      <c r="N80" s="104"/>
      <c r="O80" s="162"/>
      <c r="P80" s="371"/>
      <c r="Q80" s="371"/>
      <c r="R80" s="371"/>
      <c r="S80" s="371"/>
      <c r="T80" s="215"/>
      <c r="U80" s="215"/>
      <c r="V80" s="215"/>
      <c r="W80" s="215"/>
      <c r="X80" s="215"/>
      <c r="Y80" s="215"/>
      <c r="Z80" s="215"/>
      <c r="AA80" s="215"/>
      <c r="AB80" s="215"/>
      <c r="AC80" s="215"/>
      <c r="AD80" s="215"/>
      <c r="AE80" s="215"/>
      <c r="AF80" s="215"/>
      <c r="AG80" s="215"/>
      <c r="AH80" s="215"/>
      <c r="AI80" s="215"/>
      <c r="AJ80" s="215"/>
      <c r="AK80" s="215"/>
      <c r="AL80" s="215"/>
      <c r="AM80" s="215"/>
      <c r="AN80" s="215"/>
      <c r="AO80" s="215"/>
      <c r="AP80" s="215"/>
      <c r="AQ80" s="215"/>
      <c r="AR80" s="371"/>
      <c r="AS80" s="372"/>
      <c r="AT80" s="372"/>
      <c r="AU80" s="372"/>
      <c r="AV80" s="372"/>
      <c r="AW80" s="372"/>
      <c r="AX80" s="372"/>
      <c r="AY80" s="372"/>
      <c r="AZ80" s="372"/>
      <c r="BA80" s="372"/>
      <c r="BB80" s="372"/>
      <c r="BC80" s="372"/>
      <c r="BD80" s="372"/>
      <c r="BE80" s="372"/>
    </row>
    <row r="81" spans="1:57" ht="16.25" customHeight="1" x14ac:dyDescent="0.2">
      <c r="A81" s="83"/>
      <c r="B81" s="933" t="s">
        <v>281</v>
      </c>
      <c r="C81" s="934"/>
      <c r="D81" s="934"/>
      <c r="E81" s="934"/>
      <c r="F81" s="934"/>
      <c r="G81" s="935"/>
      <c r="H81" s="116" t="s">
        <v>252</v>
      </c>
      <c r="I81" s="117" t="s">
        <v>2</v>
      </c>
      <c r="J81" s="939" t="s">
        <v>82</v>
      </c>
      <c r="K81" s="940"/>
      <c r="L81" s="940"/>
      <c r="M81" s="940"/>
      <c r="N81" s="941"/>
      <c r="O81" s="162"/>
      <c r="P81" s="371"/>
      <c r="Q81" s="371"/>
      <c r="R81" s="371"/>
      <c r="S81" s="371"/>
      <c r="T81" s="215"/>
      <c r="U81" s="215"/>
      <c r="V81" s="215"/>
      <c r="W81" s="215"/>
      <c r="X81" s="215"/>
      <c r="Y81" s="215"/>
      <c r="Z81" s="215"/>
      <c r="AA81" s="215"/>
      <c r="AB81" s="215"/>
      <c r="AC81" s="215"/>
      <c r="AD81" s="215"/>
      <c r="AE81" s="215"/>
      <c r="AF81" s="215"/>
      <c r="AG81" s="215"/>
      <c r="AH81" s="215"/>
      <c r="AI81" s="215"/>
      <c r="AJ81" s="215"/>
      <c r="AK81" s="215"/>
      <c r="AL81" s="215"/>
      <c r="AM81" s="215"/>
      <c r="AN81" s="215"/>
      <c r="AO81" s="215"/>
      <c r="AP81" s="215"/>
      <c r="AQ81" s="215"/>
      <c r="AR81" s="371"/>
      <c r="AS81" s="372"/>
      <c r="AT81" s="372"/>
      <c r="AU81" s="372"/>
      <c r="AV81" s="372"/>
      <c r="AW81" s="372"/>
      <c r="AX81" s="372"/>
      <c r="AY81" s="372"/>
      <c r="AZ81" s="372"/>
      <c r="BA81" s="372"/>
      <c r="BB81" s="372"/>
      <c r="BC81" s="372"/>
      <c r="BD81" s="372"/>
      <c r="BE81" s="372"/>
    </row>
    <row r="82" spans="1:57" ht="16.25" customHeight="1" x14ac:dyDescent="0.2">
      <c r="A82" s="83"/>
      <c r="B82" s="936"/>
      <c r="C82" s="937"/>
      <c r="D82" s="937"/>
      <c r="E82" s="937"/>
      <c r="F82" s="937"/>
      <c r="G82" s="938"/>
      <c r="H82" s="493"/>
      <c r="I82" s="110"/>
      <c r="J82" s="988"/>
      <c r="K82" s="989"/>
      <c r="L82" s="989"/>
      <c r="M82" s="989"/>
      <c r="N82" s="990"/>
      <c r="O82" s="83"/>
      <c r="P82" s="215"/>
      <c r="Q82" s="215"/>
      <c r="R82" s="215"/>
      <c r="S82" s="215"/>
      <c r="T82" s="215"/>
      <c r="U82" s="215"/>
      <c r="V82" s="215"/>
      <c r="W82" s="215"/>
      <c r="X82" s="215"/>
      <c r="Y82" s="215"/>
      <c r="Z82" s="215"/>
      <c r="AA82" s="215"/>
      <c r="AB82" s="215"/>
      <c r="AC82" s="215"/>
      <c r="AD82" s="215"/>
      <c r="AE82" s="215"/>
      <c r="AF82" s="215"/>
      <c r="AG82" s="215"/>
      <c r="AH82" s="215"/>
      <c r="AI82" s="215"/>
      <c r="AJ82" s="215"/>
      <c r="AK82" s="215"/>
      <c r="AL82" s="215"/>
      <c r="AM82" s="215"/>
      <c r="AN82" s="215"/>
      <c r="AO82" s="215"/>
      <c r="AP82" s="215"/>
      <c r="AQ82" s="215"/>
      <c r="AR82" s="371"/>
      <c r="AS82" s="372"/>
      <c r="AT82" s="372"/>
      <c r="AU82" s="372"/>
      <c r="AV82" s="372"/>
      <c r="AW82" s="372"/>
      <c r="AX82" s="372"/>
      <c r="AY82" s="372"/>
      <c r="AZ82" s="372"/>
      <c r="BA82" s="372"/>
      <c r="BB82" s="372"/>
      <c r="BC82" s="372"/>
      <c r="BD82" s="372"/>
      <c r="BE82" s="372"/>
    </row>
    <row r="83" spans="1:57" ht="16.25" customHeight="1" x14ac:dyDescent="0.2">
      <c r="A83" s="83"/>
      <c r="B83" s="83"/>
      <c r="C83" s="83"/>
      <c r="D83" s="83"/>
      <c r="E83" s="83"/>
      <c r="F83" s="83"/>
      <c r="G83" s="83"/>
      <c r="H83" s="83"/>
      <c r="I83" s="83"/>
      <c r="J83" s="83"/>
      <c r="K83" s="83"/>
      <c r="L83" s="83"/>
      <c r="M83" s="162"/>
      <c r="N83" s="165"/>
      <c r="O83" s="83"/>
      <c r="P83" s="215"/>
      <c r="Q83" s="215"/>
      <c r="R83" s="215"/>
      <c r="S83" s="215"/>
      <c r="T83" s="215"/>
      <c r="U83" s="215"/>
      <c r="V83" s="215"/>
      <c r="W83" s="215"/>
      <c r="X83" s="215"/>
      <c r="Y83" s="215"/>
      <c r="Z83" s="215"/>
      <c r="AA83" s="215"/>
      <c r="AB83" s="215"/>
      <c r="AC83" s="215"/>
      <c r="AD83" s="215"/>
      <c r="AE83" s="215"/>
      <c r="AF83" s="215"/>
      <c r="AG83" s="215"/>
      <c r="AH83" s="215"/>
      <c r="AI83" s="215"/>
      <c r="AJ83" s="215"/>
      <c r="AK83" s="215"/>
      <c r="AL83" s="215"/>
      <c r="AM83" s="215"/>
      <c r="AN83" s="215"/>
      <c r="AO83" s="215"/>
      <c r="AP83" s="215"/>
      <c r="AQ83" s="215"/>
      <c r="AR83" s="371"/>
      <c r="AS83" s="372"/>
      <c r="AT83" s="372"/>
      <c r="AU83" s="372"/>
      <c r="AV83" s="372"/>
      <c r="AW83" s="372"/>
      <c r="AX83" s="372"/>
      <c r="AY83" s="372"/>
      <c r="AZ83" s="372"/>
      <c r="BA83" s="372"/>
      <c r="BB83" s="372"/>
      <c r="BC83" s="372"/>
      <c r="BD83" s="372"/>
      <c r="BE83" s="372"/>
    </row>
    <row r="84" spans="1:57" x14ac:dyDescent="0.2">
      <c r="A84" s="83"/>
      <c r="B84" s="83"/>
      <c r="C84" s="83"/>
      <c r="D84" s="83"/>
      <c r="E84" s="83"/>
      <c r="F84" s="83"/>
      <c r="G84" s="83"/>
      <c r="H84" s="83"/>
      <c r="I84" s="83"/>
      <c r="J84" s="83"/>
      <c r="K84" s="83"/>
      <c r="L84" s="83"/>
      <c r="M84" s="162"/>
      <c r="N84" s="165"/>
      <c r="O84" s="83"/>
      <c r="P84" s="215"/>
      <c r="Q84" s="215"/>
      <c r="R84" s="215"/>
      <c r="S84" s="215"/>
      <c r="T84" s="215"/>
      <c r="U84" s="215"/>
      <c r="V84" s="215"/>
      <c r="W84" s="215"/>
      <c r="X84" s="215"/>
      <c r="Y84" s="215"/>
      <c r="Z84" s="215"/>
      <c r="AA84" s="215"/>
      <c r="AB84" s="215"/>
      <c r="AC84" s="215"/>
      <c r="AD84" s="215"/>
      <c r="AE84" s="215"/>
      <c r="AF84" s="215"/>
      <c r="AG84" s="215"/>
      <c r="AH84" s="215"/>
      <c r="AI84" s="215"/>
      <c r="AJ84" s="215"/>
      <c r="AK84" s="215"/>
      <c r="AL84" s="215"/>
      <c r="AM84" s="215"/>
      <c r="AN84" s="215"/>
      <c r="AO84" s="215"/>
      <c r="AP84" s="215"/>
      <c r="AQ84" s="215"/>
      <c r="AR84" s="371"/>
      <c r="AS84" s="372"/>
      <c r="AT84" s="372"/>
      <c r="AU84" s="372"/>
      <c r="AV84" s="372"/>
      <c r="AW84" s="372"/>
      <c r="AX84" s="372"/>
      <c r="AY84" s="372"/>
      <c r="AZ84" s="372"/>
      <c r="BA84" s="372"/>
      <c r="BB84" s="372"/>
      <c r="BC84" s="372"/>
      <c r="BD84" s="372"/>
      <c r="BE84" s="372"/>
    </row>
    <row r="85" spans="1:57" x14ac:dyDescent="0.2">
      <c r="P85" s="372"/>
      <c r="Q85" s="372"/>
      <c r="R85" s="372"/>
      <c r="S85" s="372"/>
      <c r="T85" s="372"/>
      <c r="U85" s="372"/>
      <c r="V85" s="372"/>
      <c r="W85" s="372"/>
      <c r="X85" s="372"/>
      <c r="Y85" s="372"/>
      <c r="Z85" s="372"/>
      <c r="AA85" s="372"/>
      <c r="AB85" s="372"/>
      <c r="AC85" s="372"/>
      <c r="AD85" s="372"/>
      <c r="AE85" s="372"/>
      <c r="AF85" s="372"/>
      <c r="AG85" s="372"/>
      <c r="AH85" s="372"/>
      <c r="AI85" s="372"/>
      <c r="AJ85" s="372"/>
      <c r="AK85" s="372"/>
      <c r="AL85" s="372"/>
      <c r="AM85" s="372"/>
      <c r="AN85" s="372"/>
      <c r="AO85" s="372"/>
      <c r="AP85" s="372"/>
      <c r="AS85" s="372"/>
      <c r="AT85" s="372"/>
      <c r="AU85" s="372"/>
      <c r="AV85" s="372"/>
      <c r="AW85" s="372"/>
      <c r="AX85" s="372"/>
      <c r="AY85" s="372"/>
      <c r="AZ85" s="372"/>
      <c r="BA85" s="372"/>
      <c r="BB85" s="372"/>
      <c r="BC85" s="372"/>
      <c r="BD85" s="372"/>
      <c r="BE85" s="372"/>
    </row>
    <row r="86" spans="1:57" x14ac:dyDescent="0.2">
      <c r="P86" s="372"/>
      <c r="Q86" s="372"/>
      <c r="R86" s="372"/>
      <c r="S86" s="372"/>
      <c r="T86" s="372"/>
      <c r="U86" s="372"/>
      <c r="V86" s="372"/>
      <c r="W86" s="372"/>
      <c r="X86" s="372"/>
      <c r="Y86" s="372"/>
      <c r="Z86" s="372"/>
      <c r="AA86" s="372"/>
      <c r="AB86" s="372"/>
      <c r="AC86" s="372"/>
      <c r="AD86" s="372"/>
      <c r="AE86" s="372"/>
      <c r="AF86" s="372"/>
      <c r="AG86" s="372"/>
      <c r="AH86" s="372"/>
      <c r="AI86" s="372"/>
      <c r="AJ86" s="372"/>
      <c r="AK86" s="372"/>
      <c r="AL86" s="372"/>
      <c r="AM86" s="372"/>
      <c r="AN86" s="372"/>
      <c r="AO86" s="372"/>
      <c r="AP86" s="372"/>
      <c r="AS86" s="372"/>
      <c r="AT86" s="372"/>
      <c r="AU86" s="372"/>
      <c r="AV86" s="372"/>
      <c r="AW86" s="372"/>
      <c r="AX86" s="372"/>
      <c r="AY86" s="372"/>
      <c r="AZ86" s="372"/>
      <c r="BA86" s="372"/>
      <c r="BB86" s="372"/>
      <c r="BC86" s="372"/>
      <c r="BD86" s="372"/>
      <c r="BE86" s="372"/>
    </row>
    <row r="87" spans="1:57" x14ac:dyDescent="0.2">
      <c r="P87" s="372"/>
      <c r="Q87" s="372"/>
      <c r="R87" s="372"/>
      <c r="S87" s="372"/>
      <c r="T87" s="372"/>
      <c r="U87" s="372"/>
      <c r="V87" s="372"/>
      <c r="W87" s="372"/>
      <c r="X87" s="372"/>
      <c r="Y87" s="372"/>
      <c r="Z87" s="372"/>
      <c r="AA87" s="372"/>
      <c r="AB87" s="372"/>
      <c r="AC87" s="372"/>
      <c r="AD87" s="372"/>
      <c r="AE87" s="372"/>
      <c r="AF87" s="372"/>
      <c r="AG87" s="372"/>
      <c r="AH87" s="372"/>
      <c r="AI87" s="372"/>
      <c r="AJ87" s="372"/>
      <c r="AK87" s="372"/>
      <c r="AL87" s="372"/>
      <c r="AM87" s="372"/>
      <c r="AN87" s="372"/>
      <c r="AO87" s="372"/>
      <c r="AP87" s="372"/>
      <c r="AS87" s="372"/>
      <c r="AT87" s="372"/>
      <c r="AU87" s="372"/>
      <c r="AV87" s="372"/>
      <c r="AW87" s="372"/>
      <c r="AX87" s="372"/>
      <c r="AY87" s="372"/>
      <c r="AZ87" s="372"/>
      <c r="BA87" s="372"/>
      <c r="BB87" s="372"/>
      <c r="BC87" s="372"/>
      <c r="BD87" s="372"/>
      <c r="BE87" s="372"/>
    </row>
    <row r="88" spans="1:57" x14ac:dyDescent="0.2">
      <c r="P88" s="372"/>
      <c r="Q88" s="372"/>
      <c r="R88" s="372"/>
      <c r="S88" s="372"/>
      <c r="T88" s="372"/>
      <c r="U88" s="372"/>
      <c r="V88" s="372"/>
      <c r="W88" s="372"/>
      <c r="X88" s="372"/>
      <c r="Y88" s="372"/>
      <c r="Z88" s="372"/>
      <c r="AA88" s="372"/>
      <c r="AB88" s="372"/>
      <c r="AC88" s="372"/>
      <c r="AD88" s="372"/>
      <c r="AE88" s="372"/>
      <c r="AF88" s="372"/>
      <c r="AG88" s="372"/>
      <c r="AH88" s="372"/>
      <c r="AI88" s="372"/>
      <c r="AJ88" s="372"/>
      <c r="AK88" s="372"/>
      <c r="AL88" s="372"/>
      <c r="AM88" s="372"/>
      <c r="AN88" s="372"/>
      <c r="AO88" s="372"/>
      <c r="AP88" s="372"/>
      <c r="AS88" s="372"/>
      <c r="AT88" s="372"/>
      <c r="AU88" s="372"/>
      <c r="AV88" s="372"/>
      <c r="AW88" s="372"/>
      <c r="AX88" s="372"/>
      <c r="AY88" s="372"/>
      <c r="AZ88" s="372"/>
      <c r="BA88" s="372"/>
      <c r="BB88" s="372"/>
      <c r="BC88" s="372"/>
      <c r="BD88" s="372"/>
      <c r="BE88" s="372"/>
    </row>
    <row r="89" spans="1:57" x14ac:dyDescent="0.2">
      <c r="P89" s="372"/>
      <c r="Q89" s="372"/>
      <c r="R89" s="372"/>
      <c r="S89" s="372"/>
      <c r="T89" s="372"/>
      <c r="U89" s="372"/>
      <c r="V89" s="372"/>
      <c r="W89" s="372"/>
      <c r="X89" s="372"/>
      <c r="Y89" s="372"/>
      <c r="Z89" s="372"/>
      <c r="AA89" s="372"/>
      <c r="AB89" s="372"/>
      <c r="AC89" s="372"/>
      <c r="AD89" s="372"/>
      <c r="AE89" s="372"/>
      <c r="AF89" s="372"/>
      <c r="AG89" s="372"/>
      <c r="AH89" s="372"/>
      <c r="AI89" s="372"/>
      <c r="AJ89" s="372"/>
      <c r="AK89" s="372"/>
      <c r="AL89" s="372"/>
      <c r="AM89" s="372"/>
      <c r="AN89" s="372"/>
      <c r="AO89" s="372"/>
      <c r="AP89" s="372"/>
      <c r="AS89" s="372"/>
      <c r="AT89" s="372"/>
      <c r="AU89" s="372"/>
      <c r="AV89" s="372"/>
      <c r="AW89" s="372"/>
      <c r="AX89" s="372"/>
      <c r="AY89" s="372"/>
      <c r="AZ89" s="372"/>
      <c r="BA89" s="372"/>
      <c r="BB89" s="372"/>
      <c r="BC89" s="372"/>
      <c r="BD89" s="372"/>
      <c r="BE89" s="372"/>
    </row>
    <row r="90" spans="1:57" x14ac:dyDescent="0.2">
      <c r="P90" s="372"/>
      <c r="Q90" s="372"/>
      <c r="R90" s="372"/>
      <c r="S90" s="372"/>
      <c r="T90" s="372"/>
      <c r="U90" s="372"/>
      <c r="V90" s="372"/>
      <c r="W90" s="372"/>
      <c r="X90" s="372"/>
      <c r="Y90" s="372"/>
      <c r="Z90" s="372"/>
      <c r="AA90" s="372"/>
      <c r="AB90" s="372"/>
      <c r="AC90" s="372"/>
      <c r="AD90" s="372"/>
      <c r="AE90" s="372"/>
      <c r="AF90" s="372"/>
      <c r="AG90" s="372"/>
      <c r="AH90" s="372"/>
      <c r="AI90" s="372"/>
      <c r="AJ90" s="372"/>
      <c r="AK90" s="372"/>
      <c r="AL90" s="372"/>
      <c r="AM90" s="372"/>
      <c r="AN90" s="372"/>
      <c r="AO90" s="372"/>
      <c r="AP90" s="372"/>
      <c r="AS90" s="372"/>
      <c r="AT90" s="372"/>
      <c r="AU90" s="372"/>
      <c r="AV90" s="372"/>
      <c r="AW90" s="372"/>
      <c r="AX90" s="372"/>
      <c r="AY90" s="372"/>
      <c r="AZ90" s="372"/>
      <c r="BA90" s="372"/>
      <c r="BB90" s="372"/>
      <c r="BC90" s="372"/>
      <c r="BD90" s="372"/>
      <c r="BE90" s="372"/>
    </row>
    <row r="91" spans="1:57" x14ac:dyDescent="0.2">
      <c r="P91" s="372"/>
      <c r="Q91" s="372"/>
      <c r="R91" s="372"/>
      <c r="S91" s="372"/>
      <c r="T91" s="372"/>
      <c r="U91" s="372"/>
      <c r="V91" s="372"/>
      <c r="W91" s="372"/>
      <c r="X91" s="372"/>
      <c r="Y91" s="372"/>
      <c r="Z91" s="372"/>
      <c r="AA91" s="372"/>
      <c r="AB91" s="372"/>
      <c r="AC91" s="372"/>
      <c r="AD91" s="372"/>
      <c r="AE91" s="372"/>
      <c r="AF91" s="372"/>
      <c r="AG91" s="372"/>
      <c r="AH91" s="372"/>
      <c r="AI91" s="372"/>
      <c r="AJ91" s="372"/>
      <c r="AK91" s="372"/>
      <c r="AL91" s="372"/>
      <c r="AM91" s="372"/>
      <c r="AN91" s="372"/>
      <c r="AO91" s="372"/>
      <c r="AP91" s="372"/>
      <c r="AS91" s="372"/>
      <c r="AT91" s="372"/>
      <c r="AU91" s="372"/>
      <c r="AV91" s="372"/>
      <c r="AW91" s="372"/>
      <c r="AX91" s="372"/>
      <c r="AY91" s="372"/>
      <c r="AZ91" s="372"/>
      <c r="BA91" s="372"/>
      <c r="BB91" s="372"/>
      <c r="BC91" s="372"/>
      <c r="BD91" s="372"/>
      <c r="BE91" s="372"/>
    </row>
    <row r="92" spans="1:57" x14ac:dyDescent="0.2">
      <c r="P92" s="372"/>
      <c r="Q92" s="372"/>
      <c r="R92" s="372"/>
      <c r="S92" s="372"/>
      <c r="T92" s="372"/>
      <c r="U92" s="372"/>
      <c r="V92" s="372"/>
      <c r="W92" s="372"/>
      <c r="X92" s="372"/>
      <c r="Y92" s="372"/>
      <c r="Z92" s="372"/>
      <c r="AA92" s="372"/>
      <c r="AB92" s="372"/>
      <c r="AC92" s="372"/>
      <c r="AD92" s="372"/>
      <c r="AE92" s="372"/>
      <c r="AF92" s="372"/>
      <c r="AG92" s="372"/>
      <c r="AH92" s="372"/>
      <c r="AI92" s="372"/>
      <c r="AJ92" s="372"/>
      <c r="AK92" s="372"/>
      <c r="AL92" s="372"/>
      <c r="AM92" s="372"/>
      <c r="AN92" s="372"/>
      <c r="AO92" s="372"/>
      <c r="AP92" s="372"/>
      <c r="AS92" s="372"/>
      <c r="AT92" s="372"/>
      <c r="AU92" s="372"/>
      <c r="AV92" s="372"/>
      <c r="AW92" s="372"/>
      <c r="AX92" s="372"/>
      <c r="AY92" s="372"/>
      <c r="AZ92" s="372"/>
      <c r="BA92" s="372"/>
      <c r="BB92" s="372"/>
      <c r="BC92" s="372"/>
      <c r="BD92" s="372"/>
      <c r="BE92" s="372"/>
    </row>
    <row r="93" spans="1:57" x14ac:dyDescent="0.2">
      <c r="P93" s="372"/>
      <c r="Q93" s="372"/>
      <c r="R93" s="372"/>
      <c r="S93" s="372"/>
      <c r="T93" s="372"/>
      <c r="U93" s="372"/>
      <c r="V93" s="372"/>
      <c r="W93" s="372"/>
      <c r="X93" s="372"/>
      <c r="Y93" s="372"/>
      <c r="Z93" s="372"/>
      <c r="AA93" s="372"/>
      <c r="AB93" s="372"/>
      <c r="AC93" s="372"/>
      <c r="AD93" s="372"/>
      <c r="AE93" s="372"/>
      <c r="AF93" s="372"/>
      <c r="AG93" s="372"/>
      <c r="AH93" s="372"/>
      <c r="AI93" s="372"/>
      <c r="AJ93" s="372"/>
      <c r="AK93" s="372"/>
      <c r="AL93" s="372"/>
      <c r="AM93" s="372"/>
      <c r="AN93" s="372"/>
      <c r="AO93" s="372"/>
      <c r="AP93" s="372"/>
      <c r="AS93" s="372"/>
      <c r="AT93" s="372"/>
      <c r="AU93" s="372"/>
      <c r="AV93" s="372"/>
      <c r="AW93" s="372"/>
      <c r="AX93" s="372"/>
      <c r="AY93" s="372"/>
      <c r="AZ93" s="372"/>
      <c r="BA93" s="372"/>
      <c r="BB93" s="372"/>
      <c r="BC93" s="372"/>
      <c r="BD93" s="372"/>
      <c r="BE93" s="372"/>
    </row>
    <row r="94" spans="1:57" x14ac:dyDescent="0.2">
      <c r="P94" s="372"/>
      <c r="Q94" s="372"/>
      <c r="R94" s="372"/>
      <c r="S94" s="372"/>
      <c r="T94" s="372"/>
      <c r="U94" s="372"/>
      <c r="V94" s="372"/>
      <c r="W94" s="372"/>
      <c r="X94" s="372"/>
      <c r="Y94" s="372"/>
      <c r="Z94" s="372"/>
      <c r="AA94" s="372"/>
      <c r="AB94" s="372"/>
      <c r="AC94" s="372"/>
      <c r="AD94" s="372"/>
      <c r="AE94" s="372"/>
      <c r="AF94" s="372"/>
      <c r="AG94" s="372"/>
      <c r="AH94" s="372"/>
      <c r="AI94" s="372"/>
      <c r="AJ94" s="372"/>
      <c r="AK94" s="372"/>
      <c r="AL94" s="372"/>
      <c r="AM94" s="372"/>
      <c r="AN94" s="372"/>
      <c r="AO94" s="372"/>
      <c r="AP94" s="372"/>
      <c r="AS94" s="372"/>
      <c r="AT94" s="372"/>
      <c r="AU94" s="372"/>
      <c r="AV94" s="372"/>
      <c r="AW94" s="372"/>
      <c r="AX94" s="372"/>
      <c r="AY94" s="372"/>
      <c r="AZ94" s="372"/>
      <c r="BA94" s="372"/>
      <c r="BB94" s="372"/>
      <c r="BC94" s="372"/>
      <c r="BD94" s="372"/>
      <c r="BE94" s="372"/>
    </row>
    <row r="95" spans="1:57" x14ac:dyDescent="0.2">
      <c r="P95" s="372"/>
      <c r="Q95" s="372"/>
      <c r="R95" s="372"/>
      <c r="S95" s="372"/>
      <c r="T95" s="372"/>
      <c r="U95" s="372"/>
      <c r="V95" s="372"/>
      <c r="W95" s="372"/>
      <c r="X95" s="372"/>
      <c r="Y95" s="372"/>
      <c r="Z95" s="372"/>
      <c r="AA95" s="372"/>
      <c r="AB95" s="372"/>
      <c r="AC95" s="372"/>
      <c r="AD95" s="372"/>
      <c r="AE95" s="372"/>
      <c r="AF95" s="372"/>
      <c r="AG95" s="372"/>
      <c r="AH95" s="372"/>
      <c r="AI95" s="372"/>
      <c r="AJ95" s="372"/>
      <c r="AK95" s="372"/>
      <c r="AL95" s="372"/>
      <c r="AM95" s="372"/>
      <c r="AN95" s="372"/>
      <c r="AO95" s="372"/>
      <c r="AP95" s="372"/>
      <c r="AS95" s="372"/>
      <c r="AT95" s="372"/>
      <c r="AU95" s="372"/>
      <c r="AV95" s="372"/>
      <c r="AW95" s="372"/>
      <c r="AX95" s="372"/>
      <c r="AY95" s="372"/>
      <c r="AZ95" s="372"/>
      <c r="BA95" s="372"/>
      <c r="BB95" s="372"/>
      <c r="BC95" s="372"/>
      <c r="BD95" s="372"/>
      <c r="BE95" s="372"/>
    </row>
    <row r="96" spans="1:57" x14ac:dyDescent="0.2">
      <c r="P96" s="372"/>
      <c r="Q96" s="372"/>
      <c r="R96" s="372"/>
      <c r="S96" s="372"/>
      <c r="T96" s="372"/>
      <c r="U96" s="372"/>
      <c r="V96" s="372"/>
      <c r="W96" s="372"/>
      <c r="X96" s="372"/>
      <c r="Y96" s="372"/>
      <c r="Z96" s="372"/>
      <c r="AA96" s="372"/>
      <c r="AB96" s="372"/>
      <c r="AC96" s="372"/>
      <c r="AD96" s="372"/>
      <c r="AE96" s="372"/>
      <c r="AF96" s="372"/>
      <c r="AG96" s="372"/>
      <c r="AH96" s="372"/>
      <c r="AI96" s="372"/>
      <c r="AJ96" s="372"/>
      <c r="AK96" s="372"/>
      <c r="AL96" s="372"/>
      <c r="AM96" s="372"/>
      <c r="AN96" s="372"/>
      <c r="AO96" s="372"/>
      <c r="AP96" s="372"/>
      <c r="AS96" s="372"/>
      <c r="AT96" s="372"/>
      <c r="AU96" s="372"/>
      <c r="AV96" s="372"/>
      <c r="AW96" s="372"/>
      <c r="AX96" s="372"/>
      <c r="AY96" s="372"/>
      <c r="AZ96" s="372"/>
      <c r="BA96" s="372"/>
      <c r="BB96" s="372"/>
      <c r="BC96" s="372"/>
      <c r="BD96" s="372"/>
      <c r="BE96" s="372"/>
    </row>
    <row r="97" spans="16:57" x14ac:dyDescent="0.2">
      <c r="P97" s="372"/>
      <c r="Q97" s="372"/>
      <c r="R97" s="372"/>
      <c r="S97" s="372"/>
      <c r="T97" s="372"/>
      <c r="U97" s="372"/>
      <c r="V97" s="372"/>
      <c r="W97" s="372"/>
      <c r="X97" s="372"/>
      <c r="Y97" s="372"/>
      <c r="Z97" s="372"/>
      <c r="AA97" s="372"/>
      <c r="AB97" s="372"/>
      <c r="AC97" s="372"/>
      <c r="AD97" s="372"/>
      <c r="AE97" s="372"/>
      <c r="AF97" s="372"/>
      <c r="AG97" s="372"/>
      <c r="AH97" s="372"/>
      <c r="AI97" s="372"/>
      <c r="AJ97" s="372"/>
      <c r="AK97" s="372"/>
      <c r="AL97" s="372"/>
      <c r="AM97" s="372"/>
      <c r="AN97" s="372"/>
      <c r="AO97" s="372"/>
      <c r="AP97" s="372"/>
      <c r="AS97" s="372"/>
      <c r="AT97" s="372"/>
      <c r="AU97" s="372"/>
      <c r="AV97" s="372"/>
      <c r="AW97" s="372"/>
      <c r="AX97" s="372"/>
      <c r="AY97" s="372"/>
      <c r="AZ97" s="372"/>
      <c r="BA97" s="372"/>
      <c r="BB97" s="372"/>
      <c r="BC97" s="372"/>
      <c r="BD97" s="372"/>
      <c r="BE97" s="372"/>
    </row>
    <row r="98" spans="16:57" x14ac:dyDescent="0.2">
      <c r="P98" s="372"/>
      <c r="Q98" s="372"/>
      <c r="R98" s="372"/>
      <c r="S98" s="372"/>
      <c r="T98" s="372"/>
      <c r="U98" s="372"/>
      <c r="V98" s="372"/>
      <c r="W98" s="372"/>
      <c r="X98" s="372"/>
      <c r="Y98" s="372"/>
      <c r="Z98" s="372"/>
      <c r="AA98" s="372"/>
      <c r="AB98" s="372"/>
      <c r="AC98" s="372"/>
      <c r="AD98" s="372"/>
      <c r="AE98" s="372"/>
      <c r="AF98" s="372"/>
      <c r="AG98" s="372"/>
      <c r="AH98" s="372"/>
      <c r="AI98" s="372"/>
      <c r="AJ98" s="372"/>
      <c r="AK98" s="372"/>
      <c r="AL98" s="372"/>
      <c r="AM98" s="372"/>
      <c r="AN98" s="372"/>
      <c r="AO98" s="372"/>
      <c r="AP98" s="372"/>
      <c r="AS98" s="372"/>
      <c r="AT98" s="372"/>
      <c r="AU98" s="372"/>
      <c r="AV98" s="372"/>
      <c r="AW98" s="372"/>
      <c r="AX98" s="372"/>
      <c r="AY98" s="372"/>
      <c r="AZ98" s="372"/>
      <c r="BA98" s="372"/>
      <c r="BB98" s="372"/>
      <c r="BC98" s="372"/>
      <c r="BD98" s="372"/>
      <c r="BE98" s="372"/>
    </row>
    <row r="99" spans="16:57" x14ac:dyDescent="0.2">
      <c r="P99" s="372"/>
      <c r="Q99" s="372"/>
      <c r="R99" s="372"/>
      <c r="S99" s="372"/>
      <c r="T99" s="372"/>
      <c r="U99" s="372"/>
      <c r="V99" s="372"/>
      <c r="W99" s="372"/>
      <c r="X99" s="372"/>
      <c r="Y99" s="372"/>
      <c r="Z99" s="372"/>
      <c r="AA99" s="372"/>
      <c r="AB99" s="372"/>
      <c r="AC99" s="372"/>
      <c r="AD99" s="372"/>
      <c r="AE99" s="372"/>
      <c r="AF99" s="372"/>
      <c r="AG99" s="372"/>
      <c r="AH99" s="372"/>
      <c r="AI99" s="372"/>
      <c r="AJ99" s="372"/>
      <c r="AK99" s="372"/>
      <c r="AL99" s="372"/>
      <c r="AM99" s="372"/>
      <c r="AN99" s="372"/>
      <c r="AO99" s="372"/>
      <c r="AP99" s="372"/>
      <c r="AS99" s="372"/>
      <c r="AT99" s="372"/>
      <c r="AU99" s="372"/>
      <c r="AV99" s="372"/>
      <c r="AW99" s="372"/>
      <c r="AX99" s="372"/>
      <c r="AY99" s="372"/>
      <c r="AZ99" s="372"/>
      <c r="BA99" s="372"/>
      <c r="BB99" s="372"/>
      <c r="BC99" s="372"/>
      <c r="BD99" s="372"/>
      <c r="BE99" s="372"/>
    </row>
    <row r="100" spans="16:57" x14ac:dyDescent="0.2">
      <c r="P100" s="372"/>
      <c r="Q100" s="372"/>
      <c r="R100" s="372"/>
      <c r="S100" s="372"/>
      <c r="T100" s="372"/>
      <c r="U100" s="372"/>
      <c r="V100" s="372"/>
      <c r="W100" s="372"/>
      <c r="X100" s="372"/>
      <c r="Y100" s="372"/>
      <c r="Z100" s="372"/>
      <c r="AA100" s="372"/>
      <c r="AB100" s="372"/>
      <c r="AC100" s="372"/>
      <c r="AD100" s="372"/>
      <c r="AE100" s="372"/>
      <c r="AF100" s="372"/>
      <c r="AG100" s="372"/>
      <c r="AH100" s="372"/>
      <c r="AI100" s="372"/>
      <c r="AJ100" s="372"/>
      <c r="AK100" s="372"/>
      <c r="AL100" s="372"/>
      <c r="AM100" s="372"/>
      <c r="AN100" s="372"/>
      <c r="AO100" s="372"/>
      <c r="AP100" s="372"/>
      <c r="AS100" s="372"/>
      <c r="AT100" s="372"/>
      <c r="AU100" s="372"/>
      <c r="AV100" s="372"/>
      <c r="AW100" s="372"/>
      <c r="AX100" s="372"/>
      <c r="AY100" s="372"/>
      <c r="AZ100" s="372"/>
      <c r="BA100" s="372"/>
      <c r="BB100" s="372"/>
      <c r="BC100" s="372"/>
      <c r="BD100" s="372"/>
      <c r="BE100" s="372"/>
    </row>
    <row r="101" spans="16:57" x14ac:dyDescent="0.2">
      <c r="P101" s="372"/>
      <c r="Q101" s="372"/>
      <c r="R101" s="372"/>
      <c r="S101" s="372"/>
      <c r="T101" s="372"/>
      <c r="U101" s="372"/>
      <c r="V101" s="372"/>
      <c r="W101" s="372"/>
      <c r="X101" s="372"/>
      <c r="Y101" s="372"/>
      <c r="Z101" s="372"/>
      <c r="AA101" s="372"/>
      <c r="AB101" s="372"/>
      <c r="AC101" s="372"/>
      <c r="AD101" s="372"/>
      <c r="AE101" s="372"/>
      <c r="AF101" s="372"/>
      <c r="AG101" s="372"/>
      <c r="AH101" s="372"/>
      <c r="AI101" s="372"/>
      <c r="AJ101" s="372"/>
      <c r="AK101" s="372"/>
      <c r="AL101" s="372"/>
      <c r="AM101" s="372"/>
      <c r="AN101" s="372"/>
      <c r="AO101" s="372"/>
      <c r="AP101" s="372"/>
      <c r="AS101" s="372"/>
      <c r="AT101" s="372"/>
      <c r="AU101" s="372"/>
      <c r="AV101" s="372"/>
      <c r="AW101" s="372"/>
      <c r="AX101" s="372"/>
      <c r="AY101" s="372"/>
      <c r="AZ101" s="372"/>
      <c r="BA101" s="372"/>
      <c r="BB101" s="372"/>
      <c r="BC101" s="372"/>
      <c r="BD101" s="372"/>
      <c r="BE101" s="372"/>
    </row>
  </sheetData>
  <mergeCells count="38">
    <mergeCell ref="D5:E5"/>
    <mergeCell ref="G5:H5"/>
    <mergeCell ref="J5:K9"/>
    <mergeCell ref="O5:S5"/>
    <mergeCell ref="C6:C7"/>
    <mergeCell ref="O6:S9"/>
    <mergeCell ref="C8:C9"/>
    <mergeCell ref="D8:D9"/>
    <mergeCell ref="E8:E9"/>
    <mergeCell ref="C3:F3"/>
    <mergeCell ref="G3:H3"/>
    <mergeCell ref="J3:M3"/>
    <mergeCell ref="O3:S3"/>
    <mergeCell ref="W3:AN3"/>
    <mergeCell ref="D11:L11"/>
    <mergeCell ref="M11:R11"/>
    <mergeCell ref="W50:X50"/>
    <mergeCell ref="W34:AN34"/>
    <mergeCell ref="W36:AD36"/>
    <mergeCell ref="W37:Y37"/>
    <mergeCell ref="Z37:AA37"/>
    <mergeCell ref="AB37:AC37"/>
    <mergeCell ref="W43:AF43"/>
    <mergeCell ref="D44:R44"/>
    <mergeCell ref="W48:X48"/>
    <mergeCell ref="AI48:AN48"/>
    <mergeCell ref="W49:X49"/>
    <mergeCell ref="AI49:AN49"/>
    <mergeCell ref="B81:G82"/>
    <mergeCell ref="J81:N81"/>
    <mergeCell ref="J82:N82"/>
    <mergeCell ref="W51:X51"/>
    <mergeCell ref="P52:Q52"/>
    <mergeCell ref="W52:X52"/>
    <mergeCell ref="P53:Q53"/>
    <mergeCell ref="P54:Q54"/>
    <mergeCell ref="B57:G57"/>
    <mergeCell ref="H57:N57"/>
  </mergeCells>
  <dataValidations count="10">
    <dataValidation type="list" allowBlank="1" showInputMessage="1" showErrorMessage="1" sqref="D22:D43 D13:D20" xr:uid="{E232387E-A6C4-4555-82E0-492ECBA7FC56}">
      <formula1>Equipment</formula1>
    </dataValidation>
    <dataValidation type="list" allowBlank="1" showInputMessage="1" showErrorMessage="1" sqref="E22:E43 E13:E20" xr:uid="{DFDFBB68-D0C0-4795-A112-8EE9C9CE43E5}">
      <formula1>INDIRECT(SUBSTITUTE($D13," ",""))</formula1>
    </dataValidation>
    <dataValidation type="list" allowBlank="1" showInputMessage="1" showErrorMessage="1" sqref="E8:E9" xr:uid="{5DC9C182-9CE0-4559-8D8C-5A4DAF029030}">
      <formula1>Case</formula1>
    </dataValidation>
    <dataValidation type="list" allowBlank="1" showInputMessage="1" showErrorMessage="1" sqref="E21" xr:uid="{64369E94-AACB-4908-B8E1-9A99528C478A}">
      <formula1>INDIRECT(SUBSTITUTE($D22," ",""))</formula1>
    </dataValidation>
    <dataValidation type="list" allowBlank="1" showInputMessage="1" showErrorMessage="1" sqref="I13:I43" xr:uid="{DF4D09E3-A742-4CE9-AE2C-16FBD93DEC1B}">
      <formula1>INDIRECT(IF($D13="Heat Exchanger",SUBSTITUTE($D13," ","")&amp;"_"&amp;SUBSTITUTE(SUBSTITUTE($E13,",","")," ","")&amp;"_Material",SUBSTITUTE($D13," ","")&amp;"_Material"))</formula1>
    </dataValidation>
    <dataValidation type="list" allowBlank="1" showInputMessage="1" showErrorMessage="1" sqref="H46:H52" xr:uid="{21121ED3-62C0-4EAA-915F-C23CE435B4BF}">
      <formula1>Location</formula1>
    </dataValidation>
    <dataValidation type="list" allowBlank="1" showInputMessage="1" showErrorMessage="1" sqref="G46:G52" xr:uid="{D083923E-FC2A-40A9-AB05-68E908A60F7A}">
      <formula1>Year</formula1>
    </dataValidation>
    <dataValidation type="list" allowBlank="1" showInputMessage="1" showErrorMessage="1" sqref="F46:F52" xr:uid="{321DC71A-BCCE-4454-AB54-27CDD9B182C5}">
      <formula1>Currency</formula1>
    </dataValidation>
    <dataValidation type="list" allowBlank="1" showInputMessage="1" showErrorMessage="1" sqref="B55" xr:uid="{BE8E4993-4E4D-4F68-9676-C789BAE6050D}">
      <formula1>Construction</formula1>
    </dataValidation>
    <dataValidation type="list" allowBlank="1" showInputMessage="1" showErrorMessage="1" sqref="B54" xr:uid="{5A54DDA1-A45B-4CBB-BBD8-B7F3241F52A2}">
      <formula1>Lifetime</formula1>
    </dataValidation>
  </dataValidations>
  <pageMargins left="0.7" right="0.7" top="0.75" bottom="0.75" header="0.3" footer="0.3"/>
  <pageSetup paperSize="9" orientation="portrait" verticalDpi="1200" r:id="rId1"/>
  <ignoredErrors>
    <ignoredError sqref="T25: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316417" r:id="rId4" name="Button 1">
              <controlPr defaultSize="0" print="0" autoFill="0" autoPict="0">
                <anchor moveWithCells="1" sizeWithCells="1">
                  <from>
                    <xdr:col>2</xdr:col>
                    <xdr:colOff>63500</xdr:colOff>
                    <xdr:row>7</xdr:row>
                    <xdr:rowOff>25400</xdr:rowOff>
                  </from>
                  <to>
                    <xdr:col>2</xdr:col>
                    <xdr:colOff>1320800</xdr:colOff>
                    <xdr:row>8</xdr:row>
                    <xdr:rowOff>177800</xdr:rowOff>
                  </to>
                </anchor>
              </controlPr>
            </control>
          </mc:Choice>
        </mc:AlternateContent>
      </controls>
    </mc:Choice>
  </mc:AlternateContent>
  <tableParts count="3">
    <tablePart r:id="rId5"/>
    <tablePart r:id="rId6"/>
    <tablePart r:id="rId7"/>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A61DB-6A79-4AE5-A69D-4B5D33FFC03B}">
  <sheetPr codeName="Hoja36"/>
  <dimension ref="A1:BE100"/>
  <sheetViews>
    <sheetView showGridLines="0" topLeftCell="A10" zoomScale="55" zoomScaleNormal="55" workbookViewId="0">
      <selection activeCell="AF43" sqref="AF43"/>
    </sheetView>
  </sheetViews>
  <sheetFormatPr baseColWidth="10" defaultColWidth="11.1640625" defaultRowHeight="15" x14ac:dyDescent="0.2"/>
  <cols>
    <col min="1" max="2" width="3.33203125" customWidth="1"/>
    <col min="3" max="19" width="19.6640625" customWidth="1"/>
    <col min="20" max="22" width="4" customWidth="1"/>
    <col min="23" max="40" width="12.83203125" customWidth="1"/>
    <col min="41" max="41" width="3.1640625" customWidth="1"/>
    <col min="43" max="43" width="11.1640625" style="372"/>
    <col min="44" max="44" width="11.1640625" style="372" customWidth="1"/>
  </cols>
  <sheetData>
    <row r="1" spans="1:44" ht="16.25" customHeight="1" x14ac:dyDescent="0.2">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15"/>
      <c r="AR1" s="371"/>
    </row>
    <row r="2" spans="1:44" ht="16.25" customHeight="1" x14ac:dyDescent="0.2">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15"/>
      <c r="AR2" s="371"/>
    </row>
    <row r="3" spans="1:44" ht="16.25" customHeight="1" x14ac:dyDescent="0.2">
      <c r="A3" s="83"/>
      <c r="B3" s="103"/>
      <c r="C3" s="917" t="s">
        <v>140</v>
      </c>
      <c r="D3" s="918"/>
      <c r="E3" s="918"/>
      <c r="F3" s="918"/>
      <c r="G3" s="917" t="s">
        <v>141</v>
      </c>
      <c r="H3" s="919"/>
      <c r="J3" s="917" t="s">
        <v>142</v>
      </c>
      <c r="K3" s="918"/>
      <c r="L3" s="918"/>
      <c r="M3" s="919"/>
      <c r="N3" s="186"/>
      <c r="O3" s="917" t="str">
        <f>+E6</f>
        <v>N2 Purification</v>
      </c>
      <c r="P3" s="918"/>
      <c r="Q3" s="918"/>
      <c r="R3" s="918"/>
      <c r="S3" s="919"/>
      <c r="T3" s="104"/>
      <c r="U3" s="104"/>
      <c r="V3" s="83"/>
      <c r="W3" s="970" t="str">
        <f>+E6&amp;" Diagram"</f>
        <v>N2 Purification Diagram</v>
      </c>
      <c r="X3" s="971"/>
      <c r="Y3" s="971"/>
      <c r="Z3" s="971"/>
      <c r="AA3" s="971"/>
      <c r="AB3" s="971"/>
      <c r="AC3" s="971"/>
      <c r="AD3" s="971"/>
      <c r="AE3" s="971"/>
      <c r="AF3" s="971"/>
      <c r="AG3" s="971"/>
      <c r="AH3" s="971"/>
      <c r="AI3" s="971"/>
      <c r="AJ3" s="971"/>
      <c r="AK3" s="971"/>
      <c r="AL3" s="971"/>
      <c r="AM3" s="971"/>
      <c r="AN3" s="972"/>
      <c r="AO3" s="104"/>
      <c r="AP3" s="83"/>
      <c r="AQ3" s="215"/>
      <c r="AR3" s="371"/>
    </row>
    <row r="4" spans="1:44" ht="16.25" customHeight="1" x14ac:dyDescent="0.2">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15"/>
      <c r="AR4" s="371"/>
    </row>
    <row r="5" spans="1:44" ht="16.25" customHeight="1" x14ac:dyDescent="0.2">
      <c r="A5" s="83"/>
      <c r="B5" s="103"/>
      <c r="C5" s="83"/>
      <c r="D5" s="920" t="s">
        <v>143</v>
      </c>
      <c r="E5" s="921"/>
      <c r="F5" s="83"/>
      <c r="G5" s="920" t="s">
        <v>40</v>
      </c>
      <c r="H5" s="921"/>
      <c r="J5" s="973"/>
      <c r="K5" s="974"/>
      <c r="L5" s="190" t="s">
        <v>144</v>
      </c>
      <c r="M5" s="191" t="s">
        <v>145</v>
      </c>
      <c r="N5" s="394"/>
      <c r="O5" s="833" t="s">
        <v>82</v>
      </c>
      <c r="P5" s="834"/>
      <c r="Q5" s="834"/>
      <c r="R5" s="834"/>
      <c r="S5" s="835"/>
      <c r="T5" s="104"/>
      <c r="U5" s="104"/>
      <c r="V5" s="83"/>
      <c r="W5" s="83"/>
      <c r="X5" s="83"/>
      <c r="Y5" s="83"/>
      <c r="Z5" s="83"/>
      <c r="AA5" s="83"/>
      <c r="AB5" s="83"/>
      <c r="AC5" s="83"/>
      <c r="AD5" s="83"/>
      <c r="AE5" s="83"/>
      <c r="AF5" s="83"/>
      <c r="AG5" s="83"/>
      <c r="AH5" s="83"/>
      <c r="AI5" s="83"/>
      <c r="AJ5" s="83"/>
      <c r="AK5" s="83"/>
      <c r="AL5" s="83"/>
      <c r="AM5" s="83"/>
      <c r="AN5" s="83"/>
      <c r="AO5" s="104"/>
      <c r="AP5" s="83"/>
      <c r="AQ5" s="215"/>
      <c r="AR5" s="371"/>
    </row>
    <row r="6" spans="1:44" ht="16.25" customHeight="1" x14ac:dyDescent="0.2">
      <c r="A6" s="83"/>
      <c r="B6" s="103"/>
      <c r="C6" s="979" t="s">
        <v>146</v>
      </c>
      <c r="D6" s="242" t="s">
        <v>147</v>
      </c>
      <c r="E6" s="409" t="str">
        <f>+'Plant Overview'!V39</f>
        <v>N2 Purification</v>
      </c>
      <c r="F6" s="83"/>
      <c r="G6" s="85"/>
      <c r="H6" s="324" t="s">
        <v>43</v>
      </c>
      <c r="J6" s="975"/>
      <c r="K6" s="976"/>
      <c r="L6" s="169" t="s">
        <v>148</v>
      </c>
      <c r="M6" s="86" t="s">
        <v>149</v>
      </c>
      <c r="N6" s="394"/>
      <c r="O6" s="488"/>
      <c r="P6" s="394"/>
      <c r="Q6" s="394"/>
      <c r="R6" s="394"/>
      <c r="S6" s="489"/>
      <c r="T6" s="104"/>
      <c r="U6" s="104"/>
      <c r="V6" s="83"/>
      <c r="W6" s="83"/>
      <c r="X6" s="83"/>
      <c r="Y6" s="83"/>
      <c r="Z6" s="83"/>
      <c r="AA6" s="83"/>
      <c r="AB6" s="83"/>
      <c r="AC6" s="83"/>
      <c r="AD6" s="83"/>
      <c r="AE6" s="83"/>
      <c r="AF6" s="83"/>
      <c r="AG6" s="83"/>
      <c r="AH6" s="83"/>
      <c r="AI6" s="83"/>
      <c r="AJ6" s="83"/>
      <c r="AK6" s="83"/>
      <c r="AL6" s="83"/>
      <c r="AM6" s="83"/>
      <c r="AN6" s="83"/>
      <c r="AO6" s="104"/>
      <c r="AP6" s="83"/>
      <c r="AQ6" s="215"/>
      <c r="AR6" s="371"/>
    </row>
    <row r="7" spans="1:44" ht="16.25" customHeight="1" x14ac:dyDescent="0.2">
      <c r="A7" s="83"/>
      <c r="B7" s="103"/>
      <c r="C7" s="980"/>
      <c r="D7" s="242" t="s">
        <v>150</v>
      </c>
      <c r="E7" s="409" t="str">
        <f>+'Plant Overview'!W39</f>
        <v>U-300</v>
      </c>
      <c r="F7" s="83"/>
      <c r="G7" s="95"/>
      <c r="H7" s="324" t="s">
        <v>49</v>
      </c>
      <c r="J7" s="975"/>
      <c r="K7" s="976"/>
      <c r="L7" s="190" t="s">
        <v>151</v>
      </c>
      <c r="M7" s="191" t="s">
        <v>152</v>
      </c>
      <c r="N7" s="394"/>
      <c r="O7" s="488"/>
      <c r="P7" s="394"/>
      <c r="Q7" s="394"/>
      <c r="R7" s="394"/>
      <c r="S7" s="489"/>
      <c r="T7" s="104"/>
      <c r="U7" s="104"/>
      <c r="V7" s="83"/>
      <c r="W7" s="83"/>
      <c r="X7" s="83"/>
      <c r="Y7" s="83"/>
      <c r="Z7" s="83"/>
      <c r="AA7" s="83"/>
      <c r="AB7" s="83"/>
      <c r="AC7" s="83"/>
      <c r="AD7" s="83"/>
      <c r="AE7" s="83"/>
      <c r="AF7" s="83"/>
      <c r="AG7" s="83"/>
      <c r="AH7" s="83"/>
      <c r="AI7" s="83"/>
      <c r="AJ7" s="83"/>
      <c r="AK7" s="83"/>
      <c r="AL7" s="83"/>
      <c r="AM7" s="83"/>
      <c r="AN7" s="83"/>
      <c r="AO7" s="104"/>
      <c r="AP7" s="83"/>
      <c r="AQ7" s="215"/>
      <c r="AR7" s="371"/>
    </row>
    <row r="8" spans="1:44" ht="16.25" customHeight="1" x14ac:dyDescent="0.2">
      <c r="A8" s="83"/>
      <c r="B8" s="103"/>
      <c r="C8" s="880"/>
      <c r="D8" s="981" t="s">
        <v>153</v>
      </c>
      <c r="E8" s="983" t="s">
        <v>330</v>
      </c>
      <c r="F8" s="83"/>
      <c r="G8" s="94"/>
      <c r="H8" s="98" t="s">
        <v>51</v>
      </c>
      <c r="J8" s="975"/>
      <c r="K8" s="976"/>
      <c r="L8" s="190" t="s">
        <v>155</v>
      </c>
      <c r="M8" s="191" t="s">
        <v>156</v>
      </c>
      <c r="N8" s="394"/>
      <c r="O8" s="488"/>
      <c r="P8" s="394"/>
      <c r="Q8" s="394"/>
      <c r="R8" s="394"/>
      <c r="S8" s="489"/>
      <c r="T8" s="104"/>
      <c r="U8" s="104"/>
      <c r="V8" s="83"/>
      <c r="W8" s="83"/>
      <c r="X8" s="83"/>
      <c r="Y8" s="83"/>
      <c r="Z8" s="83"/>
      <c r="AA8" s="83"/>
      <c r="AB8" s="83"/>
      <c r="AC8" s="83"/>
      <c r="AD8" s="83"/>
      <c r="AE8" s="83"/>
      <c r="AF8" s="83"/>
      <c r="AG8" s="83"/>
      <c r="AH8" s="83"/>
      <c r="AI8" s="83"/>
      <c r="AJ8" s="83"/>
      <c r="AK8" s="83"/>
      <c r="AL8" s="83"/>
      <c r="AM8" s="83"/>
      <c r="AN8" s="83"/>
      <c r="AO8" s="104"/>
      <c r="AP8" s="83"/>
      <c r="AQ8" s="215"/>
      <c r="AR8" s="371"/>
    </row>
    <row r="9" spans="1:44" ht="16.25" customHeight="1" x14ac:dyDescent="0.2">
      <c r="A9" s="83"/>
      <c r="B9" s="103"/>
      <c r="C9" s="881"/>
      <c r="D9" s="982"/>
      <c r="E9" s="984"/>
      <c r="F9" s="83"/>
      <c r="G9" s="108"/>
      <c r="H9" s="310" t="s">
        <v>54</v>
      </c>
      <c r="J9" s="977"/>
      <c r="K9" s="978"/>
      <c r="L9" s="190" t="s">
        <v>157</v>
      </c>
      <c r="M9" s="191" t="s">
        <v>158</v>
      </c>
      <c r="N9" s="394"/>
      <c r="O9" s="490"/>
      <c r="P9" s="491"/>
      <c r="Q9" s="491"/>
      <c r="R9" s="491"/>
      <c r="S9" s="492"/>
      <c r="T9" s="104"/>
      <c r="U9" s="104"/>
      <c r="V9" s="83"/>
      <c r="W9" s="83"/>
      <c r="X9" s="83"/>
      <c r="Y9" s="83"/>
      <c r="Z9" s="83"/>
      <c r="AA9" s="83"/>
      <c r="AB9" s="83"/>
      <c r="AC9" s="83"/>
      <c r="AD9" s="83"/>
      <c r="AE9" s="83"/>
      <c r="AF9" s="83"/>
      <c r="AG9" s="83"/>
      <c r="AH9" s="83"/>
      <c r="AI9" s="83"/>
      <c r="AJ9" s="83"/>
      <c r="AK9" s="83"/>
      <c r="AL9" s="83"/>
      <c r="AM9" s="83"/>
      <c r="AN9" s="83"/>
      <c r="AO9" s="104"/>
      <c r="AP9" s="83"/>
      <c r="AQ9" s="215"/>
      <c r="AR9" s="371"/>
    </row>
    <row r="10" spans="1:44" ht="16.25" customHeight="1" x14ac:dyDescent="0.2">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15"/>
      <c r="AR10" s="371"/>
    </row>
    <row r="11" spans="1:44" ht="16.25" customHeight="1" x14ac:dyDescent="0.2">
      <c r="A11" s="83"/>
      <c r="B11" s="103"/>
      <c r="C11" s="83"/>
      <c r="D11" s="917" t="s">
        <v>159</v>
      </c>
      <c r="E11" s="918"/>
      <c r="F11" s="918"/>
      <c r="G11" s="918"/>
      <c r="H11" s="918"/>
      <c r="I11" s="918"/>
      <c r="J11" s="918"/>
      <c r="K11" s="918"/>
      <c r="L11" s="919"/>
      <c r="M11" s="917" t="s">
        <v>160</v>
      </c>
      <c r="N11" s="918"/>
      <c r="O11" s="918"/>
      <c r="P11" s="918"/>
      <c r="Q11" s="918"/>
      <c r="R11" s="919"/>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15"/>
      <c r="AR11" s="371"/>
    </row>
    <row r="12" spans="1:44" ht="16.25" customHeight="1" x14ac:dyDescent="0.2">
      <c r="A12" s="83"/>
      <c r="B12" s="103"/>
      <c r="C12" s="416" t="s">
        <v>161</v>
      </c>
      <c r="D12" s="572" t="s">
        <v>141</v>
      </c>
      <c r="E12" s="572" t="s">
        <v>162</v>
      </c>
      <c r="F12" s="417" t="s">
        <v>163</v>
      </c>
      <c r="G12" s="417" t="s">
        <v>164</v>
      </c>
      <c r="H12" s="418" t="s">
        <v>75</v>
      </c>
      <c r="I12" s="572" t="s">
        <v>165</v>
      </c>
      <c r="J12" s="569" t="s">
        <v>166</v>
      </c>
      <c r="K12" s="417" t="s">
        <v>167</v>
      </c>
      <c r="L12" s="417" t="s">
        <v>168</v>
      </c>
      <c r="M12" s="420" t="s">
        <v>169</v>
      </c>
      <c r="N12" s="420" t="s">
        <v>170</v>
      </c>
      <c r="O12" s="420" t="s">
        <v>171</v>
      </c>
      <c r="P12" s="420" t="s">
        <v>172</v>
      </c>
      <c r="Q12" s="420" t="s">
        <v>173</v>
      </c>
      <c r="R12" s="419" t="s">
        <v>174</v>
      </c>
      <c r="S12" s="420" t="s">
        <v>175</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15"/>
      <c r="AR12" s="371"/>
    </row>
    <row r="13" spans="1:44" ht="16.25" customHeight="1" x14ac:dyDescent="0.2">
      <c r="A13" s="83"/>
      <c r="B13" s="103"/>
      <c r="C13" s="182" t="s">
        <v>424</v>
      </c>
      <c r="D13" s="208" t="s">
        <v>177</v>
      </c>
      <c r="E13" s="208" t="s">
        <v>178</v>
      </c>
      <c r="F13" s="152">
        <f>+AL46</f>
        <v>303.70523888126894</v>
      </c>
      <c r="G13" s="96">
        <v>32</v>
      </c>
      <c r="H13" s="96" t="s">
        <v>179</v>
      </c>
      <c r="I13" s="740" t="s">
        <v>287</v>
      </c>
      <c r="J13" s="96" t="str">
        <f>+IF(F13&gt;'Equipment Data'!$F$239,"yes","No")</f>
        <v>No</v>
      </c>
      <c r="K13" s="96">
        <v>0.67</v>
      </c>
      <c r="L13" s="152">
        <f>+AL38</f>
        <v>4.6784704811137861</v>
      </c>
      <c r="M13" s="156">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187344.00328145045</v>
      </c>
      <c r="N13" s="155">
        <f>+IF(L13="","Input Diameter in m",IF(G13&gt;0.5,IF(((G13*L13)/(2*(850-0.6*G13))+0.00315)/0.0063&lt;1,1,((G13*L13)/(2*(850-0.6*G13))+0.00315)/0.0063),1.25))</f>
        <v>14.801672837391495</v>
      </c>
      <c r="O13" s="96">
        <f>+IF(I13="CS",'Equipment Data'!$C$247,IF(I13="SS Clad",'Equipment Data'!$C$248,IF(I13="SS",'Equipment Data'!$C$249,IF(I13="Ni Clad",'Equipment Data'!$C$250,IF(I13="Ni",'Equipment Data'!$C$251,IF(I13="Ti Clad",'Equipment Data'!$C$252,IF(I13="Ti",'Equipment Data'!$C$253,"N/A")))))))</f>
        <v>3.62</v>
      </c>
      <c r="P13" s="153">
        <f>+'Equipment Data'!$C$244+'Equipment Data'!$D$244*N13*O13</f>
        <v>99.769341321870129</v>
      </c>
      <c r="Q13" s="153">
        <f>+M13*P13</f>
        <v>18691187.807992589</v>
      </c>
      <c r="R13" s="199">
        <f>+AI46</f>
        <v>1.5</v>
      </c>
      <c r="S13" s="199">
        <f>+IF(Tabla2587901201356366[[#This Row],[Equipment]]="","",Q13*R13/10^6)</f>
        <v>28.03678171198888</v>
      </c>
      <c r="T13" s="587">
        <f ca="1">+$S$52/$R$52*S13</f>
        <v>45.253425363876104</v>
      </c>
      <c r="U13" s="104"/>
      <c r="V13" s="83"/>
      <c r="W13" s="83"/>
      <c r="X13" s="83"/>
      <c r="Y13" s="83"/>
      <c r="Z13" s="83"/>
      <c r="AA13" s="83"/>
      <c r="AB13" s="83"/>
      <c r="AC13" s="83"/>
      <c r="AD13" s="83"/>
      <c r="AE13" s="83"/>
      <c r="AF13" s="83"/>
      <c r="AG13" s="83"/>
      <c r="AH13" s="83"/>
      <c r="AI13" s="83"/>
      <c r="AJ13" s="83"/>
      <c r="AK13" s="83"/>
      <c r="AL13" s="83"/>
      <c r="AM13" s="83"/>
      <c r="AN13" s="83"/>
      <c r="AO13" s="104"/>
      <c r="AP13" s="83"/>
      <c r="AQ13" s="215"/>
      <c r="AR13" s="371"/>
    </row>
    <row r="14" spans="1:44" ht="16.25" customHeight="1" x14ac:dyDescent="0.2">
      <c r="A14" s="83"/>
      <c r="B14" s="103"/>
      <c r="C14" s="99" t="s">
        <v>425</v>
      </c>
      <c r="D14" s="208" t="s">
        <v>177</v>
      </c>
      <c r="E14" s="208" t="s">
        <v>178</v>
      </c>
      <c r="F14" s="152">
        <f>+AM46</f>
        <v>213.57912350116359</v>
      </c>
      <c r="G14" s="96">
        <f>+AM44</f>
        <v>1</v>
      </c>
      <c r="H14" s="96" t="s">
        <v>179</v>
      </c>
      <c r="I14" s="740" t="s">
        <v>426</v>
      </c>
      <c r="J14" s="96" t="str">
        <f>+IF(F14&gt;'Equipment Data'!$F$239,"yes","No")</f>
        <v>No</v>
      </c>
      <c r="K14" s="96">
        <v>0.67</v>
      </c>
      <c r="L14" s="152">
        <f>+AM38</f>
        <v>5.8302807176365512</v>
      </c>
      <c r="M14" s="156">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133367.55489327287</v>
      </c>
      <c r="N14" s="155">
        <f>+IF(L14="","Input Diameter in m",IF(G14&gt;0.5,IF(((G14*L14)/(2*(850-0.6*G14))+0.00315)/0.0063&lt;1,1,((G14*L14)/(2*(850-0.6*G14))+0.00315)/0.0063),1.25))</f>
        <v>1.0447618223168316</v>
      </c>
      <c r="O14" s="96">
        <f>+IF(I14="CS",'Equipment Data'!$C$247,IF(I14="SS Clad",'Equipment Data'!$C$248,IF(I14="SS",'Equipment Data'!$C$249,IF(I14="Ni Clad",'Equipment Data'!$C$250,IF(I14="Ni",'Equipment Data'!$C$251,IF(I14="Ti Clad",'Equipment Data'!$C$252,IF(I14="Ti",'Equipment Data'!$C$253,"N/A")))))))</f>
        <v>1.74</v>
      </c>
      <c r="P14" s="153">
        <f>+'Equipment Data'!$C$244+'Equipment Data'!$D$244*N14*O14</f>
        <v>5.5585517389129429</v>
      </c>
      <c r="Q14" s="153">
        <f>+M14*P14</f>
        <v>741330.45416656928</v>
      </c>
      <c r="R14" s="193">
        <f>+AJ46</f>
        <v>1.5</v>
      </c>
      <c r="S14" s="193">
        <f>+IF(Tabla2587901201356366[[#This Row],[Equipment]]="","",Q14*R14/10^6)</f>
        <v>1.1119956812498539</v>
      </c>
      <c r="T14" s="587">
        <f t="shared" ref="T14:T43" ca="1" si="0">+$S$52/$R$52*S14</f>
        <v>1.7948427206562969</v>
      </c>
      <c r="U14" s="104"/>
      <c r="V14" s="83"/>
      <c r="W14" s="83"/>
      <c r="X14" s="83"/>
      <c r="Y14" s="83"/>
      <c r="Z14" s="83"/>
      <c r="AA14" s="83"/>
      <c r="AB14" s="83"/>
      <c r="AC14" s="83"/>
      <c r="AD14" s="83"/>
      <c r="AE14" s="83"/>
      <c r="AF14" s="83"/>
      <c r="AG14" s="83"/>
      <c r="AH14" s="83"/>
      <c r="AI14" s="83"/>
      <c r="AJ14" s="83"/>
      <c r="AK14" s="83"/>
      <c r="AL14" s="83"/>
      <c r="AM14" s="83"/>
      <c r="AN14" s="83"/>
      <c r="AO14" s="104"/>
      <c r="AP14" s="83"/>
      <c r="AQ14" s="215"/>
      <c r="AR14" s="371"/>
    </row>
    <row r="15" spans="1:44" ht="16.25" customHeight="1" x14ac:dyDescent="0.2">
      <c r="A15" s="83"/>
      <c r="B15" s="103"/>
      <c r="C15" s="680" t="s">
        <v>427</v>
      </c>
      <c r="D15" s="208" t="s">
        <v>428</v>
      </c>
      <c r="E15" s="208" t="s">
        <v>429</v>
      </c>
      <c r="F15" s="152">
        <f>+AL37</f>
        <v>17.190862578185037</v>
      </c>
      <c r="G15" s="96" t="s">
        <v>187</v>
      </c>
      <c r="H15" s="96" t="s">
        <v>196</v>
      </c>
      <c r="I15" s="740" t="s">
        <v>430</v>
      </c>
      <c r="J15" s="96" t="str">
        <f>+IF(F15&gt;'Equipment Data'!$G$257,"yes","No")</f>
        <v>yes</v>
      </c>
      <c r="K15" s="96">
        <v>0.67</v>
      </c>
      <c r="L15" s="96">
        <f>+ROUNDUP(AL40/AL39,0)</f>
        <v>34</v>
      </c>
      <c r="M15" s="156">
        <f>+IF(AND(D15="Tower Trays",E15="Sieve"),IF(F15&lt;'Equipment Data'!$G$257,10^('Equipment Data'!$C$257+'Equipment Data'!$D$257*LOG10(F15)+'Equipment Data'!$E$257*LOG10(F15)*LOG10(F15)),10^('Equipment Data'!$C$257+'Equipment Data'!$D$257*LOG10('Equipment Data'!$G$257)+'Equipment Data'!$E$257*LOG10('Equipment Data'!$G$257)*LOG10('Equipment Data'!$G$257))*(F15/'Equipment Data'!$G$257)^K15),"N/A")</f>
        <v>11206.761334737144</v>
      </c>
      <c r="N15" s="96" t="s">
        <v>187</v>
      </c>
      <c r="O15" s="152">
        <f>+IF(L15="","Input nº of Trays",IF(L15&lt;20,10^(0.4771+0.08516*LOG10(L15)-0.3473*LOG10(L15)*LOG10(L15)),1))</f>
        <v>1</v>
      </c>
      <c r="P15" s="96">
        <f>+IF(I15="CS",'Equipment Data'!$D$262,IF(I15="SS",'Equipment Data'!$D$263,IF(I15="Fluorocarbon",'Equipment Data'!$D$264,IF(I15="Ni Alloy",'Equipment Data'!$D$265,"N/A"))))</f>
        <v>5.58</v>
      </c>
      <c r="Q15" s="153">
        <f>+M15*O15*P15</f>
        <v>62533.728247833264</v>
      </c>
      <c r="R15" s="97">
        <f>+L15</f>
        <v>34</v>
      </c>
      <c r="S15" s="193">
        <f>+IF(Tabla2587901201356366[[#This Row],[Equipment]]="","",Q15*R15/10^6)</f>
        <v>2.1261467604263307</v>
      </c>
      <c r="T15" s="587">
        <f t="shared" ca="1" si="0"/>
        <v>3.4317570655570999</v>
      </c>
      <c r="U15" s="104"/>
      <c r="V15" s="83"/>
      <c r="W15" s="83"/>
      <c r="X15" s="83"/>
      <c r="Y15" s="83"/>
      <c r="Z15" s="83"/>
      <c r="AA15" s="83"/>
      <c r="AB15" s="83"/>
      <c r="AC15" s="83"/>
      <c r="AD15" s="83"/>
      <c r="AE15" s="83"/>
      <c r="AF15" s="83"/>
      <c r="AG15" s="83"/>
      <c r="AH15" s="83"/>
      <c r="AI15" s="83"/>
      <c r="AJ15" s="83"/>
      <c r="AK15" s="83"/>
      <c r="AL15" s="83"/>
      <c r="AM15" s="83"/>
      <c r="AN15" s="83"/>
      <c r="AO15" s="104"/>
      <c r="AP15" s="83"/>
      <c r="AQ15" s="215"/>
      <c r="AR15" s="371"/>
    </row>
    <row r="16" spans="1:44" ht="16.25" customHeight="1" x14ac:dyDescent="0.2">
      <c r="A16" s="83"/>
      <c r="B16" s="103"/>
      <c r="C16" s="680" t="s">
        <v>431</v>
      </c>
      <c r="D16" s="208" t="s">
        <v>428</v>
      </c>
      <c r="E16" s="208" t="s">
        <v>429</v>
      </c>
      <c r="F16" s="152">
        <f>+AM37</f>
        <v>26.697390437645449</v>
      </c>
      <c r="G16" s="96" t="s">
        <v>187</v>
      </c>
      <c r="H16" s="96" t="s">
        <v>196</v>
      </c>
      <c r="I16" s="96" t="s">
        <v>410</v>
      </c>
      <c r="J16" s="96" t="str">
        <f>+IF(F16&gt;'Equipment Data'!$G$257,"yes","No")</f>
        <v>yes</v>
      </c>
      <c r="K16" s="96">
        <v>0.67</v>
      </c>
      <c r="L16" s="96">
        <f>+ROUNDUP(AM40/AM41,0)</f>
        <v>14</v>
      </c>
      <c r="M16" s="156">
        <f>+IF(AND(D16="Tower Trays",E16="Sieve"),IF(F16&lt;'Equipment Data'!$G$257,10^('Equipment Data'!$C$257+'Equipment Data'!$D$257*LOG10(F16)+'Equipment Data'!$E$257*LOG10(F16)*LOG10(F16)),10^('Equipment Data'!$C$257+'Equipment Data'!$D$257*LOG10('Equipment Data'!$G$257)+'Equipment Data'!$E$257*LOG10('Equipment Data'!$G$257)*LOG10('Equipment Data'!$G$257))*(F16/'Equipment Data'!$G$257)^K16),"N/A")</f>
        <v>15050.980383738419</v>
      </c>
      <c r="N16" s="96" t="s">
        <v>187</v>
      </c>
      <c r="O16" s="152">
        <f>+IF(L16="","Input nº of Trays",IF(L16&lt;20,10^(0.4771+0.08516*LOG10(L16)-0.3473*LOG10(L16)*LOG10(L16)),1))</f>
        <v>1.3136742680664735</v>
      </c>
      <c r="P16" s="96">
        <f>+IF(I16="CS",'Equipment Data'!$D$262,IF(I16="SS",'Equipment Data'!$D$263,IF(I16="Fluorocarbon",'Equipment Data'!$D$264,IF(I16="Ni Alloy",'Equipment Data'!$D$265,"N/A"))))</f>
        <v>1.83</v>
      </c>
      <c r="Q16" s="153">
        <f>+M16*O16*P16</f>
        <v>36182.916719901463</v>
      </c>
      <c r="R16" s="97">
        <f>+L16</f>
        <v>14</v>
      </c>
      <c r="S16" s="193">
        <f>+IF(Tabla2587901201356366[[#This Row],[Equipment]]="","",Q16*R16/10^6)</f>
        <v>0.50656083407862051</v>
      </c>
      <c r="T16" s="587">
        <f t="shared" ca="1" si="0"/>
        <v>0.817626399945799</v>
      </c>
      <c r="U16" s="104"/>
      <c r="V16" s="83"/>
      <c r="W16" s="83"/>
      <c r="X16" s="83"/>
      <c r="Y16" s="83"/>
      <c r="Z16" s="83"/>
      <c r="AA16" s="83"/>
      <c r="AB16" s="83"/>
      <c r="AC16" s="83"/>
      <c r="AD16" s="83"/>
      <c r="AE16" s="83"/>
      <c r="AF16" s="83"/>
      <c r="AG16" s="83"/>
      <c r="AH16" s="83"/>
      <c r="AI16" s="83"/>
      <c r="AJ16" s="83"/>
      <c r="AK16" s="83"/>
      <c r="AL16" s="83"/>
      <c r="AM16" s="83"/>
      <c r="AN16" s="83"/>
      <c r="AO16" s="104"/>
      <c r="AP16" s="83"/>
      <c r="AQ16" s="215"/>
      <c r="AR16" s="371"/>
    </row>
    <row r="17" spans="1:44" ht="16.25" customHeight="1" x14ac:dyDescent="0.2">
      <c r="A17" s="83"/>
      <c r="B17" s="103"/>
      <c r="C17" s="99" t="s">
        <v>432</v>
      </c>
      <c r="D17" s="208" t="s">
        <v>177</v>
      </c>
      <c r="E17" s="208" t="s">
        <v>178</v>
      </c>
      <c r="F17" s="152">
        <f>+AD45+AE45</f>
        <v>223.41245952081346</v>
      </c>
      <c r="G17" s="96">
        <v>12</v>
      </c>
      <c r="H17" s="96" t="s">
        <v>179</v>
      </c>
      <c r="I17" s="740" t="s">
        <v>426</v>
      </c>
      <c r="J17" s="96" t="str">
        <f>+IF(F17&gt;'Equipment Data'!$F$239,"yes","No")</f>
        <v>No</v>
      </c>
      <c r="K17" s="96">
        <v>0.67</v>
      </c>
      <c r="L17" s="152">
        <f>+AB45</f>
        <v>0.17525931864724206</v>
      </c>
      <c r="M17" s="156">
        <f>+IF(AND(D17="Vessel",E17="Vertical"),IF(F17&lt;'Equipment Data'!$F$239,10^('Equipment Data'!$B$239+'Equipment Data'!$C$239*LOG10(F17)+'Equipment Data'!$D$239*LOG10(F17)*LOG10(F17)),10^('Equipment Data'!$B$239+'Equipment Data'!$C$239*LOG10('Equipment Data'!$F$239)+'Equipment Data'!$D$239*LOG10('Equipment Data'!$F$239)*LOG10('Equipment Data'!$F$239))*(F17/'Equipment Data'!$F$239)^K17),"N/A")</f>
        <v>139200.46242615068</v>
      </c>
      <c r="N17" s="155">
        <f>+IF(L17="","Input Diameter in m",IF(G17&gt;0.5,IF(((G17*L17)/(2*(850-0.6*G17))+0.00315)/0.0063&lt;1,1,((G17*L17)/(2*(850-0.6*G17))+0.00315)/0.0063),1.25))</f>
        <v>1</v>
      </c>
      <c r="O17" s="96">
        <f>+IF(I17="CS",'Equipment Data'!$C$247,IF(I17="SS Clad",'Equipment Data'!$C$248,IF(I17="SS",'Equipment Data'!$C$249,IF(I17="Ni Clad",'Equipment Data'!$C$250,IF(I17="Ni",'Equipment Data'!$C$251,IF(I17="Ti Clad",'Equipment Data'!$C$252,IF(I17="Ti",'Equipment Data'!$C$253,"N/A")))))))</f>
        <v>1.74</v>
      </c>
      <c r="P17" s="153">
        <f>+'Equipment Data'!$C$244+'Equipment Data'!$D$244*N17*O17</f>
        <v>5.4168000000000003</v>
      </c>
      <c r="Q17" s="153">
        <f>+M17*P17</f>
        <v>754021.06486997311</v>
      </c>
      <c r="R17" s="97">
        <f>+AF43</f>
        <v>1.5</v>
      </c>
      <c r="S17" s="193">
        <f>+IF(Tabla2587901201356366[[#This Row],[Equipment]]="","",Q17*R17/10^6)</f>
        <v>1.1310315973049598</v>
      </c>
      <c r="T17" s="587">
        <f t="shared" ca="1" si="0"/>
        <v>1.8255680876146729</v>
      </c>
      <c r="U17" s="104"/>
      <c r="V17" s="83"/>
      <c r="W17" s="83"/>
      <c r="X17" s="83"/>
      <c r="Y17" s="83"/>
      <c r="Z17" s="83"/>
      <c r="AA17" s="83"/>
      <c r="AB17" s="83"/>
      <c r="AC17" s="83"/>
      <c r="AD17" s="83"/>
      <c r="AE17" s="83"/>
      <c r="AF17" s="83"/>
      <c r="AG17" s="83"/>
      <c r="AH17" s="83"/>
      <c r="AI17" s="83"/>
      <c r="AJ17" s="83"/>
      <c r="AK17" s="83"/>
      <c r="AL17" s="83"/>
      <c r="AM17" s="83"/>
      <c r="AN17" s="83"/>
      <c r="AO17" s="104"/>
      <c r="AP17" s="83"/>
      <c r="AQ17" s="215"/>
      <c r="AR17" s="371"/>
    </row>
    <row r="18" spans="1:44" ht="16.25" customHeight="1" x14ac:dyDescent="0.2">
      <c r="A18" s="83"/>
      <c r="B18" s="103"/>
      <c r="C18" s="99" t="s">
        <v>433</v>
      </c>
      <c r="D18" s="208" t="s">
        <v>177</v>
      </c>
      <c r="E18" s="208" t="s">
        <v>178</v>
      </c>
      <c r="F18" s="152">
        <f t="shared" ref="F18:F19" si="1">+AD46+AE46</f>
        <v>387.1087801808103</v>
      </c>
      <c r="G18" s="96">
        <v>1.2</v>
      </c>
      <c r="H18" s="96" t="s">
        <v>179</v>
      </c>
      <c r="I18" s="740" t="s">
        <v>426</v>
      </c>
      <c r="J18" s="96" t="str">
        <f>+IF(F18&gt;'Equipment Data'!$F$239,"yes","No")</f>
        <v>No</v>
      </c>
      <c r="K18" s="96">
        <v>0.67</v>
      </c>
      <c r="L18" s="152">
        <f t="shared" ref="L18:L19" si="2">+AB46</f>
        <v>5.9863420521222004</v>
      </c>
      <c r="M18" s="156">
        <f>+IF(AND(D18="Vessel",E18="Vertical"),IF(F18&lt;'Equipment Data'!$F$239,10^('Equipment Data'!$B$239+'Equipment Data'!$C$239*LOG10(F18)+'Equipment Data'!$D$239*LOG10(F18)*LOG10(F18)),10^('Equipment Data'!$B$239+'Equipment Data'!$C$239*LOG10('Equipment Data'!$F$239)+'Equipment Data'!$D$239*LOG10('Equipment Data'!$F$239)*LOG10('Equipment Data'!$F$239))*(F18/'Equipment Data'!$F$239)^K18),"N/A")</f>
        <v>238389.97897929529</v>
      </c>
      <c r="N18" s="155">
        <f>+IF(L18="","Input Diameter in m",IF(G18&gt;0.5,IF(((G18*L18)/(2*(850-0.6*G18))+0.00315)/0.0063&lt;1,1,((G18*L18)/(2*(850-0.6*G18))+0.00315)/0.0063),1.25))</f>
        <v>1.1713072420024357</v>
      </c>
      <c r="O18" s="96">
        <f>+IF(I18="CS",'Equipment Data'!$C$247,IF(I18="SS Clad",'Equipment Data'!$C$248,IF(I18="SS",'Equipment Data'!$C$249,IF(I18="Ni Clad",'Equipment Data'!$C$250,IF(I18="Ni",'Equipment Data'!$C$251,IF(I18="Ti Clad",'Equipment Data'!$C$252,IF(I18="Ti",'Equipment Data'!$C$253,"N/A")))))))</f>
        <v>1.74</v>
      </c>
      <c r="P18" s="153">
        <f>+'Equipment Data'!$C$244+'Equipment Data'!$D$244*N18*O18</f>
        <v>5.959295773973313</v>
      </c>
      <c r="Q18" s="153">
        <f>+M18*P18</f>
        <v>1420636.3942889015</v>
      </c>
      <c r="R18" s="97">
        <f>+R17</f>
        <v>1.5</v>
      </c>
      <c r="S18" s="193">
        <f>+IF(Tabla2587901201356366[[#This Row],[Equipment]]="","",Q18*R18/10^6)</f>
        <v>2.1309545914333525</v>
      </c>
      <c r="T18" s="587">
        <f t="shared" ca="1" si="0"/>
        <v>3.4395172580026316</v>
      </c>
      <c r="U18" s="104"/>
      <c r="V18" s="83"/>
      <c r="W18" s="83"/>
      <c r="X18" s="83"/>
      <c r="Y18" s="83"/>
      <c r="Z18" s="83"/>
      <c r="AA18" s="83"/>
      <c r="AB18" s="83"/>
      <c r="AC18" s="83"/>
      <c r="AD18" s="83"/>
      <c r="AE18" s="83"/>
      <c r="AF18" s="83"/>
      <c r="AG18" s="83"/>
      <c r="AH18" s="83"/>
      <c r="AI18" s="83"/>
      <c r="AJ18" s="83"/>
      <c r="AK18" s="83"/>
      <c r="AL18" s="83"/>
      <c r="AM18" s="83"/>
      <c r="AN18" s="83"/>
      <c r="AO18" s="104"/>
      <c r="AP18" s="83"/>
      <c r="AQ18" s="215"/>
      <c r="AR18" s="371"/>
    </row>
    <row r="19" spans="1:44" ht="16.25" customHeight="1" x14ac:dyDescent="0.2">
      <c r="A19" s="83"/>
      <c r="B19" s="103"/>
      <c r="C19" s="99" t="s">
        <v>425</v>
      </c>
      <c r="D19" s="208" t="s">
        <v>177</v>
      </c>
      <c r="E19" s="208" t="s">
        <v>178</v>
      </c>
      <c r="F19" s="152">
        <f t="shared" si="1"/>
        <v>144.84511272617578</v>
      </c>
      <c r="G19" s="96">
        <v>1.2</v>
      </c>
      <c r="H19" s="96" t="s">
        <v>179</v>
      </c>
      <c r="I19" s="740" t="s">
        <v>426</v>
      </c>
      <c r="J19" s="96" t="str">
        <f>+IF(F19&gt;'Equipment Data'!$F$239,"yes","No")</f>
        <v>No</v>
      </c>
      <c r="K19" s="96">
        <v>0.67</v>
      </c>
      <c r="L19" s="152">
        <f t="shared" si="2"/>
        <v>5.6708762962829722</v>
      </c>
      <c r="M19" s="156">
        <f>+IF(AND(D19="Vessel",E19="Vertical"),IF(F19&lt;'Equipment Data'!$F$239,10^('Equipment Data'!$B$239+'Equipment Data'!$C$239*LOG10(F19)+'Equipment Data'!$D$239*LOG10(F19)*LOG10(F19)),10^('Equipment Data'!$B$239+'Equipment Data'!$C$239*LOG10('Equipment Data'!$F$239)+'Equipment Data'!$D$239*LOG10('Equipment Data'!$F$239)*LOG10('Equipment Data'!$F$239))*(F19/'Equipment Data'!$F$239)^K19),"N/A")</f>
        <v>92911.668329858716</v>
      </c>
      <c r="N19" s="155">
        <f>+IF(L19="","Input Diameter in m",IF(G19&gt;0.5,IF(((G19*L19)/(2*(850-0.6*G19))+0.00315)/0.0063&lt;1,1,((G19*L19)/(2*(850-0.6*G19))+0.00315)/0.0063),1.25))</f>
        <v>1.1359309730464093</v>
      </c>
      <c r="O19" s="96">
        <f>+IF(I19="CS",'Equipment Data'!$C$247,IF(I19="SS Clad",'Equipment Data'!$C$248,IF(I19="SS",'Equipment Data'!$C$249,IF(I19="Ni Clad",'Equipment Data'!$C$250,IF(I19="Ni",'Equipment Data'!$C$251,IF(I19="Ti Clad",'Equipment Data'!$C$252,IF(I19="Ti",'Equipment Data'!$C$253,"N/A")))))))</f>
        <v>1.74</v>
      </c>
      <c r="P19" s="153">
        <f>+'Equipment Data'!$C$244+'Equipment Data'!$D$244*N19*O19</f>
        <v>5.8472662054433693</v>
      </c>
      <c r="Q19" s="153">
        <f>+M19*P19</f>
        <v>543279.25831654586</v>
      </c>
      <c r="R19" s="97">
        <f>+R18</f>
        <v>1.5</v>
      </c>
      <c r="S19" s="193">
        <f>+IF(Tabla2587901201356366[[#This Row],[Equipment]]="","",Q19*R19/10^6)</f>
        <v>0.81491888747481889</v>
      </c>
      <c r="T19" s="587">
        <f t="shared" ca="1" si="0"/>
        <v>1.3153389511958582</v>
      </c>
      <c r="U19" s="104"/>
      <c r="V19" s="83"/>
      <c r="W19" s="83"/>
      <c r="X19" s="83"/>
      <c r="Y19" s="83"/>
      <c r="Z19" s="83"/>
      <c r="AA19" s="83"/>
      <c r="AB19" s="83"/>
      <c r="AC19" s="83"/>
      <c r="AD19" s="83"/>
      <c r="AE19" s="83"/>
      <c r="AF19" s="83"/>
      <c r="AG19" s="83"/>
      <c r="AH19" s="83"/>
      <c r="AI19" s="83"/>
      <c r="AJ19" s="83"/>
      <c r="AK19" s="83"/>
      <c r="AL19" s="83"/>
      <c r="AM19" s="83"/>
      <c r="AN19" s="83"/>
      <c r="AO19" s="104"/>
      <c r="AP19" s="83"/>
      <c r="AQ19" s="215"/>
      <c r="AR19" s="371"/>
    </row>
    <row r="20" spans="1:44" ht="16.25" customHeight="1" x14ac:dyDescent="0.2">
      <c r="A20" s="83"/>
      <c r="B20" s="103"/>
      <c r="C20" s="99" t="s">
        <v>402</v>
      </c>
      <c r="D20" s="208" t="s">
        <v>194</v>
      </c>
      <c r="E20" s="208" t="s">
        <v>195</v>
      </c>
      <c r="F20" s="158">
        <f>+X38*1000/3600/AD38</f>
        <v>4463.4336037795192</v>
      </c>
      <c r="G20" s="96">
        <v>32</v>
      </c>
      <c r="H20" s="96" t="s">
        <v>196</v>
      </c>
      <c r="I20" s="96" t="s">
        <v>364</v>
      </c>
      <c r="J20" s="96" t="str">
        <f>+IF(F20&gt;'Equipment Data'!$L$126,"yes","No")</f>
        <v>yes</v>
      </c>
      <c r="K20" s="96">
        <v>0.67</v>
      </c>
      <c r="L20" s="96" t="s">
        <v>198</v>
      </c>
      <c r="M20" s="156">
        <f>+IF(AND(D20="Heat Exchanger",E20="Fixed tube, sheet, or U tube"),IF(F20&lt;'Equipment Data'!$L$126,10^('Equipment Data'!$C$126+'Equipment Data'!$D$126*LOG10(F20)+'Equipment Data'!$E$126*LOG10(F20)*LOG10(F20)),10^('Equipment Data'!$C$126+'Equipment Data'!$D$126*LOG10('Equipment Data'!$L$126)+'Equipment Data'!$E$126*LOG10('Equipment Data'!$L$126)*LOG10('Equipment Data'!$L$126))*(F20/'Equipment Data'!$L$126)^K20),"N/A")</f>
        <v>209690.27187164716</v>
      </c>
      <c r="N20" s="152">
        <f>+IF(L20="","Input: shell and tube / tube only",IF(L20="shell and tube",IF(G20-1&gt;5,10^('Equipment Data'!$F$126+'Equipment Data'!$G$126*LOG10(G20-1.01325)+'Equipment Data'!$H$126*LOG10(G20-1.01325)*LOG10(G20-1.01325)),1),IF(G20-1.01325&gt;5,10^('Equipment Data'!$F$127+'Equipment Data'!$G$127*LOG10(G20-1.01325)+'Equipment Data'!$H$127*LOG10(G20-1.01325)*LOG10(G20-1.01325)),1)))</f>
        <v>1.128969769016654</v>
      </c>
      <c r="O20" s="96">
        <f>+IF(I20="CS/CS",'Equipment Data'!$C$149,IF(I20="CS/Cu",'Equipment Data'!$D$149,IF(I20="Cu/Cu",'Equipment Data'!$E$149,IF(I20="CS/SS",'Equipment Data'!$F$149,IF(I20="SS/SS",'Equipment Data'!$G$149,IF(I20="CS/Ni",'Equipment Data'!$H$149,IF(I20="Ni/Ni",'Equipment Data'!$I$149,IF(I20="CS/Ti",'Equipment Data'!$J$149,IF(I20="Ti/Ti",'Equipment Data'!$K$149,"N/A")))))))))</f>
        <v>1.81</v>
      </c>
      <c r="P20" s="152">
        <f>+'Equipment Data'!$I$126+'Equipment Data'!$J$126*N20*O20</f>
        <v>5.0221025679874387</v>
      </c>
      <c r="Q20" s="153">
        <f t="shared" ref="Q20:Q23" si="3">+M20*P20</f>
        <v>1053086.0528485833</v>
      </c>
      <c r="R20" s="97">
        <v>1</v>
      </c>
      <c r="S20" s="193">
        <f>+IF(Tabla2587901201356366[[#This Row],[Equipment]]="","",Q20*R20/10^6)</f>
        <v>1.0530860528485833</v>
      </c>
      <c r="T20" s="587">
        <f t="shared" ca="1" si="0"/>
        <v>1.6997582527078725</v>
      </c>
      <c r="U20" s="104"/>
      <c r="V20" s="83"/>
      <c r="W20" s="83"/>
      <c r="X20" s="83"/>
      <c r="Y20" s="83"/>
      <c r="Z20" s="83"/>
      <c r="AA20" s="83"/>
      <c r="AB20" s="83"/>
      <c r="AC20" s="83"/>
      <c r="AD20" s="83"/>
      <c r="AE20" s="83"/>
      <c r="AF20" s="83"/>
      <c r="AG20" s="83"/>
      <c r="AH20" s="83"/>
      <c r="AI20" s="83"/>
      <c r="AJ20" s="83"/>
      <c r="AK20" s="83"/>
      <c r="AL20" s="83"/>
      <c r="AM20" s="83"/>
      <c r="AN20" s="83"/>
      <c r="AO20" s="104"/>
      <c r="AP20" s="83"/>
      <c r="AQ20" s="215"/>
      <c r="AR20" s="371"/>
    </row>
    <row r="21" spans="1:44" ht="16.25" customHeight="1" x14ac:dyDescent="0.2">
      <c r="A21" s="83"/>
      <c r="B21" s="103"/>
      <c r="C21" s="99" t="s">
        <v>402</v>
      </c>
      <c r="D21" s="208" t="s">
        <v>194</v>
      </c>
      <c r="E21" s="208" t="s">
        <v>195</v>
      </c>
      <c r="F21" s="158">
        <f t="shared" ref="F21:F23" si="4">+X39*1000/3600/AD39</f>
        <v>410.48359277419002</v>
      </c>
      <c r="G21" s="96">
        <v>32</v>
      </c>
      <c r="H21" s="96" t="s">
        <v>196</v>
      </c>
      <c r="I21" s="96" t="s">
        <v>364</v>
      </c>
      <c r="J21" s="96" t="str">
        <f>+IF(F21&gt;'Equipment Data'!$L$126,"yes","No")</f>
        <v>No</v>
      </c>
      <c r="K21" s="96">
        <v>0.67</v>
      </c>
      <c r="L21" s="96" t="s">
        <v>289</v>
      </c>
      <c r="M21" s="156">
        <f>+IF(AND(D21="Heat Exchanger",E21="Fixed tube, sheet, or U tube"),IF(F21&lt;'Equipment Data'!$L$126,10^('Equipment Data'!$C$126+'Equipment Data'!$D$126*LOG10(F21)+'Equipment Data'!$E$126*LOG10(F21)*LOG10(F21)),10^('Equipment Data'!$C$126+'Equipment Data'!$D$126*LOG10('Equipment Data'!$L$126)+'Equipment Data'!$E$126*LOG10('Equipment Data'!$L$126)*LOG10('Equipment Data'!$L$126))*(F21/'Equipment Data'!$L$126)^K21),"N/A")</f>
        <v>44543.20219380936</v>
      </c>
      <c r="N21" s="152">
        <f>+IF(L21="","Input: shell and tube / tube only",IF(L21="shell and tube",IF(G21-1&gt;5,10^('Equipment Data'!$F$126+'Equipment Data'!$G$126*LOG10(G21-1.01325)+'Equipment Data'!$H$126*LOG10(G21-1.01325)*LOG10(G21-1.01325)),1),IF(G21-1.01325&gt;5,10^('Equipment Data'!$F$127+'Equipment Data'!$G$127*LOG10(G21-1.01325)+'Equipment Data'!$H$127*LOG10(G21-1.01325)*LOG10(G21-1.01325)),1)))</f>
        <v>1.0383904360231597</v>
      </c>
      <c r="O21" s="96">
        <f>+IF(I21="CS/CS",'Equipment Data'!$C$149,IF(I21="CS/Cu",'Equipment Data'!$D$149,IF(I21="Cu/Cu",'Equipment Data'!$E$149,IF(I21="CS/SS",'Equipment Data'!$F$149,IF(I21="SS/SS",'Equipment Data'!$G$149,IF(I21="CS/Ni",'Equipment Data'!$H$149,IF(I21="Ni/Ni",'Equipment Data'!$I$149,IF(I21="CS/Ti",'Equipment Data'!$J$149,IF(I21="Ti/Ti",'Equipment Data'!$K$149,"N/A")))))))))</f>
        <v>1.81</v>
      </c>
      <c r="P21" s="152">
        <f>+'Equipment Data'!$I$126+'Equipment Data'!$J$126*N21*O21</f>
        <v>4.7499479040751851</v>
      </c>
      <c r="Q21" s="153">
        <f t="shared" si="3"/>
        <v>211577.88990128195</v>
      </c>
      <c r="R21" s="97">
        <v>1</v>
      </c>
      <c r="S21" s="193">
        <f>+IF(Tabla2587901201356366[[#This Row],[Equipment]]="","",Q21*R21/10^6)</f>
        <v>0.21157788990128196</v>
      </c>
      <c r="T21" s="587">
        <f t="shared" ca="1" si="0"/>
        <v>0.34150225755760799</v>
      </c>
      <c r="U21" s="104"/>
      <c r="V21" s="83"/>
      <c r="W21" s="83"/>
      <c r="X21" s="83"/>
      <c r="Y21" s="83"/>
      <c r="Z21" s="83"/>
      <c r="AA21" s="83"/>
      <c r="AB21" s="83"/>
      <c r="AC21" s="83"/>
      <c r="AD21" s="83"/>
      <c r="AE21" s="83"/>
      <c r="AF21" s="83"/>
      <c r="AG21" s="83"/>
      <c r="AH21" s="83"/>
      <c r="AI21" s="83"/>
      <c r="AJ21" s="83"/>
      <c r="AK21" s="83"/>
      <c r="AL21" s="83"/>
      <c r="AM21" s="83"/>
      <c r="AN21" s="83"/>
      <c r="AO21" s="104"/>
      <c r="AP21" s="83"/>
      <c r="AQ21" s="215"/>
      <c r="AR21" s="371"/>
    </row>
    <row r="22" spans="1:44" ht="16.25" customHeight="1" x14ac:dyDescent="0.2">
      <c r="A22" s="83"/>
      <c r="B22" s="103"/>
      <c r="C22" s="99" t="s">
        <v>434</v>
      </c>
      <c r="D22" s="208" t="s">
        <v>194</v>
      </c>
      <c r="E22" s="208" t="s">
        <v>195</v>
      </c>
      <c r="F22" s="158">
        <f t="shared" si="4"/>
        <v>2643.7510358669961</v>
      </c>
      <c r="G22" s="96">
        <v>1.2</v>
      </c>
      <c r="H22" s="96" t="s">
        <v>196</v>
      </c>
      <c r="I22" s="96" t="s">
        <v>364</v>
      </c>
      <c r="J22" s="96" t="str">
        <f>+IF(F22&gt;'Equipment Data'!$L$126,"yes","No")</f>
        <v>yes</v>
      </c>
      <c r="K22" s="96">
        <v>0.67</v>
      </c>
      <c r="L22" s="96" t="s">
        <v>198</v>
      </c>
      <c r="M22" s="156">
        <f>+IF(AND(D22="Heat Exchanger",E22="Fixed tube, sheet, or U tube"),IF(F22&lt;'Equipment Data'!$L$126,10^('Equipment Data'!$C$126+'Equipment Data'!$D$126*LOG10(F22)+'Equipment Data'!$E$126*LOG10(F22)*LOG10(F22)),10^('Equipment Data'!$C$126+'Equipment Data'!$D$126*LOG10('Equipment Data'!$L$126)+'Equipment Data'!$E$126*LOG10('Equipment Data'!$L$126)*LOG10('Equipment Data'!$L$126))*(F22/'Equipment Data'!$L$126)^K22),"N/A")</f>
        <v>147634.47084155196</v>
      </c>
      <c r="N22" s="152">
        <f>+IF(L22="","Input: shell and tube / tube only",IF(L22="shell and tube",IF(G22-1&gt;5,10^('Equipment Data'!$F$126+'Equipment Data'!$G$126*LOG10(G22-1.01325)+'Equipment Data'!$H$126*LOG10(G22-1.01325)*LOG10(G22-1.01325)),1),IF(G22-1.01325&gt;5,10^('Equipment Data'!$F$127+'Equipment Data'!$G$127*LOG10(G22-1.01325)+'Equipment Data'!$H$127*LOG10(G22-1.01325)*LOG10(G22-1.01325)),1)))</f>
        <v>1</v>
      </c>
      <c r="O22" s="96">
        <f>+IF(I22="CS/CS",'Equipment Data'!$C$149,IF(I22="CS/Cu",'Equipment Data'!$D$149,IF(I22="Cu/Cu",'Equipment Data'!$E$149,IF(I22="CS/SS",'Equipment Data'!$F$149,IF(I22="SS/SS",'Equipment Data'!$G$149,IF(I22="CS/Ni",'Equipment Data'!$H$149,IF(I22="Ni/Ni",'Equipment Data'!$I$149,IF(I22="CS/Ti",'Equipment Data'!$J$149,IF(I22="Ti/Ti",'Equipment Data'!$K$149,"N/A")))))))))</f>
        <v>1.81</v>
      </c>
      <c r="P22" s="152">
        <f>+'Equipment Data'!$I$126+'Equipment Data'!$J$126*N22*O22</f>
        <v>4.6345999999999998</v>
      </c>
      <c r="Q22" s="153">
        <f t="shared" si="3"/>
        <v>684226.71856225666</v>
      </c>
      <c r="R22" s="97">
        <v>1</v>
      </c>
      <c r="S22" s="193">
        <f>+IF(Tabla2587901201356366[[#This Row],[Equipment]]="","",Q22*R22/10^6)</f>
        <v>0.6842267185622567</v>
      </c>
      <c r="T22" s="587">
        <f t="shared" ca="1" si="0"/>
        <v>1.1043921894639754</v>
      </c>
      <c r="U22" s="104"/>
      <c r="V22" s="83"/>
      <c r="W22" s="83"/>
      <c r="X22" s="83"/>
      <c r="Y22" s="83"/>
      <c r="Z22" s="83"/>
      <c r="AA22" s="83"/>
      <c r="AB22" s="83"/>
      <c r="AC22" s="83"/>
      <c r="AD22" s="83"/>
      <c r="AE22" s="83"/>
      <c r="AF22" s="83"/>
      <c r="AG22" s="83"/>
      <c r="AH22" s="83"/>
      <c r="AI22" s="83"/>
      <c r="AJ22" s="83"/>
      <c r="AK22" s="83"/>
      <c r="AL22" s="83"/>
      <c r="AM22" s="83"/>
      <c r="AN22" s="83"/>
      <c r="AO22" s="104"/>
      <c r="AP22" s="83"/>
      <c r="AQ22" s="215"/>
      <c r="AR22" s="371"/>
    </row>
    <row r="23" spans="1:44" ht="16.25" customHeight="1" x14ac:dyDescent="0.2">
      <c r="A23" s="83"/>
      <c r="B23" s="103"/>
      <c r="C23" s="99" t="s">
        <v>435</v>
      </c>
      <c r="D23" s="208" t="s">
        <v>194</v>
      </c>
      <c r="E23" s="208" t="s">
        <v>195</v>
      </c>
      <c r="F23" s="158">
        <f t="shared" si="4"/>
        <v>1567.5127290231335</v>
      </c>
      <c r="G23" s="96">
        <v>32</v>
      </c>
      <c r="H23" s="96" t="s">
        <v>196</v>
      </c>
      <c r="I23" s="96" t="s">
        <v>364</v>
      </c>
      <c r="J23" s="96" t="str">
        <f>+IF(F23&gt;'Equipment Data'!$L$126,"yes","No")</f>
        <v>yes</v>
      </c>
      <c r="K23" s="96">
        <v>0.67</v>
      </c>
      <c r="L23" s="96" t="s">
        <v>289</v>
      </c>
      <c r="M23" s="156">
        <f>+IF(AND(D23="Heat Exchanger",E23="Fixed tube, sheet, or U tube"),IF(F23&lt;'Equipment Data'!$L$126,10^('Equipment Data'!$C$126+'Equipment Data'!$D$126*LOG10(F23)+'Equipment Data'!$E$126*LOG10(F23)*LOG10(F23)),10^('Equipment Data'!$C$126+'Equipment Data'!$D$126*LOG10('Equipment Data'!$L$126)+'Equipment Data'!$E$126*LOG10('Equipment Data'!$L$126)*LOG10('Equipment Data'!$L$126))*(F23/'Equipment Data'!$L$126)^K23),"N/A")</f>
        <v>104013.90970368794</v>
      </c>
      <c r="N23" s="152">
        <f>+IF(L23="","Input: shell and tube / tube only",IF(L23="shell and tube",IF(G23-1&gt;5,10^('Equipment Data'!$F$126+'Equipment Data'!$G$126*LOG10(G23-1.01325)+'Equipment Data'!$H$126*LOG10(G23-1.01325)*LOG10(G23-1.01325)),1),IF(G23-1.01325&gt;5,10^('Equipment Data'!$F$127+'Equipment Data'!$G$127*LOG10(G23-1.01325)+'Equipment Data'!$H$127*LOG10(G23-1.01325)*LOG10(G23-1.01325)),1)))</f>
        <v>1.0383904360231597</v>
      </c>
      <c r="O23" s="96">
        <f>+IF(I23="CS/CS",'Equipment Data'!$C$149,IF(I23="CS/Cu",'Equipment Data'!$D$149,IF(I23="Cu/Cu",'Equipment Data'!$E$149,IF(I23="CS/SS",'Equipment Data'!$F$149,IF(I23="SS/SS",'Equipment Data'!$G$149,IF(I23="CS/Ni",'Equipment Data'!$H$149,IF(I23="Ni/Ni",'Equipment Data'!$I$149,IF(I23="CS/Ti",'Equipment Data'!$J$149,IF(I23="Ti/Ti",'Equipment Data'!$K$149,"N/A")))))))))</f>
        <v>1.81</v>
      </c>
      <c r="P23" s="152">
        <f>+'Equipment Data'!$I$126+'Equipment Data'!$J$126*N23*O23</f>
        <v>4.7499479040751851</v>
      </c>
      <c r="Q23" s="153">
        <f t="shared" si="3"/>
        <v>494060.6523916981</v>
      </c>
      <c r="R23" s="97">
        <v>1</v>
      </c>
      <c r="S23" s="193">
        <f>+IF(Tabla2587901201356366[[#This Row],[Equipment]]="","",Q23*R23/10^6)</f>
        <v>0.49406065239169811</v>
      </c>
      <c r="T23" s="587">
        <f t="shared" ca="1" si="0"/>
        <v>0.79745018839573567</v>
      </c>
      <c r="U23" s="104"/>
      <c r="V23" s="83"/>
      <c r="W23" s="83"/>
      <c r="X23" s="83"/>
      <c r="Y23" s="83"/>
      <c r="Z23" s="83"/>
      <c r="AA23" s="83"/>
      <c r="AB23" s="83"/>
      <c r="AC23" s="83"/>
      <c r="AD23" s="83"/>
      <c r="AE23" s="83"/>
      <c r="AF23" s="83"/>
      <c r="AG23" s="83"/>
      <c r="AH23" s="83"/>
      <c r="AI23" s="83"/>
      <c r="AJ23" s="83"/>
      <c r="AK23" s="83"/>
      <c r="AL23" s="83"/>
      <c r="AM23" s="83"/>
      <c r="AN23" s="83"/>
      <c r="AO23" s="104"/>
      <c r="AP23" s="83"/>
      <c r="AQ23" s="215"/>
      <c r="AR23" s="371"/>
    </row>
    <row r="24" spans="1:44" ht="16.25" customHeight="1" x14ac:dyDescent="0.2">
      <c r="A24" s="83"/>
      <c r="B24" s="103"/>
      <c r="C24" s="99"/>
      <c r="D24" s="208"/>
      <c r="E24" s="208"/>
      <c r="F24" s="158"/>
      <c r="G24" s="96"/>
      <c r="H24" s="96"/>
      <c r="I24" s="96"/>
      <c r="J24" s="96"/>
      <c r="K24" s="96"/>
      <c r="L24" s="96"/>
      <c r="M24" s="156"/>
      <c r="N24" s="152"/>
      <c r="O24" s="96"/>
      <c r="P24" s="152"/>
      <c r="Q24" s="153"/>
      <c r="R24" s="97"/>
      <c r="S24" s="193" t="str">
        <f>+IF(Tabla2587901201356366[[#This Row],[Equipment]]="","",Q24*R24/10^6)</f>
        <v/>
      </c>
      <c r="T24" s="587"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15"/>
      <c r="AR24" s="371"/>
    </row>
    <row r="25" spans="1:44" ht="16.25" customHeight="1" x14ac:dyDescent="0.2">
      <c r="A25" s="83"/>
      <c r="B25" s="103"/>
      <c r="C25" s="99" t="s">
        <v>436</v>
      </c>
      <c r="D25" s="208" t="s">
        <v>184</v>
      </c>
      <c r="E25" s="208" t="s">
        <v>185</v>
      </c>
      <c r="F25" s="96">
        <v>1347</v>
      </c>
      <c r="G25" s="96">
        <v>33</v>
      </c>
      <c r="H25" s="96" t="s">
        <v>186</v>
      </c>
      <c r="I25" s="96" t="s">
        <v>410</v>
      </c>
      <c r="J25" s="96" t="str">
        <f>+IF(F25&gt;'Equipment Data'!$S$179,"yes","No")</f>
        <v>yes</v>
      </c>
      <c r="K25" s="96">
        <v>0.67</v>
      </c>
      <c r="L25" s="96" t="s">
        <v>187</v>
      </c>
      <c r="M25" s="156">
        <f>+IF(AND(D25="Pump",E25="Centrifugal pump"),IF(F25&lt;'Equipment Data'!$S$179,10^('Equipment Data'!$C$179+'Equipment Data'!$D$179*LOG10(F25)+'Equipment Data'!$E$179*LOG10(F25)*LOG10(F25)),10^('Equipment Data'!$C$179+'Equipment Data'!$D$179*LOG10('Equipment Data'!$S$179)+'Equipment Data'!$E$179*LOG10('Equipment Data'!$S$179)*LOG10('Equipment Data'!$S$179))*(F25/'Equipment Data'!$S$179)^K25),"N/A")</f>
        <v>79931.046166934233</v>
      </c>
      <c r="N25" s="158">
        <f>+IF(G25-1.01325&gt;10,10^('Equipment Data'!$F$179+'Equipment Data'!$G$179*LOG10(G25-1.01325)+'Equipment Data'!$H$179*LOG10(G25-1.01325)*LOG10(G25-1.01325)),1)</f>
        <v>1.57361295274335</v>
      </c>
      <c r="O25" s="96">
        <f>+IF(I25="Cl",'Equipment Data'!$K$179,IF(I25="CS",'Equipment Data'!$L$179,IF(I25="Cu",'Equipment Data'!$M$179,IF(I25="SS",'Equipment Data'!$N$179,IF(I25="Ni",'Equipment Data'!$O$179,IF(I25="Ti",'Equipment Data'!$P$179,"N/A"))))))</f>
        <v>2.2799999999999998</v>
      </c>
      <c r="P25" s="152">
        <f>+'Equipment Data'!$I$179+'Equipment Data'!$J$179*O25*N25</f>
        <v>6.7335806685440307</v>
      </c>
      <c r="Q25" s="153">
        <f>+P25*M25</f>
        <v>538222.14728616877</v>
      </c>
      <c r="R25" s="97">
        <v>2</v>
      </c>
      <c r="S25" s="193">
        <f>+IF(Tabla2587901201356366[[#This Row],[Equipment]]="","",Q25*R25/10^6)</f>
        <v>1.0764442945723376</v>
      </c>
      <c r="T25" s="587">
        <f t="shared" ca="1" si="0"/>
        <v>1.7374601708287134</v>
      </c>
      <c r="U25" s="104"/>
      <c r="V25" s="83"/>
      <c r="W25" s="83"/>
      <c r="X25" s="83"/>
      <c r="Y25" s="83"/>
      <c r="Z25" s="83"/>
      <c r="AA25" s="83"/>
      <c r="AB25" s="83"/>
      <c r="AC25" s="83"/>
      <c r="AD25" s="83"/>
      <c r="AE25" s="83"/>
      <c r="AF25" s="83"/>
      <c r="AG25" s="83"/>
      <c r="AH25" s="83"/>
      <c r="AI25" s="83"/>
      <c r="AJ25" s="83"/>
      <c r="AK25" s="83"/>
      <c r="AL25" s="83"/>
      <c r="AM25" s="83"/>
      <c r="AN25" s="83"/>
      <c r="AO25" s="104"/>
      <c r="AP25" s="83"/>
      <c r="AQ25" s="215"/>
      <c r="AR25" s="371"/>
    </row>
    <row r="26" spans="1:44" ht="16.25" customHeight="1" x14ac:dyDescent="0.2">
      <c r="A26" s="83"/>
      <c r="B26" s="103"/>
      <c r="C26" s="99" t="s">
        <v>399</v>
      </c>
      <c r="D26" s="208" t="s">
        <v>189</v>
      </c>
      <c r="E26" s="208" t="s">
        <v>190</v>
      </c>
      <c r="F26" s="152">
        <f>0.0196698096534302*1000</f>
        <v>19.6698096534302</v>
      </c>
      <c r="G26" s="96" t="s">
        <v>187</v>
      </c>
      <c r="H26" s="96" t="s">
        <v>186</v>
      </c>
      <c r="I26" s="96" t="s">
        <v>410</v>
      </c>
      <c r="J26" s="96" t="str">
        <f>+IF(F26&gt;'Equipment Data'!$J$19,"yes","No")</f>
        <v>No</v>
      </c>
      <c r="K26" s="96">
        <v>0.67</v>
      </c>
      <c r="L26" s="96" t="s">
        <v>187</v>
      </c>
      <c r="M26" s="156">
        <f>+IF(AND(D26="Compressor",E26="Centrifugal"),IF(F26&lt;'Equipment Data'!$J$19,10^('Equipment Data'!$C$19+'Equipment Data'!$D$19*LOG10(F26)+'Equipment Data'!$E$19*LOG10(F26)*LOG10(F26)),10^('Equipment Data'!$C$19+'Equipment Data'!$D$19*LOG10('Equipment Data'!$J$19)+'Equipment Data'!$E$19*LOG10('Equipment Data'!$J$19)*LOG10('Equipment Data'!$J$19))*(F26/'Equipment Data'!$J$19)^K26),"N/A")</f>
        <v>7538.314777399235</v>
      </c>
      <c r="N26" s="96" t="s">
        <v>187</v>
      </c>
      <c r="O26" s="158" t="s">
        <v>187</v>
      </c>
      <c r="P26" s="152">
        <f>+IF(I26="CS",'Equipment Data'!$F$19,IF(I26="SS",'Equipment Data'!$G$19,IF(I26="Ni",'Equipment Data'!$H$19,"N/A")))</f>
        <v>5.75</v>
      </c>
      <c r="Q26" s="153">
        <f t="shared" ref="Q26" si="5">+M26*P26</f>
        <v>43345.3099700456</v>
      </c>
      <c r="R26" s="97">
        <v>1</v>
      </c>
      <c r="S26" s="193">
        <f>+IF(Tabla2587901201356366[[#This Row],[Equipment]]="","",Q26*R26/10^6)</f>
        <v>4.3345309970045598E-2</v>
      </c>
      <c r="T26" s="587">
        <f t="shared" ca="1" si="0"/>
        <v>6.9962514590779915E-2</v>
      </c>
      <c r="U26" s="104"/>
      <c r="V26" s="83"/>
      <c r="W26" s="83"/>
      <c r="X26" s="83"/>
      <c r="Y26" s="83"/>
      <c r="Z26" s="83"/>
      <c r="AA26" s="83"/>
      <c r="AB26" s="83"/>
      <c r="AC26" s="83"/>
      <c r="AD26" s="83"/>
      <c r="AE26" s="83"/>
      <c r="AF26" s="83"/>
      <c r="AG26" s="83"/>
      <c r="AH26" s="83"/>
      <c r="AI26" s="83"/>
      <c r="AJ26" s="83"/>
      <c r="AK26" s="83"/>
      <c r="AL26" s="83"/>
      <c r="AM26" s="83"/>
      <c r="AN26" s="83"/>
      <c r="AO26" s="104"/>
      <c r="AP26" s="83"/>
      <c r="AQ26" s="215"/>
      <c r="AR26" s="371"/>
    </row>
    <row r="27" spans="1:44" ht="16.25" customHeight="1" x14ac:dyDescent="0.2">
      <c r="A27" s="83"/>
      <c r="B27" s="103"/>
      <c r="C27" s="99" t="s">
        <v>437</v>
      </c>
      <c r="D27" s="208" t="s">
        <v>177</v>
      </c>
      <c r="E27" s="208" t="s">
        <v>178</v>
      </c>
      <c r="F27" s="152">
        <f>+AK49*AK50</f>
        <v>116.36936659766822</v>
      </c>
      <c r="G27" s="96">
        <f>+G13</f>
        <v>32</v>
      </c>
      <c r="H27" s="96" t="s">
        <v>179</v>
      </c>
      <c r="I27" s="740" t="s">
        <v>426</v>
      </c>
      <c r="J27" s="96" t="str">
        <f>+IF(F27&gt;'Equipment Data'!$F$239,"yes","No")</f>
        <v>No</v>
      </c>
      <c r="K27" s="96">
        <v>0.67</v>
      </c>
      <c r="L27" s="152">
        <f>+AK48</f>
        <v>3.3334678119063108</v>
      </c>
      <c r="M27" s="156">
        <f>+IF(AND(D27="Vessel",E27="Vertical"),IF(F27&lt;'Equipment Data'!$F$239,10^('Equipment Data'!$B$239+'Equipment Data'!$C$239*LOG10(F27)+'Equipment Data'!$D$239*LOG10(F27)*LOG10(F27)),10^('Equipment Data'!$B$239+'Equipment Data'!$C$239*LOG10('Equipment Data'!$F$239)+'Equipment Data'!$D$239*LOG10('Equipment Data'!$F$239)*LOG10('Equipment Data'!$F$239))*(F27/'Equipment Data'!$F$239)^K27),"N/A")</f>
        <v>76256.784155255722</v>
      </c>
      <c r="N27" s="155">
        <f>+IF(L27="","Input Diameter in m",IF(G27&gt;0.5,IF(((G27*L27)/(2*(850-0.6*G27))+0.00315)/0.0063&lt;1,1,((G27*L27)/(2*(850-0.6*G27))+0.00315)/0.0063),1.25))</f>
        <v>10.690117956779272</v>
      </c>
      <c r="O27" s="96">
        <f>+IF(I27="CS",'Equipment Data'!$C$247,IF(I27="SS Clad",'Equipment Data'!$C$248,IF(I27="SS",'Equipment Data'!$C$249,IF(I27="Ni Clad",'Equipment Data'!$C$250,IF(I27="Ni",'Equipment Data'!$C$251,IF(I27="Ti Clad",'Equipment Data'!$C$252,IF(I27="Ti",'Equipment Data'!$C$253,"N/A")))))))</f>
        <v>1.74</v>
      </c>
      <c r="P27" s="153">
        <f>+'Equipment Data'!$C$244+'Equipment Data'!$D$244*N27*O27</f>
        <v>36.1034655455286</v>
      </c>
      <c r="Q27" s="153">
        <f>+M27*P27</f>
        <v>2753134.1793620861</v>
      </c>
      <c r="R27" s="97">
        <f>+AF43</f>
        <v>1.5</v>
      </c>
      <c r="S27" s="193">
        <f>+IF(Tabla2587901201356366[[#This Row],[Equipment]]="","",Q27*R27/10^6)</f>
        <v>4.129701269043129</v>
      </c>
      <c r="T27" s="587">
        <f t="shared" ca="1" si="0"/>
        <v>6.6656412306350452</v>
      </c>
      <c r="U27" s="104"/>
      <c r="V27" s="83"/>
      <c r="W27" s="83"/>
      <c r="X27" s="83"/>
      <c r="Y27" s="83"/>
      <c r="Z27" s="83"/>
      <c r="AA27" s="83"/>
      <c r="AB27" s="83"/>
      <c r="AC27" s="83"/>
      <c r="AD27" s="83"/>
      <c r="AE27" s="83"/>
      <c r="AF27" s="83"/>
      <c r="AG27" s="83"/>
      <c r="AH27" s="83"/>
      <c r="AI27" s="83"/>
      <c r="AJ27" s="83"/>
      <c r="AK27" s="83"/>
      <c r="AL27" s="83"/>
      <c r="AM27" s="83"/>
      <c r="AN27" s="83"/>
      <c r="AO27" s="104"/>
      <c r="AP27" s="83"/>
      <c r="AQ27" s="215"/>
      <c r="AR27" s="371"/>
    </row>
    <row r="28" spans="1:44" ht="16.25" customHeight="1" x14ac:dyDescent="0.2">
      <c r="A28" s="83"/>
      <c r="B28" s="103"/>
      <c r="C28" s="99"/>
      <c r="D28" s="208"/>
      <c r="E28" s="208"/>
      <c r="F28" s="158"/>
      <c r="G28" s="158"/>
      <c r="H28" s="395" t="str">
        <f>IF(Tabla2788911211366484[[#This Row],[Subtype]]="","",VLOOKUP(Tabla2788911211366484[[#This Row],[Subtype]],'Unit-X00 Equipment'!$E$13:$H$107,4,FALSE))</f>
        <v/>
      </c>
      <c r="I28" s="96"/>
      <c r="J28" s="96"/>
      <c r="K28" s="96"/>
      <c r="L28" s="96"/>
      <c r="M28" s="234"/>
      <c r="N28" s="158"/>
      <c r="O28" s="158"/>
      <c r="P28" s="158"/>
      <c r="Q28" s="158"/>
      <c r="R28" s="97"/>
      <c r="S28" s="193" t="str">
        <f>+IF(Tabla2587901201356366[[#This Row],[Equipment]]="","",Q28*R28/10^6)</f>
        <v/>
      </c>
      <c r="T28" s="587"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15"/>
      <c r="AR28" s="371"/>
    </row>
    <row r="29" spans="1:44" ht="16.25" customHeight="1" x14ac:dyDescent="0.2">
      <c r="A29" s="83"/>
      <c r="B29" s="103"/>
      <c r="C29" s="99"/>
      <c r="D29" s="208"/>
      <c r="E29" s="208"/>
      <c r="F29" s="158"/>
      <c r="G29" s="158"/>
      <c r="H29" s="395" t="str">
        <f>IF(Tabla2788911211366484[[#This Row],[Subtype]]="","",VLOOKUP(Tabla2788911211366484[[#This Row],[Subtype]],'Unit-X00 Equipment'!$E$13:$H$107,4,FALSE))</f>
        <v/>
      </c>
      <c r="I29" s="96"/>
      <c r="J29" s="96"/>
      <c r="K29" s="96"/>
      <c r="L29" s="96"/>
      <c r="M29" s="234"/>
      <c r="N29" s="158"/>
      <c r="O29" s="158"/>
      <c r="P29" s="158"/>
      <c r="Q29" s="158"/>
      <c r="R29" s="97"/>
      <c r="S29" s="193" t="str">
        <f>+IF(Tabla2587901201356366[[#This Row],[Equipment]]="","",Q29*R29/10^6)</f>
        <v/>
      </c>
      <c r="T29" s="587"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15"/>
      <c r="AR29" s="371"/>
    </row>
    <row r="30" spans="1:44" ht="16.25" customHeight="1" x14ac:dyDescent="0.2">
      <c r="A30" s="83"/>
      <c r="B30" s="103"/>
      <c r="C30" s="99"/>
      <c r="D30" s="208"/>
      <c r="E30" s="208"/>
      <c r="F30" s="158"/>
      <c r="G30" s="158"/>
      <c r="H30" s="395" t="str">
        <f>IF(Tabla2788911211366484[[#This Row],[Subtype]]="","",VLOOKUP(Tabla2788911211366484[[#This Row],[Subtype]],'Unit-X00 Equipment'!$E$13:$H$107,4,FALSE))</f>
        <v/>
      </c>
      <c r="I30" s="96"/>
      <c r="J30" s="96"/>
      <c r="K30" s="96"/>
      <c r="L30" s="96"/>
      <c r="M30" s="234"/>
      <c r="N30" s="158"/>
      <c r="O30" s="158"/>
      <c r="P30" s="158"/>
      <c r="Q30" s="158"/>
      <c r="R30" s="97"/>
      <c r="S30" s="193" t="str">
        <f>+IF(Tabla2587901201356366[[#This Row],[Equipment]]="","",Q30*R30/10^6)</f>
        <v/>
      </c>
      <c r="T30" s="587"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15"/>
      <c r="AR30" s="371"/>
    </row>
    <row r="31" spans="1:44" ht="16.25" customHeight="1" x14ac:dyDescent="0.2">
      <c r="A31" s="83"/>
      <c r="B31" s="103"/>
      <c r="C31" s="99"/>
      <c r="D31" s="208"/>
      <c r="E31" s="208"/>
      <c r="F31" s="158"/>
      <c r="G31" s="158"/>
      <c r="H31" s="395" t="str">
        <f>IF(Tabla2788911211366484[[#This Row],[Subtype]]="","",VLOOKUP(Tabla2788911211366484[[#This Row],[Subtype]],'Unit-X00 Equipment'!$E$13:$H$107,4,FALSE))</f>
        <v/>
      </c>
      <c r="I31" s="96"/>
      <c r="J31" s="96"/>
      <c r="K31" s="96"/>
      <c r="L31" s="96"/>
      <c r="M31" s="234"/>
      <c r="N31" s="158"/>
      <c r="O31" s="158"/>
      <c r="P31" s="158"/>
      <c r="Q31" s="158"/>
      <c r="R31" s="97"/>
      <c r="S31" s="193" t="str">
        <f>+IF(Tabla2587901201356366[[#This Row],[Equipment]]="","",Q31*R31/10^6)</f>
        <v/>
      </c>
      <c r="T31" s="587"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15"/>
      <c r="AR31" s="371"/>
    </row>
    <row r="32" spans="1:44" ht="16.25" customHeight="1" x14ac:dyDescent="0.2">
      <c r="A32" s="83"/>
      <c r="B32" s="103"/>
      <c r="C32" s="99"/>
      <c r="D32" s="208"/>
      <c r="E32" s="208"/>
      <c r="F32" s="158"/>
      <c r="G32" s="158"/>
      <c r="H32" s="395" t="str">
        <f>IF(Tabla2788911211366484[[#This Row],[Subtype]]="","",VLOOKUP(Tabla2788911211366484[[#This Row],[Subtype]],'Unit-X00 Equipment'!$E$13:$H$107,4,FALSE))</f>
        <v/>
      </c>
      <c r="I32" s="96"/>
      <c r="J32" s="96"/>
      <c r="K32" s="96"/>
      <c r="L32" s="96"/>
      <c r="M32" s="156"/>
      <c r="N32" s="96"/>
      <c r="O32" s="96"/>
      <c r="P32" s="152"/>
      <c r="Q32" s="153"/>
      <c r="R32" s="97"/>
      <c r="S32" s="193" t="str">
        <f>+IF(Tabla2587901201356366[[#This Row],[Equipment]]="","",Q32*R32/10^6)</f>
        <v/>
      </c>
      <c r="T32" s="587"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15"/>
      <c r="AR32" s="371"/>
    </row>
    <row r="33" spans="1:44" ht="16.25" customHeight="1" x14ac:dyDescent="0.2">
      <c r="A33" s="83"/>
      <c r="B33" s="103"/>
      <c r="C33" s="99"/>
      <c r="D33" s="208"/>
      <c r="E33" s="208"/>
      <c r="F33" s="158"/>
      <c r="G33" s="158"/>
      <c r="H33" s="395" t="str">
        <f>IF(Tabla2788911211366484[[#This Row],[Subtype]]="","",VLOOKUP(Tabla2788911211366484[[#This Row],[Subtype]],'Unit-X00 Equipment'!$E$13:$H$107,4,FALSE))</f>
        <v/>
      </c>
      <c r="I33" s="96"/>
      <c r="J33" s="96"/>
      <c r="K33" s="96"/>
      <c r="L33" s="96"/>
      <c r="M33" s="156"/>
      <c r="N33" s="96"/>
      <c r="O33" s="96"/>
      <c r="P33" s="158"/>
      <c r="Q33" s="153"/>
      <c r="R33" s="97"/>
      <c r="S33" s="193" t="str">
        <f>+IF(Tabla2587901201356366[[#This Row],[Equipment]]="","",Q33*R33/10^6)</f>
        <v/>
      </c>
      <c r="T33" s="587"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15"/>
      <c r="AR33" s="371"/>
    </row>
    <row r="34" spans="1:44" ht="16.25" customHeight="1" x14ac:dyDescent="0.2">
      <c r="A34" s="83"/>
      <c r="B34" s="103"/>
      <c r="C34" s="363"/>
      <c r="D34" s="208"/>
      <c r="E34" s="208"/>
      <c r="F34" s="158"/>
      <c r="G34" s="158"/>
      <c r="H34" s="395" t="str">
        <f>IF(Tabla2788911211366484[[#This Row],[Subtype]]="","",VLOOKUP(Tabla2788911211366484[[#This Row],[Subtype]],'Unit-X00 Equipment'!$E$13:$H$107,4,FALSE))</f>
        <v/>
      </c>
      <c r="I34" s="96"/>
      <c r="J34" s="96"/>
      <c r="K34" s="96"/>
      <c r="L34" s="96"/>
      <c r="M34" s="156"/>
      <c r="N34" s="96"/>
      <c r="O34" s="96"/>
      <c r="P34" s="96"/>
      <c r="Q34" s="153"/>
      <c r="R34" s="97"/>
      <c r="S34" s="193" t="str">
        <f>+IF(Tabla2587901201356366[[#This Row],[Equipment]]="","",Q34*R34/10^6)</f>
        <v/>
      </c>
      <c r="T34" s="587" t="e">
        <f t="shared" ca="1" si="0"/>
        <v>#VALUE!</v>
      </c>
      <c r="U34" s="83"/>
      <c r="V34" s="112"/>
      <c r="W34" s="914" t="str">
        <f>+E6&amp;" Calculations"</f>
        <v>N2 Purification Calculations</v>
      </c>
      <c r="X34" s="915"/>
      <c r="Y34" s="915"/>
      <c r="Z34" s="915"/>
      <c r="AA34" s="915"/>
      <c r="AB34" s="915"/>
      <c r="AC34" s="915"/>
      <c r="AD34" s="915"/>
      <c r="AE34" s="915"/>
      <c r="AF34" s="915"/>
      <c r="AG34" s="915"/>
      <c r="AH34" s="915"/>
      <c r="AI34" s="915"/>
      <c r="AJ34" s="915"/>
      <c r="AK34" s="915"/>
      <c r="AL34" s="915"/>
      <c r="AM34" s="915"/>
      <c r="AN34" s="916"/>
      <c r="AO34" s="104"/>
      <c r="AP34" s="83"/>
      <c r="AQ34" s="215"/>
      <c r="AR34" s="371"/>
    </row>
    <row r="35" spans="1:44" ht="16.25" customHeight="1" x14ac:dyDescent="0.2">
      <c r="A35" s="83"/>
      <c r="B35" s="103"/>
      <c r="C35" s="363"/>
      <c r="D35" s="208"/>
      <c r="E35" s="208"/>
      <c r="F35" s="158"/>
      <c r="G35" s="158"/>
      <c r="H35" s="395" t="str">
        <f>IF(Tabla2788911211366484[[#This Row],[Subtype]]="","",VLOOKUP(Tabla2788911211366484[[#This Row],[Subtype]],'Unit-X00 Equipment'!$E$13:$H$107,4,FALSE))</f>
        <v/>
      </c>
      <c r="I35" s="96"/>
      <c r="J35" s="96"/>
      <c r="K35" s="96"/>
      <c r="L35" s="96"/>
      <c r="M35" s="156"/>
      <c r="N35" s="96"/>
      <c r="O35" s="96"/>
      <c r="P35" s="96"/>
      <c r="Q35" s="153"/>
      <c r="R35" s="97"/>
      <c r="S35" s="193" t="str">
        <f>+IF(Tabla2587901201356366[[#This Row],[Equipment]]="","",Q35*R35/10^6)</f>
        <v/>
      </c>
      <c r="T35" s="587" t="e">
        <f t="shared" ca="1" si="0"/>
        <v>#VALUE!</v>
      </c>
      <c r="U35" s="83"/>
      <c r="V35" s="311"/>
      <c r="W35" s="395"/>
      <c r="X35" s="395"/>
      <c r="Y35" s="395"/>
      <c r="Z35" s="395"/>
      <c r="AA35" s="395"/>
      <c r="AB35" s="96"/>
      <c r="AC35" s="395"/>
      <c r="AD35" s="395"/>
      <c r="AE35" s="395"/>
      <c r="AF35" s="395"/>
      <c r="AG35" s="395"/>
      <c r="AH35" s="395"/>
      <c r="AI35" s="395"/>
      <c r="AJ35" s="395"/>
      <c r="AK35" s="395"/>
      <c r="AL35" s="395"/>
      <c r="AM35" s="395"/>
      <c r="AN35" s="395"/>
      <c r="AO35" s="104"/>
      <c r="AP35" s="83"/>
      <c r="AQ35" s="215"/>
      <c r="AR35" s="371"/>
    </row>
    <row r="36" spans="1:44" ht="16.25" customHeight="1" x14ac:dyDescent="0.2">
      <c r="A36" s="83"/>
      <c r="B36" s="103"/>
      <c r="C36" s="363"/>
      <c r="D36" s="208"/>
      <c r="E36" s="208"/>
      <c r="F36" s="158"/>
      <c r="G36" s="158"/>
      <c r="H36" s="395" t="str">
        <f>IF(Tabla2788911211366484[[#This Row],[Subtype]]="","",VLOOKUP(Tabla2788911211366484[[#This Row],[Subtype]],'Unit-X00 Equipment'!$E$13:$H$107,4,FALSE))</f>
        <v/>
      </c>
      <c r="I36" s="96"/>
      <c r="J36" s="96"/>
      <c r="K36" s="96"/>
      <c r="L36" s="96"/>
      <c r="M36" s="156"/>
      <c r="N36" s="96"/>
      <c r="O36" s="96"/>
      <c r="P36" s="96"/>
      <c r="Q36" s="153"/>
      <c r="R36" s="97"/>
      <c r="S36" s="193" t="str">
        <f>+IF(Tabla2587901201356366[[#This Row],[Equipment]]="","",Q36*R36/10^6)</f>
        <v/>
      </c>
      <c r="T36" s="587" t="e">
        <f t="shared" ca="1" si="0"/>
        <v>#VALUE!</v>
      </c>
      <c r="U36" s="83"/>
      <c r="V36" s="311"/>
      <c r="W36" s="874" t="s">
        <v>194</v>
      </c>
      <c r="X36" s="875"/>
      <c r="Y36" s="876"/>
      <c r="Z36" s="942" t="s">
        <v>200</v>
      </c>
      <c r="AA36" s="900"/>
      <c r="AB36" s="942" t="s">
        <v>201</v>
      </c>
      <c r="AC36" s="899"/>
      <c r="AD36" s="316" t="s">
        <v>202</v>
      </c>
      <c r="AE36" s="667"/>
      <c r="AF36" s="667"/>
      <c r="AG36" s="667"/>
      <c r="AH36" s="309"/>
      <c r="AI36" s="695" t="s">
        <v>438</v>
      </c>
      <c r="AJ36" s="696" t="s">
        <v>439</v>
      </c>
      <c r="AK36" s="703"/>
      <c r="AL36" s="695" t="str">
        <f>+AI36</f>
        <v>ABS</v>
      </c>
      <c r="AM36" s="696" t="str">
        <f>+AJ36</f>
        <v>STR</v>
      </c>
      <c r="AN36" s="667"/>
      <c r="AO36" s="104"/>
      <c r="AP36" s="83"/>
      <c r="AQ36" s="215"/>
      <c r="AR36" s="371"/>
    </row>
    <row r="37" spans="1:44" ht="16.25" customHeight="1" x14ac:dyDescent="0.2">
      <c r="A37" s="83"/>
      <c r="B37" s="103"/>
      <c r="C37" s="363"/>
      <c r="D37" s="208"/>
      <c r="E37" s="208"/>
      <c r="F37" s="158"/>
      <c r="G37" s="158"/>
      <c r="H37" s="395" t="str">
        <f>IF(Tabla2788911211366484[[#This Row],[Subtype]]="","",VLOOKUP(Tabla2788911211366484[[#This Row],[Subtype]],'Unit-X00 Equipment'!$E$13:$H$107,4,FALSE))</f>
        <v/>
      </c>
      <c r="I37" s="96"/>
      <c r="J37" s="96"/>
      <c r="K37" s="96"/>
      <c r="L37" s="96"/>
      <c r="M37" s="156"/>
      <c r="N37" s="96"/>
      <c r="O37" s="96"/>
      <c r="P37" s="96"/>
      <c r="Q37" s="153"/>
      <c r="R37" s="97"/>
      <c r="S37" s="193" t="str">
        <f>+IF(Tabla2587901201356366[[#This Row],[Equipment]]="","",Q37*R37/10^6)</f>
        <v/>
      </c>
      <c r="T37" s="587" t="e">
        <f t="shared" ca="1" si="0"/>
        <v>#VALUE!</v>
      </c>
      <c r="U37" s="83"/>
      <c r="V37" s="311"/>
      <c r="W37" s="316" t="s">
        <v>203</v>
      </c>
      <c r="X37" s="316" t="s">
        <v>204</v>
      </c>
      <c r="Y37" s="316" t="s">
        <v>205</v>
      </c>
      <c r="Z37" s="641" t="s">
        <v>206</v>
      </c>
      <c r="AA37" s="641" t="s">
        <v>207</v>
      </c>
      <c r="AB37" s="642" t="s">
        <v>206</v>
      </c>
      <c r="AC37" s="727" t="s">
        <v>207</v>
      </c>
      <c r="AD37" s="166" t="s">
        <v>208</v>
      </c>
      <c r="AE37" s="210"/>
      <c r="AF37" s="210"/>
      <c r="AG37" s="210"/>
      <c r="AH37" s="701" t="s">
        <v>440</v>
      </c>
      <c r="AI37" s="385">
        <v>97.67</v>
      </c>
      <c r="AJ37" s="385">
        <v>42.9568268718225</v>
      </c>
      <c r="AK37" s="704" t="s">
        <v>441</v>
      </c>
      <c r="AL37" s="705">
        <f>+AL43/AI45/AL44/3600</f>
        <v>17.190862578185037</v>
      </c>
      <c r="AM37" s="725">
        <f>+AM43/3600/AJ45/AM44</f>
        <v>26.697390437645449</v>
      </c>
      <c r="AO37" s="104"/>
      <c r="AP37" s="83"/>
      <c r="AQ37" s="215"/>
      <c r="AR37" s="371"/>
    </row>
    <row r="38" spans="1:44" ht="16.25" customHeight="1" x14ac:dyDescent="0.2">
      <c r="A38" s="83"/>
      <c r="B38" s="103"/>
      <c r="C38" s="363"/>
      <c r="D38" s="208"/>
      <c r="E38" s="208"/>
      <c r="F38" s="158"/>
      <c r="G38" s="158"/>
      <c r="H38" s="395" t="str">
        <f>IF(Tabla2788911211366484[[#This Row],[Subtype]]="","",VLOOKUP(Tabla2788911211366484[[#This Row],[Subtype]],'Unit-X00 Equipment'!$E$13:$H$107,4,FALSE))</f>
        <v/>
      </c>
      <c r="I38" s="96"/>
      <c r="J38" s="96"/>
      <c r="K38" s="96"/>
      <c r="L38" s="96"/>
      <c r="M38" s="156"/>
      <c r="N38" s="96"/>
      <c r="O38" s="96"/>
      <c r="P38" s="96"/>
      <c r="Q38" s="153"/>
      <c r="R38" s="97"/>
      <c r="S38" s="193" t="str">
        <f>+IF(Tabla2587901201356366[[#This Row],[Equipment]]="","",Q38*R38/10^6)</f>
        <v/>
      </c>
      <c r="T38" s="587" t="e">
        <f t="shared" ca="1" si="0"/>
        <v>#VALUE!</v>
      </c>
      <c r="U38" s="83"/>
      <c r="V38" s="311"/>
      <c r="W38" s="316" t="s">
        <v>402</v>
      </c>
      <c r="X38" s="316">
        <v>12051270.7302047</v>
      </c>
      <c r="Y38" s="309" t="s">
        <v>442</v>
      </c>
      <c r="Z38" s="669" t="s">
        <v>341</v>
      </c>
      <c r="AA38" s="673">
        <f>IF(Z38="Ph. Ch.",$Y$53,IF(Z38="Liquid",$Y$52,$Y$50*Z38^$Y$51))</f>
        <v>1500</v>
      </c>
      <c r="AB38" s="670" t="s">
        <v>341</v>
      </c>
      <c r="AC38" s="674">
        <f>IF(AB38="Ph. Ch.",$Y$53,IF(AB38="Liquid",$Y$52,$Y$50*AB38^$Y$51))</f>
        <v>1500</v>
      </c>
      <c r="AD38" s="728">
        <f>1/(1/AA38+1/AC38)</f>
        <v>750</v>
      </c>
      <c r="AE38" s="210"/>
      <c r="AF38" s="681"/>
      <c r="AG38" s="681"/>
      <c r="AH38" s="701" t="s">
        <v>443</v>
      </c>
      <c r="AI38" s="385">
        <v>473.4</v>
      </c>
      <c r="AJ38" s="385">
        <v>445.25630892372197</v>
      </c>
      <c r="AK38" s="706" t="s">
        <v>444</v>
      </c>
      <c r="AL38" s="682">
        <f>+(AL37*4/PI())^0.5</f>
        <v>4.6784704811137861</v>
      </c>
      <c r="AM38" s="650">
        <f>+(AM37*4/PI())^0.5</f>
        <v>5.8302807176365512</v>
      </c>
      <c r="AO38" s="84"/>
      <c r="AP38" s="83"/>
      <c r="AQ38" s="215"/>
      <c r="AR38" s="371"/>
    </row>
    <row r="39" spans="1:44" ht="16.25" customHeight="1" x14ac:dyDescent="0.2">
      <c r="A39" s="83"/>
      <c r="B39" s="103"/>
      <c r="C39" s="92"/>
      <c r="D39" s="209"/>
      <c r="E39" s="209"/>
      <c r="F39" s="588"/>
      <c r="G39" s="588"/>
      <c r="H39" s="395" t="str">
        <f>IF(Tabla2788911211366484[[#This Row],[Subtype]]="","",VLOOKUP(Tabla2788911211366484[[#This Row],[Subtype]],'Unit-X00 Equipment'!$E$13:$H$107,4,FALSE))</f>
        <v/>
      </c>
      <c r="M39" s="235"/>
      <c r="Q39" s="236"/>
      <c r="R39" s="84"/>
      <c r="S39" s="193" t="str">
        <f>+IF(Tabla2587901201356366[[#This Row],[Equipment]]="","",Q39*R39/10^6)</f>
        <v/>
      </c>
      <c r="T39" s="587" t="e">
        <f t="shared" ca="1" si="0"/>
        <v>#VALUE!</v>
      </c>
      <c r="U39" s="83"/>
      <c r="V39" s="311"/>
      <c r="W39" s="316" t="s">
        <v>445</v>
      </c>
      <c r="X39" s="316">
        <v>1705085.69306202</v>
      </c>
      <c r="Y39" s="309" t="s">
        <v>446</v>
      </c>
      <c r="Z39" s="669" t="s">
        <v>211</v>
      </c>
      <c r="AA39" s="673">
        <f t="shared" ref="AA39:AA41" si="6">IF(Z39="Ph. Ch.",$Y$53,IF(Z39="Liquid",$Y$52,$Y$50*Z39^$Y$51))</f>
        <v>5000</v>
      </c>
      <c r="AB39" s="670" t="s">
        <v>341</v>
      </c>
      <c r="AC39" s="674">
        <f t="shared" ref="AC39:AC41" si="7">IF(AB39="Ph. Ch.",$Y$53,IF(AB39="Liquid",$Y$52,$Y$50*AB39^$Y$51))</f>
        <v>1500</v>
      </c>
      <c r="AD39" s="728">
        <f t="shared" ref="AD39:AD41" si="8">1/(1/AA39+1/AC39)</f>
        <v>1153.8461538461538</v>
      </c>
      <c r="AE39" s="395"/>
      <c r="AF39" s="606"/>
      <c r="AG39" s="606"/>
      <c r="AH39" s="701" t="s">
        <v>323</v>
      </c>
      <c r="AI39" s="385">
        <v>19.186137110358299</v>
      </c>
      <c r="AJ39" s="385">
        <v>1.5612504039383099</v>
      </c>
      <c r="AK39" s="311" t="s">
        <v>447</v>
      </c>
      <c r="AL39" s="303">
        <v>0.33</v>
      </c>
      <c r="AM39" s="304">
        <v>0.5</v>
      </c>
      <c r="AO39" s="104"/>
      <c r="AP39" s="83"/>
      <c r="AQ39" s="215"/>
      <c r="AR39" s="371"/>
    </row>
    <row r="40" spans="1:44" ht="16.25" customHeight="1" x14ac:dyDescent="0.2">
      <c r="A40" s="83"/>
      <c r="B40" s="103"/>
      <c r="C40" s="92"/>
      <c r="D40" s="209"/>
      <c r="E40" s="209"/>
      <c r="F40" s="588"/>
      <c r="G40" s="588"/>
      <c r="H40" s="395" t="str">
        <f>IF(Tabla2788911211366484[[#This Row],[Subtype]]="","",VLOOKUP(Tabla2788911211366484[[#This Row],[Subtype]],'Unit-X00 Equipment'!$E$13:$H$107,4,FALSE))</f>
        <v/>
      </c>
      <c r="M40" s="235"/>
      <c r="Q40" s="236"/>
      <c r="R40" s="84"/>
      <c r="S40" s="193" t="str">
        <f>+IF(Tabla2587901201356366[[#This Row],[Equipment]]="","",Q40*R40/10^6)</f>
        <v/>
      </c>
      <c r="T40" s="587" t="e">
        <f t="shared" ca="1" si="0"/>
        <v>#VALUE!</v>
      </c>
      <c r="U40" s="83"/>
      <c r="V40" s="311"/>
      <c r="W40" s="316" t="s">
        <v>434</v>
      </c>
      <c r="X40" s="316">
        <v>7138127.7968408903</v>
      </c>
      <c r="Y40" s="309" t="s">
        <v>448</v>
      </c>
      <c r="Z40" s="669" t="s">
        <v>341</v>
      </c>
      <c r="AA40" s="673">
        <f t="shared" si="6"/>
        <v>1500</v>
      </c>
      <c r="AB40" s="670" t="s">
        <v>341</v>
      </c>
      <c r="AC40" s="674">
        <f t="shared" si="7"/>
        <v>1500</v>
      </c>
      <c r="AD40" s="728">
        <f t="shared" si="8"/>
        <v>750</v>
      </c>
      <c r="AE40" s="395"/>
      <c r="AF40" s="395"/>
      <c r="AG40" s="655"/>
      <c r="AH40" s="701" t="s">
        <v>322</v>
      </c>
      <c r="AI40" s="385">
        <v>1070.8119364466099</v>
      </c>
      <c r="AJ40" s="385">
        <v>1037.97750295126</v>
      </c>
      <c r="AK40" s="311" t="s">
        <v>449</v>
      </c>
      <c r="AL40" s="682">
        <v>11</v>
      </c>
      <c r="AM40" s="650">
        <v>7</v>
      </c>
      <c r="AO40" s="104"/>
      <c r="AP40" s="83"/>
      <c r="AQ40" s="215"/>
      <c r="AR40" s="371"/>
    </row>
    <row r="41" spans="1:44" ht="16.25" customHeight="1" x14ac:dyDescent="0.2">
      <c r="A41" s="83"/>
      <c r="B41" s="103"/>
      <c r="C41" s="99"/>
      <c r="D41" s="208"/>
      <c r="E41" s="208"/>
      <c r="F41" s="158"/>
      <c r="G41" s="158"/>
      <c r="H41" s="395" t="str">
        <f>IF(Tabla2788911211366484[[#This Row],[Subtype]]="","",VLOOKUP(Tabla2788911211366484[[#This Row],[Subtype]],'Unit-X00 Equipment'!$E$13:$H$107,4,FALSE))</f>
        <v/>
      </c>
      <c r="I41" s="96"/>
      <c r="J41" s="96"/>
      <c r="K41" s="96"/>
      <c r="L41" s="96"/>
      <c r="M41" s="156"/>
      <c r="N41" s="96"/>
      <c r="O41" s="96"/>
      <c r="P41" s="152"/>
      <c r="Q41" s="153"/>
      <c r="R41" s="97"/>
      <c r="S41" s="193" t="str">
        <f>+IF(Tabla2587901201356366[[#This Row],[Equipment]]="","",Q41*R41/10^6)</f>
        <v/>
      </c>
      <c r="T41" s="587" t="e">
        <f t="shared" ca="1" si="0"/>
        <v>#VALUE!</v>
      </c>
      <c r="U41" s="83"/>
      <c r="V41" s="311"/>
      <c r="W41" s="316" t="s">
        <v>435</v>
      </c>
      <c r="X41" s="316">
        <v>14107614.5612082</v>
      </c>
      <c r="Y41" s="309" t="s">
        <v>340</v>
      </c>
      <c r="Z41" s="309" t="str">
        <f>+Z39</f>
        <v>Ph. Ch.</v>
      </c>
      <c r="AA41" s="730">
        <f t="shared" si="6"/>
        <v>5000</v>
      </c>
      <c r="AB41" s="314" t="str">
        <f>+Z41</f>
        <v>Ph. Ch.</v>
      </c>
      <c r="AC41" s="731">
        <f t="shared" si="7"/>
        <v>5000</v>
      </c>
      <c r="AD41" s="729">
        <f t="shared" si="8"/>
        <v>2500</v>
      </c>
      <c r="AE41" s="395"/>
      <c r="AF41" s="395"/>
      <c r="AG41" s="655"/>
      <c r="AH41" s="150" t="s">
        <v>450</v>
      </c>
      <c r="AI41" s="702">
        <f>+AI38/AI37*(AI39/AI40)^0.5</f>
        <v>0.64879013232700633</v>
      </c>
      <c r="AJ41" s="702">
        <f>+AJ38/AJ37*(AJ39/AJ40)^0.5</f>
        <v>0.40199458200903027</v>
      </c>
      <c r="AK41" s="311" t="s">
        <v>451</v>
      </c>
      <c r="AL41" s="682">
        <v>0.5</v>
      </c>
      <c r="AM41" s="650">
        <v>0.5</v>
      </c>
      <c r="AO41" s="104"/>
      <c r="AP41" s="83"/>
      <c r="AQ41" s="215"/>
      <c r="AR41" s="371"/>
    </row>
    <row r="42" spans="1:44" ht="16.25" customHeight="1" x14ac:dyDescent="0.2">
      <c r="A42" s="83"/>
      <c r="B42" s="103"/>
      <c r="C42" s="99"/>
      <c r="D42" s="208"/>
      <c r="E42" s="208"/>
      <c r="F42" s="158"/>
      <c r="G42" s="158"/>
      <c r="H42" s="395" t="str">
        <f>IF(Tabla2788911211366484[[#This Row],[Subtype]]="","",VLOOKUP(Tabla2788911211366484[[#This Row],[Subtype]],'Unit-X00 Equipment'!$E$13:$H$107,4,FALSE))</f>
        <v/>
      </c>
      <c r="I42" s="96"/>
      <c r="J42" s="96"/>
      <c r="K42" s="96"/>
      <c r="L42" s="96"/>
      <c r="M42" s="156"/>
      <c r="N42" s="96"/>
      <c r="O42" s="96"/>
      <c r="P42" s="158"/>
      <c r="Q42" s="153"/>
      <c r="R42" s="97"/>
      <c r="S42" s="193" t="str">
        <f>+IF(Tabla2587901201356366[[#This Row],[Equipment]]="","",Q42*R42/10^6)</f>
        <v/>
      </c>
      <c r="T42" s="587" t="e">
        <f t="shared" ca="1" si="0"/>
        <v>#VALUE!</v>
      </c>
      <c r="U42" s="83"/>
      <c r="V42" s="311"/>
      <c r="W42" s="395"/>
      <c r="X42" s="395"/>
      <c r="Y42" s="395"/>
      <c r="Z42" s="395"/>
      <c r="AA42" s="385"/>
      <c r="AB42" s="395"/>
      <c r="AC42" s="655"/>
      <c r="AD42" s="655"/>
      <c r="AE42" s="395"/>
      <c r="AF42" s="395"/>
      <c r="AG42" s="655"/>
      <c r="AH42" s="701" t="s">
        <v>452</v>
      </c>
      <c r="AI42" s="702">
        <v>0.05</v>
      </c>
      <c r="AJ42" s="702">
        <v>0.05</v>
      </c>
      <c r="AK42" s="707" t="s">
        <v>453</v>
      </c>
      <c r="AL42" s="682">
        <f>+AL40/AL39*AL41+2*AL41</f>
        <v>17.666666666666664</v>
      </c>
      <c r="AM42" s="650">
        <f>+AM40/AM39*AM41+2*AM41</f>
        <v>8</v>
      </c>
      <c r="AO42" s="104"/>
      <c r="AP42" s="83"/>
      <c r="AQ42" s="215"/>
      <c r="AR42" s="371"/>
    </row>
    <row r="43" spans="1:44" ht="16.25" customHeight="1" x14ac:dyDescent="0.2">
      <c r="A43" s="83"/>
      <c r="B43" s="103"/>
      <c r="C43" s="363"/>
      <c r="D43" s="208"/>
      <c r="E43" s="208"/>
      <c r="F43" s="158"/>
      <c r="G43" s="158"/>
      <c r="H43" s="395" t="str">
        <f>IF(Tabla2788911211366484[[#This Row],[Subtype]]="","",VLOOKUP(Tabla2788911211366484[[#This Row],[Subtype]],'Unit-X00 Equipment'!$E$13:$H$107,4,FALSE))</f>
        <v/>
      </c>
      <c r="I43" s="96"/>
      <c r="J43" s="96"/>
      <c r="K43" s="96"/>
      <c r="L43" s="96"/>
      <c r="M43" s="283"/>
      <c r="N43" s="275"/>
      <c r="O43" s="275"/>
      <c r="P43" s="275"/>
      <c r="Q43" s="284"/>
      <c r="R43" s="98"/>
      <c r="S43" s="193" t="str">
        <f>+IF(Tabla2587901201356366[[#This Row],[Equipment]]="","",Q43*R43/10^6)</f>
        <v/>
      </c>
      <c r="T43" s="587" t="e">
        <f t="shared" ca="1" si="0"/>
        <v>#VALUE!</v>
      </c>
      <c r="U43" s="83"/>
      <c r="V43" s="311"/>
      <c r="W43" s="877" t="s">
        <v>423</v>
      </c>
      <c r="X43" s="878"/>
      <c r="Y43" s="878"/>
      <c r="Z43" s="878"/>
      <c r="AA43" s="878"/>
      <c r="AB43" s="878"/>
      <c r="AC43" s="878"/>
      <c r="AD43" s="878"/>
      <c r="AE43" s="737" t="s">
        <v>454</v>
      </c>
      <c r="AF43" s="739">
        <v>1.5</v>
      </c>
      <c r="AG43" s="655"/>
      <c r="AH43" s="150" t="s">
        <v>455</v>
      </c>
      <c r="AI43" s="216">
        <f>+AI42*((AI40-AI39)/AI39)^0.5</f>
        <v>0.37017479834501799</v>
      </c>
      <c r="AJ43" s="216">
        <f>+AJ42*((AJ40-AJ39)/AJ39)^0.5</f>
        <v>1.2882520132476085</v>
      </c>
      <c r="AK43" s="709" t="s">
        <v>456</v>
      </c>
      <c r="AL43" s="708">
        <v>18327.237374178902</v>
      </c>
      <c r="AM43" s="726">
        <v>99051.744901692102</v>
      </c>
      <c r="AO43" s="104"/>
      <c r="AP43" s="83"/>
      <c r="AQ43" s="215"/>
      <c r="AR43" s="371"/>
    </row>
    <row r="44" spans="1:44" ht="16.25" customHeight="1" x14ac:dyDescent="0.2">
      <c r="A44" s="83"/>
      <c r="B44" s="103"/>
      <c r="C44" s="364"/>
      <c r="D44" s="918" t="s">
        <v>220</v>
      </c>
      <c r="E44" s="918"/>
      <c r="F44" s="918"/>
      <c r="G44" s="918"/>
      <c r="H44" s="918"/>
      <c r="I44" s="918"/>
      <c r="J44" s="918"/>
      <c r="K44" s="918"/>
      <c r="L44" s="918"/>
      <c r="M44" s="947"/>
      <c r="N44" s="947"/>
      <c r="O44" s="947"/>
      <c r="P44" s="947"/>
      <c r="Q44" s="947"/>
      <c r="R44" s="947"/>
      <c r="S44" s="180"/>
      <c r="T44" s="104"/>
      <c r="U44" s="83"/>
      <c r="V44" s="311"/>
      <c r="W44" s="316" t="s">
        <v>303</v>
      </c>
      <c r="X44" s="316" t="s">
        <v>320</v>
      </c>
      <c r="Y44" s="316" t="s">
        <v>321</v>
      </c>
      <c r="Z44" s="316" t="s">
        <v>322</v>
      </c>
      <c r="AA44" s="316" t="s">
        <v>323</v>
      </c>
      <c r="AB44" s="316" t="s">
        <v>324</v>
      </c>
      <c r="AC44" s="316" t="s">
        <v>325</v>
      </c>
      <c r="AD44" s="249" t="s">
        <v>326</v>
      </c>
      <c r="AE44" s="651" t="s">
        <v>327</v>
      </c>
      <c r="AF44" s="671" t="s">
        <v>328</v>
      </c>
      <c r="AG44" s="655"/>
      <c r="AH44" s="150" t="s">
        <v>457</v>
      </c>
      <c r="AI44" s="216">
        <v>0.8</v>
      </c>
      <c r="AJ44" s="216">
        <v>0.8</v>
      </c>
      <c r="AK44" s="311" t="s">
        <v>126</v>
      </c>
      <c r="AL44" s="682">
        <v>1</v>
      </c>
      <c r="AM44" s="650">
        <v>1</v>
      </c>
      <c r="AN44" s="655"/>
      <c r="AO44" s="104"/>
      <c r="AP44" s="83"/>
      <c r="AQ44" s="215"/>
      <c r="AR44" s="371"/>
    </row>
    <row r="45" spans="1:44" ht="16.25" customHeight="1" x14ac:dyDescent="0.2">
      <c r="A45" s="83"/>
      <c r="B45" s="103"/>
      <c r="C45" s="421" t="s">
        <v>223</v>
      </c>
      <c r="D45" s="415" t="s">
        <v>224</v>
      </c>
      <c r="E45" s="415" t="s">
        <v>225</v>
      </c>
      <c r="F45" s="571" t="s">
        <v>226</v>
      </c>
      <c r="G45" s="571" t="s">
        <v>50</v>
      </c>
      <c r="H45" s="571" t="s">
        <v>227</v>
      </c>
      <c r="I45" s="415" t="s">
        <v>228</v>
      </c>
      <c r="J45" s="415" t="s">
        <v>75</v>
      </c>
      <c r="K45" s="415" t="s">
        <v>155</v>
      </c>
      <c r="L45" s="415" t="s">
        <v>157</v>
      </c>
      <c r="M45" s="422" t="s">
        <v>229</v>
      </c>
      <c r="N45" s="423" t="s">
        <v>230</v>
      </c>
      <c r="O45" s="419" t="s">
        <v>231</v>
      </c>
      <c r="P45" s="415" t="s">
        <v>151</v>
      </c>
      <c r="Q45" s="415" t="s">
        <v>148</v>
      </c>
      <c r="R45" s="420" t="s">
        <v>144</v>
      </c>
      <c r="S45" s="420" t="s">
        <v>232</v>
      </c>
      <c r="T45" s="104"/>
      <c r="U45" s="83"/>
      <c r="V45" s="311"/>
      <c r="W45" s="316" t="s">
        <v>432</v>
      </c>
      <c r="X45" s="648">
        <f>42.9085789202855/3600</f>
        <v>1.1919049700079306E-2</v>
      </c>
      <c r="Y45" s="648">
        <f>1340.44938922654/3600</f>
        <v>0.37234705256292777</v>
      </c>
      <c r="Z45" s="648">
        <v>1070.05040044989</v>
      </c>
      <c r="AA45" s="648">
        <v>5.36983943265375</v>
      </c>
      <c r="AB45" s="249">
        <f>+(AC45*4/PI())^0.5</f>
        <v>0.17525931864724206</v>
      </c>
      <c r="AC45" s="648">
        <f>+X45/(0.035*(Z45/AA45)^0.5)</f>
        <v>2.4124155505305566E-2</v>
      </c>
      <c r="AD45" s="648">
        <f>+AC45*(4*AC45/PI())^0.5</f>
        <v>4.2279830567999669E-3</v>
      </c>
      <c r="AE45" s="648">
        <f>600*Y45</f>
        <v>223.40823153775665</v>
      </c>
      <c r="AF45" s="671">
        <v>12</v>
      </c>
      <c r="AG45" s="655"/>
      <c r="AH45" s="150" t="s">
        <v>458</v>
      </c>
      <c r="AI45" s="216">
        <f>+AI43*AI44</f>
        <v>0.2961398386760144</v>
      </c>
      <c r="AJ45" s="216">
        <f>+AJ43*AJ44</f>
        <v>1.0306016105980869</v>
      </c>
      <c r="AK45" s="709" t="s">
        <v>459</v>
      </c>
      <c r="AL45" s="311">
        <v>30</v>
      </c>
      <c r="AM45" s="548">
        <v>1.3</v>
      </c>
      <c r="AN45" s="655"/>
      <c r="AO45" s="104"/>
      <c r="AP45" s="83"/>
      <c r="AQ45" s="215"/>
      <c r="AR45" s="371"/>
    </row>
    <row r="46" spans="1:44" ht="16.25" customHeight="1" x14ac:dyDescent="0.2">
      <c r="A46" s="83"/>
      <c r="B46" s="103"/>
      <c r="C46" s="273"/>
      <c r="D46" s="276"/>
      <c r="E46" s="277"/>
      <c r="F46" s="277"/>
      <c r="G46" s="277"/>
      <c r="H46" s="277"/>
      <c r="I46" s="277"/>
      <c r="J46" s="244"/>
      <c r="K46" s="277"/>
      <c r="L46" s="277"/>
      <c r="M46" s="276"/>
      <c r="N46" s="277"/>
      <c r="O46" s="277"/>
      <c r="P46" s="277"/>
      <c r="Q46" s="277"/>
      <c r="R46" s="193" t="str">
        <f t="shared" ref="R46:R50" si="9">IF(ISBLANK(Q46),"",(P46/M46)^K46*O46*((Q46/P46)/(N46/M46))^L46)</f>
        <v/>
      </c>
      <c r="S46" s="193" t="str" cm="1">
        <f t="array" aca="1" ref="S46" ca="1">IF(ISBLANK(Q46),"",IF(R46&gt;0,R46*INDIRECT(ADDRESS(MATCH(G46,'Cost Conversion'!$B$3:$B$48,0)+2,4,1,1,"Cost conversion"))*INDIRECT(ADDRESS(MATCH(H46,'Cost Conversion'!$F$3:$F$22,0)+2,8,1,1,"Cost conversion"))/IF(F46="$",'Cost Conversion'!$L$2,1),0))</f>
        <v/>
      </c>
      <c r="T46" s="660" t="str">
        <f ca="1">+S46</f>
        <v/>
      </c>
      <c r="U46" s="83"/>
      <c r="V46" s="311"/>
      <c r="W46" s="316" t="s">
        <v>433</v>
      </c>
      <c r="X46" s="648">
        <f>86849.3938067569/3600</f>
        <v>24.124831612988025</v>
      </c>
      <c r="Y46" s="648">
        <f>1311.71189929601/3600</f>
        <v>0.36436441647111389</v>
      </c>
      <c r="Z46" s="316">
        <v>1074.0359041684401</v>
      </c>
      <c r="AA46" s="648">
        <v>1.79082101754759</v>
      </c>
      <c r="AB46" s="249">
        <f t="shared" ref="AB46:AB47" si="10">+(AC46*4/PI())^0.5</f>
        <v>5.9863420521222004</v>
      </c>
      <c r="AC46" s="648">
        <f>+X46/(0.035*(Z46/AA46)^0.5)</f>
        <v>28.145757263972413</v>
      </c>
      <c r="AD46" s="648">
        <f t="shared" ref="AD46:AD47" si="11">+AC46*(4*AC46/PI())^0.5</f>
        <v>168.49013029814193</v>
      </c>
      <c r="AE46" s="648">
        <f>600*Y46</f>
        <v>218.61864988266834</v>
      </c>
      <c r="AF46" s="651">
        <v>1.3</v>
      </c>
      <c r="AG46" s="655"/>
      <c r="AH46" s="665" t="s">
        <v>309</v>
      </c>
      <c r="AI46" s="738">
        <v>1.5</v>
      </c>
      <c r="AJ46" s="738">
        <v>1.5</v>
      </c>
      <c r="AK46" s="710" t="s">
        <v>460</v>
      </c>
      <c r="AL46" s="711">
        <f>+AL38*AL38*PI()/4*AL42</f>
        <v>303.70523888126894</v>
      </c>
      <c r="AM46" s="679">
        <f>+AM38*AM38*PI()/4*AM42</f>
        <v>213.57912350116359</v>
      </c>
      <c r="AN46" s="655"/>
      <c r="AO46" s="104"/>
      <c r="AP46" s="83"/>
      <c r="AQ46" s="215"/>
      <c r="AR46" s="371"/>
    </row>
    <row r="47" spans="1:44" ht="16.25" customHeight="1" x14ac:dyDescent="0.2">
      <c r="A47" s="83"/>
      <c r="B47" s="103"/>
      <c r="C47" s="273"/>
      <c r="D47" s="273"/>
      <c r="E47" s="96"/>
      <c r="F47" s="96"/>
      <c r="G47" s="96"/>
      <c r="H47" s="96"/>
      <c r="I47" s="118"/>
      <c r="J47" s="118"/>
      <c r="K47" s="96"/>
      <c r="L47" s="96"/>
      <c r="M47" s="273"/>
      <c r="N47" s="96"/>
      <c r="O47" s="96"/>
      <c r="P47" s="96"/>
      <c r="Q47" s="96"/>
      <c r="R47" s="193" t="str">
        <f t="shared" si="9"/>
        <v/>
      </c>
      <c r="S47" s="193" t="str" cm="1">
        <f t="array" aca="1" ref="S47" ca="1">IF(ISBLANK(Q47),"",IF(R47&gt;0,R47*INDIRECT(ADDRESS(MATCH(G47,'Cost Conversion'!$B$3:$B$48,0)+2,4,1,1,"Cost conversion"))*INDIRECT(ADDRESS(MATCH(H47,'Cost Conversion'!$F$3:$F$22,0)+2,8,1,1,"Cost conversion"))/IF(F47="$",'Cost Conversion'!$L$2,1),0))</f>
        <v/>
      </c>
      <c r="T47" s="660" t="str">
        <f t="shared" ref="T47:T50" ca="1" si="12">+S47</f>
        <v/>
      </c>
      <c r="U47" s="83"/>
      <c r="V47" s="311"/>
      <c r="W47" s="316" t="s">
        <v>461</v>
      </c>
      <c r="X47" s="648">
        <f>69194.9289472016/3600</f>
        <v>19.220813596444888</v>
      </c>
      <c r="Y47" s="683">
        <v>2.6883307829449025E-3</v>
      </c>
      <c r="Z47" s="316">
        <v>996.7</v>
      </c>
      <c r="AA47" s="648">
        <v>2.1083245740629901</v>
      </c>
      <c r="AB47" s="249">
        <f t="shared" si="10"/>
        <v>5.6708762962829722</v>
      </c>
      <c r="AC47" s="648">
        <f>+X47/(0.035*(Z47/AA47)^0.5)</f>
        <v>25.25749227686233</v>
      </c>
      <c r="AD47" s="648">
        <f t="shared" si="11"/>
        <v>143.23211425640883</v>
      </c>
      <c r="AE47" s="648">
        <f>600*Y47</f>
        <v>1.6129984697669415</v>
      </c>
      <c r="AF47" s="316">
        <v>1.3</v>
      </c>
      <c r="AG47" s="395"/>
      <c r="AH47" s="877" t="s">
        <v>462</v>
      </c>
      <c r="AI47" s="878"/>
      <c r="AJ47" s="878"/>
      <c r="AK47" s="879"/>
      <c r="AL47" s="395"/>
      <c r="AM47" s="395"/>
      <c r="AN47" s="395"/>
      <c r="AO47" s="104"/>
      <c r="AP47" s="83"/>
      <c r="AQ47" s="215"/>
      <c r="AR47" s="371"/>
    </row>
    <row r="48" spans="1:44" ht="16.25" customHeight="1" x14ac:dyDescent="0.2">
      <c r="A48" s="83"/>
      <c r="B48" s="103"/>
      <c r="C48" s="192"/>
      <c r="D48" s="273"/>
      <c r="E48" s="96"/>
      <c r="F48" s="96"/>
      <c r="G48" s="96"/>
      <c r="H48" s="96"/>
      <c r="I48" s="96"/>
      <c r="J48" s="96"/>
      <c r="K48" s="96"/>
      <c r="L48" s="96"/>
      <c r="M48" s="273"/>
      <c r="N48" s="96"/>
      <c r="O48" s="96"/>
      <c r="P48" s="96"/>
      <c r="Q48" s="96"/>
      <c r="R48" s="193" t="str">
        <f t="shared" si="9"/>
        <v/>
      </c>
      <c r="S48" s="193" t="str" cm="1">
        <f t="array" aca="1" ref="S48" ca="1">IF(ISBLANK(Q48),"",IF(R48&gt;0,R48*INDIRECT(ADDRESS(MATCH(G48,'Cost Conversion'!$B$3:$B$48,0)+2,4,1,1,"Cost conversion"))*INDIRECT(ADDRESS(MATCH(H48,'Cost Conversion'!$F$3:$F$22,0)+2,8,1,1,"Cost conversion"))/IF(F48="$",'Cost Conversion'!$L$2,1),0))</f>
        <v/>
      </c>
      <c r="T48" s="660" t="str">
        <f t="shared" ca="1" si="12"/>
        <v/>
      </c>
      <c r="U48" s="83"/>
      <c r="V48" s="103"/>
      <c r="W48" s="210"/>
      <c r="X48" s="210"/>
      <c r="Y48" s="210"/>
      <c r="Z48" s="210"/>
      <c r="AA48" s="210"/>
      <c r="AB48" s="210"/>
      <c r="AC48" s="210"/>
      <c r="AD48" s="210"/>
      <c r="AE48" s="210"/>
      <c r="AF48" s="210"/>
      <c r="AH48" s="669" t="s">
        <v>463</v>
      </c>
      <c r="AI48" s="753">
        <f>15709.2307242061/3600</f>
        <v>4.3636752011683608</v>
      </c>
      <c r="AJ48" s="96" t="s">
        <v>464</v>
      </c>
      <c r="AK48" s="193">
        <f>+(4*AK49/PI())^0.5</f>
        <v>3.3334678119063108</v>
      </c>
      <c r="AO48" s="104"/>
      <c r="AP48" s="83"/>
      <c r="AQ48" s="215"/>
      <c r="AR48" s="371"/>
    </row>
    <row r="49" spans="1:57" ht="16.25" customHeight="1" x14ac:dyDescent="0.2">
      <c r="A49" s="83"/>
      <c r="B49" s="103"/>
      <c r="C49" s="192"/>
      <c r="D49" s="273"/>
      <c r="E49" s="96"/>
      <c r="F49" s="96"/>
      <c r="G49" s="96"/>
      <c r="H49" s="96"/>
      <c r="I49" s="96"/>
      <c r="J49" s="96"/>
      <c r="K49" s="96"/>
      <c r="L49" s="96"/>
      <c r="M49" s="273"/>
      <c r="N49" s="96"/>
      <c r="O49" s="96"/>
      <c r="P49" s="96"/>
      <c r="Q49" s="96"/>
      <c r="R49" s="193" t="str">
        <f t="shared" si="9"/>
        <v/>
      </c>
      <c r="S49" s="193" t="str" cm="1">
        <f t="array" aca="1" ref="S49" ca="1">IF(ISBLANK(Q49),"",IF(R49&gt;0,R49*INDIRECT(ADDRESS(MATCH(G49,'Cost Conversion'!$B$3:$B$48,0)+2,4,1,1,"Cost conversion"))*INDIRECT(ADDRESS(MATCH(H49,'Cost Conversion'!$F$3:$F$22,0)+2,8,1,1,"Cost conversion"))/IF(F49="$",'Cost Conversion'!$L$2,1),0))</f>
        <v/>
      </c>
      <c r="T49" s="660" t="str">
        <f t="shared" ca="1" si="12"/>
        <v/>
      </c>
      <c r="U49" s="83"/>
      <c r="V49" s="103"/>
      <c r="W49" s="966" t="s">
        <v>250</v>
      </c>
      <c r="X49" s="967"/>
      <c r="Y49" s="316" t="s">
        <v>251</v>
      </c>
      <c r="Z49" s="210"/>
      <c r="AA49" s="316" t="s">
        <v>465</v>
      </c>
      <c r="AB49" s="316">
        <v>6.4870000000000001</v>
      </c>
      <c r="AC49" s="316" t="s">
        <v>78</v>
      </c>
      <c r="AD49" s="210"/>
      <c r="AE49" s="210"/>
      <c r="AF49" s="210"/>
      <c r="AG49" s="394"/>
      <c r="AH49" s="611" t="s">
        <v>466</v>
      </c>
      <c r="AI49" s="684">
        <v>4</v>
      </c>
      <c r="AJ49" s="341" t="s">
        <v>325</v>
      </c>
      <c r="AK49" s="685">
        <f>+AI48/AI50</f>
        <v>8.7273504023367217</v>
      </c>
      <c r="AL49" s="394"/>
      <c r="AM49" s="394"/>
      <c r="AN49" s="394"/>
      <c r="AO49" s="104"/>
      <c r="AP49" s="83"/>
      <c r="AQ49" s="215"/>
      <c r="AR49" s="371"/>
    </row>
    <row r="50" spans="1:57" ht="16.25" customHeight="1" x14ac:dyDescent="0.2">
      <c r="A50" s="83"/>
      <c r="B50" s="103"/>
      <c r="C50" s="192"/>
      <c r="D50" s="273"/>
      <c r="E50" s="96"/>
      <c r="F50" s="96"/>
      <c r="G50" s="96"/>
      <c r="H50" s="96"/>
      <c r="I50" s="96"/>
      <c r="J50" s="96"/>
      <c r="K50" s="96"/>
      <c r="L50" s="96"/>
      <c r="M50" s="274"/>
      <c r="N50" s="275"/>
      <c r="O50" s="275"/>
      <c r="P50" s="275"/>
      <c r="Q50" s="275"/>
      <c r="R50" s="193" t="str">
        <f t="shared" si="9"/>
        <v/>
      </c>
      <c r="S50" s="193" t="str" cm="1">
        <f t="array" aca="1" ref="S50" ca="1">IF(ISBLANK(Q50),"",IF(R50&gt;0,R50*INDIRECT(ADDRESS(MATCH(G50,'Cost Conversion'!$B$3:$B$48,0)+2,4,1,1,"Cost conversion"))*INDIRECT(ADDRESS(MATCH(H50,'Cost Conversion'!$F$3:$F$22,0)+2,8,1,1,"Cost conversion"))/IF(F50="$",'Cost Conversion'!$L$2,1),0))</f>
        <v/>
      </c>
      <c r="T50" s="660" t="str">
        <f t="shared" ca="1" si="12"/>
        <v/>
      </c>
      <c r="U50" s="83"/>
      <c r="V50" s="103"/>
      <c r="W50" s="968" t="s">
        <v>255</v>
      </c>
      <c r="X50" s="969"/>
      <c r="Y50" s="661">
        <v>40</v>
      </c>
      <c r="Z50" s="210"/>
      <c r="AA50" s="210"/>
      <c r="AB50" s="210"/>
      <c r="AC50" s="210"/>
      <c r="AD50" s="210"/>
      <c r="AE50" s="210"/>
      <c r="AF50" s="210"/>
      <c r="AG50" s="394"/>
      <c r="AH50" s="612" t="s">
        <v>458</v>
      </c>
      <c r="AI50" s="686">
        <v>0.5</v>
      </c>
      <c r="AJ50" s="638" t="s">
        <v>467</v>
      </c>
      <c r="AK50" s="687">
        <f>+AK48*AI49</f>
        <v>13.333871247625243</v>
      </c>
      <c r="AL50" s="394"/>
      <c r="AM50" s="394"/>
      <c r="AN50" s="394"/>
      <c r="AO50" s="104"/>
      <c r="AP50" s="83"/>
      <c r="AQ50" s="215"/>
      <c r="AR50" s="371"/>
    </row>
    <row r="51" spans="1:57" ht="16.25" customHeight="1" x14ac:dyDescent="0.2">
      <c r="A51" s="83"/>
      <c r="B51" s="103"/>
      <c r="C51" s="200"/>
      <c r="D51" s="274"/>
      <c r="E51" s="275"/>
      <c r="F51" s="275"/>
      <c r="G51" s="275"/>
      <c r="H51" s="275"/>
      <c r="I51" s="275"/>
      <c r="J51" s="275"/>
      <c r="K51" s="275"/>
      <c r="L51" s="98"/>
      <c r="M51" s="425" t="s">
        <v>272</v>
      </c>
      <c r="N51" s="418" t="s">
        <v>226</v>
      </c>
      <c r="O51" s="570" t="s">
        <v>50</v>
      </c>
      <c r="P51" s="943" t="s">
        <v>47</v>
      </c>
      <c r="Q51" s="944"/>
      <c r="R51" s="420" t="s">
        <v>273</v>
      </c>
      <c r="S51" s="426" t="s">
        <v>274</v>
      </c>
      <c r="T51" s="104"/>
      <c r="U51" s="83"/>
      <c r="V51" s="103"/>
      <c r="W51" s="892" t="s">
        <v>261</v>
      </c>
      <c r="X51" s="894"/>
      <c r="Y51" s="661">
        <v>0.7</v>
      </c>
      <c r="Z51" s="210"/>
      <c r="AA51" s="210"/>
      <c r="AB51" s="210"/>
      <c r="AC51" s="210"/>
      <c r="AD51" s="210"/>
      <c r="AE51" s="210"/>
      <c r="AF51" s="657"/>
      <c r="AG51" s="88" t="s">
        <v>252</v>
      </c>
      <c r="AH51" s="88" t="s">
        <v>2</v>
      </c>
      <c r="AI51" s="1010" t="s">
        <v>82</v>
      </c>
      <c r="AJ51" s="1010"/>
      <c r="AK51" s="1010"/>
      <c r="AL51" s="1010"/>
      <c r="AM51" s="1010"/>
      <c r="AN51" s="1010"/>
      <c r="AO51" s="104"/>
      <c r="AP51" s="83"/>
      <c r="AQ51" s="215"/>
      <c r="AR51" s="371"/>
    </row>
    <row r="52" spans="1:57" ht="16.25" customHeight="1" x14ac:dyDescent="0.2">
      <c r="A52" s="83"/>
      <c r="B52" s="103"/>
      <c r="C52" s="577"/>
      <c r="D52" s="365"/>
      <c r="E52" s="365"/>
      <c r="F52" s="365"/>
      <c r="G52" s="365"/>
      <c r="H52" s="365"/>
      <c r="I52" s="365"/>
      <c r="J52" s="365"/>
      <c r="K52" s="365"/>
      <c r="L52" s="573"/>
      <c r="M52" s="502" t="s">
        <v>276</v>
      </c>
      <c r="N52" s="409" t="s">
        <v>236</v>
      </c>
      <c r="O52" s="475">
        <v>2001</v>
      </c>
      <c r="P52" s="871" t="s">
        <v>237</v>
      </c>
      <c r="Q52" s="873"/>
      <c r="R52" s="427">
        <f>+IF(SUM(S13:S43)&gt;0,IF(G3="Equipment",SUM(S13:S43),"NaN"),"")</f>
        <v>43.550832251246149</v>
      </c>
      <c r="S52" s="428" cm="1">
        <f t="array" aca="1" ref="S52" ca="1">+IF(R52="","",R52*INDIRECT(ADDRESS(MATCH(O52,'Cost Conversion'!$B$3:$B$48,0)+2,4,1,1,"Cost conversion"))*INDIRECT(ADDRESS(MATCH(P52,'Cost Conversion'!$F$3:$F$22,0)+2,8,1,1,"Cost conversion"))/IF(N52="$",'Cost Conversion'!$L$2,1))</f>
        <v>70.294242651028199</v>
      </c>
      <c r="T52" s="104"/>
      <c r="U52" s="83"/>
      <c r="V52" s="103"/>
      <c r="W52" s="892" t="s">
        <v>265</v>
      </c>
      <c r="X52" s="894"/>
      <c r="Y52" s="661">
        <v>1500</v>
      </c>
      <c r="Z52" s="210"/>
      <c r="AA52" s="210"/>
      <c r="AB52" s="210"/>
      <c r="AC52" s="210"/>
      <c r="AD52" s="210"/>
      <c r="AE52" s="210"/>
      <c r="AF52" s="657"/>
      <c r="AG52" s="488"/>
      <c r="AH52" s="663"/>
      <c r="AI52" s="758" t="s">
        <v>468</v>
      </c>
      <c r="AJ52" s="394"/>
      <c r="AK52" s="394"/>
      <c r="AL52" s="394"/>
      <c r="AM52" s="394"/>
      <c r="AN52" s="489"/>
      <c r="AO52" s="104"/>
      <c r="AP52" s="83"/>
      <c r="AQ52" s="215"/>
      <c r="AR52" s="371"/>
    </row>
    <row r="53" spans="1:57" ht="16.25" customHeight="1" x14ac:dyDescent="0.2">
      <c r="A53" s="83"/>
      <c r="B53" s="103"/>
      <c r="C53" s="574"/>
      <c r="D53" s="575"/>
      <c r="E53" s="575"/>
      <c r="F53" s="575"/>
      <c r="G53" s="575"/>
      <c r="H53" s="575"/>
      <c r="I53" s="575"/>
      <c r="J53" s="575"/>
      <c r="K53" s="575"/>
      <c r="L53" s="576"/>
      <c r="M53" s="409" t="s">
        <v>278</v>
      </c>
      <c r="N53" s="127"/>
      <c r="O53" s="133"/>
      <c r="P53" s="871"/>
      <c r="Q53" s="873"/>
      <c r="R53" s="427" t="s">
        <v>187</v>
      </c>
      <c r="S53" s="428" t="str">
        <f ca="1">+IF(SUM(S46:S50)&gt;0,SUM(S46:S50),"")</f>
        <v/>
      </c>
      <c r="T53" s="104"/>
      <c r="U53" s="83"/>
      <c r="V53" s="103"/>
      <c r="W53" s="945" t="s">
        <v>269</v>
      </c>
      <c r="X53" s="946"/>
      <c r="Y53" s="533">
        <v>5000</v>
      </c>
      <c r="Z53" s="210"/>
      <c r="AA53" s="210"/>
      <c r="AB53" s="210"/>
      <c r="AC53" s="210"/>
      <c r="AD53" s="210"/>
      <c r="AE53" s="210"/>
      <c r="AF53" s="657"/>
      <c r="AG53" s="490"/>
      <c r="AH53" s="666"/>
      <c r="AI53" s="491"/>
      <c r="AJ53" s="491"/>
      <c r="AK53" s="491"/>
      <c r="AL53" s="491"/>
      <c r="AM53" s="491"/>
      <c r="AN53" s="492"/>
      <c r="AO53" s="104"/>
      <c r="AP53" s="83"/>
      <c r="AQ53" s="215"/>
      <c r="AR53" s="371"/>
    </row>
    <row r="54" spans="1:57" ht="16.25" customHeight="1" x14ac:dyDescent="0.2">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15"/>
      <c r="AR54" s="371"/>
    </row>
    <row r="55" spans="1:57" ht="16.25" customHeight="1" x14ac:dyDescent="0.2">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15"/>
      <c r="AR55" s="371"/>
    </row>
    <row r="56" spans="1:57" ht="16.25" customHeight="1" x14ac:dyDescent="0.2">
      <c r="A56" s="83"/>
      <c r="B56" s="917" t="str">
        <f>+"BEC Distribution: "&amp;E6</f>
        <v>BEC Distribution: N2 Purification</v>
      </c>
      <c r="C56" s="918"/>
      <c r="D56" s="918"/>
      <c r="E56" s="918"/>
      <c r="F56" s="918"/>
      <c r="G56" s="919"/>
      <c r="H56" s="917" t="str">
        <f>"Estimate Benchmark: "&amp;E6</f>
        <v>Estimate Benchmark: N2 Purification</v>
      </c>
      <c r="I56" s="918"/>
      <c r="J56" s="918"/>
      <c r="K56" s="918"/>
      <c r="L56" s="918"/>
      <c r="M56" s="918"/>
      <c r="N56" s="919"/>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15"/>
      <c r="AR56" s="371"/>
    </row>
    <row r="57" spans="1:57" ht="16.25" customHeight="1" x14ac:dyDescent="0.2">
      <c r="A57" s="83"/>
      <c r="B57" s="100"/>
      <c r="C57" s="101"/>
      <c r="D57" s="101"/>
      <c r="E57" s="101"/>
      <c r="F57" s="101"/>
      <c r="G57" s="102"/>
      <c r="H57" s="100"/>
      <c r="I57" s="101"/>
      <c r="J57" s="101"/>
      <c r="K57" s="101"/>
      <c r="L57" s="101"/>
      <c r="M57" s="101"/>
      <c r="N57" s="102"/>
      <c r="O57" s="161"/>
      <c r="P57" s="376"/>
      <c r="Q57" s="376"/>
      <c r="R57" s="215"/>
      <c r="S57" s="372"/>
      <c r="T57" s="215"/>
      <c r="U57" s="215"/>
      <c r="V57" s="215"/>
      <c r="W57" s="215"/>
      <c r="X57" s="215"/>
      <c r="Y57" s="215"/>
      <c r="Z57" s="215"/>
      <c r="AA57" s="215"/>
      <c r="AB57" s="215"/>
      <c r="AC57" s="215"/>
      <c r="AD57" s="215"/>
      <c r="AE57" s="215"/>
      <c r="AF57" s="215"/>
      <c r="AG57" s="215"/>
      <c r="AH57" s="215"/>
      <c r="AI57" s="215"/>
      <c r="AJ57" s="215"/>
      <c r="AK57" s="215"/>
      <c r="AL57" s="215"/>
      <c r="AM57" s="215"/>
      <c r="AN57" s="215"/>
      <c r="AO57" s="215"/>
      <c r="AP57" s="215"/>
      <c r="AQ57" s="215"/>
      <c r="AR57" s="371"/>
      <c r="AS57" s="372"/>
      <c r="AT57" s="372"/>
      <c r="AU57" s="372"/>
      <c r="AV57" s="372"/>
      <c r="AW57" s="372"/>
      <c r="AX57" s="372"/>
      <c r="AY57" s="372"/>
      <c r="AZ57" s="372"/>
      <c r="BA57" s="372"/>
      <c r="BB57" s="372"/>
      <c r="BC57" s="372"/>
      <c r="BD57" s="372"/>
      <c r="BE57" s="372"/>
    </row>
    <row r="58" spans="1:57" ht="16.25" customHeight="1" x14ac:dyDescent="0.2">
      <c r="A58" s="83"/>
      <c r="B58" s="103"/>
      <c r="C58" s="83"/>
      <c r="D58" s="83"/>
      <c r="E58" s="83"/>
      <c r="F58" s="83"/>
      <c r="G58" s="104"/>
      <c r="H58" s="103"/>
      <c r="I58" s="83"/>
      <c r="J58" s="83"/>
      <c r="K58" s="83"/>
      <c r="L58" s="83"/>
      <c r="M58" s="83"/>
      <c r="N58" s="104"/>
      <c r="O58" s="164"/>
      <c r="P58" s="376"/>
      <c r="Q58" s="376"/>
      <c r="R58" s="215"/>
      <c r="S58" s="372"/>
      <c r="T58" s="215"/>
      <c r="U58" s="215"/>
      <c r="V58" s="215"/>
      <c r="W58" s="215"/>
      <c r="X58" s="215"/>
      <c r="Y58" s="215"/>
      <c r="Z58" s="215"/>
      <c r="AA58" s="215"/>
      <c r="AB58" s="215"/>
      <c r="AC58" s="215"/>
      <c r="AD58" s="215"/>
      <c r="AE58" s="215"/>
      <c r="AF58" s="215"/>
      <c r="AG58" s="215"/>
      <c r="AH58" s="215"/>
      <c r="AI58" s="215"/>
      <c r="AJ58" s="215"/>
      <c r="AK58" s="215"/>
      <c r="AL58" s="215"/>
      <c r="AM58" s="215"/>
      <c r="AN58" s="215"/>
      <c r="AO58" s="215"/>
      <c r="AP58" s="215"/>
      <c r="AQ58" s="215"/>
      <c r="AR58" s="371"/>
      <c r="AS58" s="372"/>
      <c r="AT58" s="372"/>
      <c r="AU58" s="372"/>
      <c r="AV58" s="372"/>
      <c r="AW58" s="372"/>
      <c r="AX58" s="372"/>
      <c r="AY58" s="372"/>
      <c r="AZ58" s="372"/>
      <c r="BA58" s="372"/>
      <c r="BB58" s="372"/>
      <c r="BC58" s="372"/>
      <c r="BD58" s="372"/>
      <c r="BE58" s="372"/>
    </row>
    <row r="59" spans="1:57" ht="16.25" customHeight="1" x14ac:dyDescent="0.2">
      <c r="A59" s="83"/>
      <c r="B59" s="103"/>
      <c r="C59" s="83"/>
      <c r="D59" s="83"/>
      <c r="E59" s="83"/>
      <c r="F59" s="83"/>
      <c r="G59" s="104"/>
      <c r="H59" s="103"/>
      <c r="I59" s="83"/>
      <c r="J59" s="83"/>
      <c r="K59" s="83"/>
      <c r="L59" s="83"/>
      <c r="M59" s="83"/>
      <c r="N59" s="104"/>
      <c r="O59" s="160"/>
      <c r="P59" s="215"/>
      <c r="Q59" s="215"/>
      <c r="R59" s="215"/>
      <c r="S59" s="215"/>
      <c r="T59" s="215"/>
      <c r="U59" s="215"/>
      <c r="V59" s="215"/>
      <c r="W59" s="215"/>
      <c r="X59" s="215"/>
      <c r="Y59" s="215"/>
      <c r="Z59" s="215"/>
      <c r="AA59" s="215"/>
      <c r="AB59" s="215"/>
      <c r="AC59" s="215"/>
      <c r="AD59" s="215"/>
      <c r="AE59" s="215"/>
      <c r="AF59" s="215"/>
      <c r="AG59" s="215"/>
      <c r="AH59" s="215"/>
      <c r="AI59" s="215"/>
      <c r="AJ59" s="215"/>
      <c r="AK59" s="215"/>
      <c r="AL59" s="215"/>
      <c r="AM59" s="215"/>
      <c r="AN59" s="215"/>
      <c r="AO59" s="215"/>
      <c r="AP59" s="215"/>
      <c r="AQ59" s="215"/>
      <c r="AR59" s="371"/>
      <c r="AS59" s="372"/>
      <c r="AT59" s="372"/>
      <c r="AU59" s="372"/>
      <c r="AV59" s="372"/>
      <c r="AW59" s="372"/>
      <c r="AX59" s="372"/>
      <c r="AY59" s="372"/>
      <c r="AZ59" s="372"/>
      <c r="BA59" s="372"/>
      <c r="BB59" s="372"/>
      <c r="BC59" s="372"/>
      <c r="BD59" s="372"/>
      <c r="BE59" s="372"/>
    </row>
    <row r="60" spans="1:57" ht="16.25" customHeight="1" x14ac:dyDescent="0.2">
      <c r="A60" s="83"/>
      <c r="B60" s="103"/>
      <c r="C60" s="83"/>
      <c r="D60" s="83"/>
      <c r="E60" s="83"/>
      <c r="F60" s="83"/>
      <c r="G60" s="104"/>
      <c r="H60" s="103"/>
      <c r="I60" s="83"/>
      <c r="J60" s="83"/>
      <c r="K60" s="83"/>
      <c r="L60" s="83"/>
      <c r="M60" s="83"/>
      <c r="N60" s="104"/>
      <c r="O60" s="83"/>
      <c r="P60" s="215"/>
      <c r="Q60" s="215"/>
      <c r="R60" s="215"/>
      <c r="S60" s="215"/>
      <c r="T60" s="215"/>
      <c r="U60" s="215"/>
      <c r="V60" s="372"/>
      <c r="W60" s="215"/>
      <c r="X60" s="215"/>
      <c r="Y60" s="215"/>
      <c r="Z60" s="215"/>
      <c r="AA60" s="215"/>
      <c r="AB60" s="215"/>
      <c r="AC60" s="215"/>
      <c r="AD60" s="215"/>
      <c r="AE60" s="215"/>
      <c r="AF60" s="215"/>
      <c r="AG60" s="215"/>
      <c r="AH60" s="215"/>
      <c r="AI60" s="215"/>
      <c r="AJ60" s="215"/>
      <c r="AK60" s="215"/>
      <c r="AL60" s="215"/>
      <c r="AM60" s="215"/>
      <c r="AN60" s="215"/>
      <c r="AO60" s="215"/>
      <c r="AP60" s="215"/>
      <c r="AQ60" s="215"/>
      <c r="AR60" s="371"/>
      <c r="AS60" s="372"/>
      <c r="AT60" s="372"/>
      <c r="AU60" s="372"/>
      <c r="AV60" s="372"/>
      <c r="AW60" s="372"/>
      <c r="AX60" s="372"/>
      <c r="AY60" s="372"/>
      <c r="AZ60" s="372"/>
      <c r="BA60" s="372"/>
      <c r="BB60" s="372"/>
      <c r="BC60" s="372"/>
      <c r="BD60" s="372"/>
      <c r="BE60" s="372"/>
    </row>
    <row r="61" spans="1:57" ht="16.25" customHeight="1" x14ac:dyDescent="0.2">
      <c r="A61" s="83"/>
      <c r="B61" s="103"/>
      <c r="C61" s="83"/>
      <c r="D61" s="83"/>
      <c r="E61" s="83"/>
      <c r="F61" s="83"/>
      <c r="G61" s="104"/>
      <c r="H61" s="103"/>
      <c r="I61" s="83"/>
      <c r="J61" s="83"/>
      <c r="K61" s="83"/>
      <c r="L61" s="83"/>
      <c r="M61" s="83"/>
      <c r="N61" s="104"/>
      <c r="O61" s="83"/>
      <c r="P61" s="215"/>
      <c r="Q61" s="215"/>
      <c r="R61" s="215"/>
      <c r="S61" s="215"/>
      <c r="T61" s="215"/>
      <c r="U61" s="215"/>
      <c r="V61" s="215"/>
      <c r="W61" s="215"/>
      <c r="X61" s="215"/>
      <c r="Y61" s="215"/>
      <c r="Z61" s="215"/>
      <c r="AA61" s="215"/>
      <c r="AB61" s="215"/>
      <c r="AC61" s="215"/>
      <c r="AD61" s="215"/>
      <c r="AE61" s="215"/>
      <c r="AF61" s="215"/>
      <c r="AG61" s="215"/>
      <c r="AH61" s="215"/>
      <c r="AI61" s="215"/>
      <c r="AJ61" s="215"/>
      <c r="AK61" s="215"/>
      <c r="AL61" s="215"/>
      <c r="AM61" s="215"/>
      <c r="AN61" s="215"/>
      <c r="AO61" s="215"/>
      <c r="AP61" s="215"/>
      <c r="AQ61" s="215"/>
      <c r="AR61" s="371"/>
      <c r="AS61" s="372"/>
      <c r="AT61" s="372"/>
      <c r="AU61" s="372"/>
      <c r="AV61" s="372"/>
      <c r="AW61" s="372"/>
      <c r="AX61" s="372"/>
      <c r="AY61" s="372"/>
      <c r="AZ61" s="372"/>
      <c r="BA61" s="372"/>
      <c r="BB61" s="372"/>
      <c r="BC61" s="372"/>
      <c r="BD61" s="372"/>
      <c r="BE61" s="372"/>
    </row>
    <row r="62" spans="1:57" ht="16.25" customHeight="1" x14ac:dyDescent="0.2">
      <c r="A62" s="83"/>
      <c r="B62" s="103"/>
      <c r="C62" s="83"/>
      <c r="D62" s="83"/>
      <c r="E62" s="83"/>
      <c r="F62" s="83"/>
      <c r="G62" s="104"/>
      <c r="H62" s="103"/>
      <c r="I62" s="83"/>
      <c r="J62" s="83"/>
      <c r="K62" s="83"/>
      <c r="L62" s="83"/>
      <c r="M62" s="83"/>
      <c r="N62" s="104"/>
      <c r="O62" s="83"/>
      <c r="P62" s="215"/>
      <c r="Q62" s="215"/>
      <c r="R62" s="215"/>
      <c r="S62" s="215"/>
      <c r="T62" s="376"/>
      <c r="U62" s="215"/>
      <c r="V62" s="215"/>
      <c r="W62" s="215"/>
      <c r="X62" s="215"/>
      <c r="Y62" s="215"/>
      <c r="Z62" s="215"/>
      <c r="AA62" s="215"/>
      <c r="AB62" s="215"/>
      <c r="AC62" s="215"/>
      <c r="AD62" s="215"/>
      <c r="AE62" s="215"/>
      <c r="AF62" s="215"/>
      <c r="AG62" s="215"/>
      <c r="AH62" s="215"/>
      <c r="AI62" s="215"/>
      <c r="AJ62" s="215"/>
      <c r="AK62" s="215"/>
      <c r="AL62" s="215"/>
      <c r="AM62" s="215"/>
      <c r="AN62" s="215"/>
      <c r="AO62" s="215"/>
      <c r="AP62" s="215"/>
      <c r="AQ62" s="215"/>
      <c r="AR62" s="371"/>
      <c r="AS62" s="372"/>
      <c r="AT62" s="372"/>
      <c r="AU62" s="372"/>
      <c r="AV62" s="372"/>
      <c r="AW62" s="372"/>
      <c r="AX62" s="372"/>
      <c r="AY62" s="372"/>
      <c r="AZ62" s="372"/>
      <c r="BA62" s="372"/>
      <c r="BB62" s="372"/>
      <c r="BC62" s="372"/>
      <c r="BD62" s="372"/>
      <c r="BE62" s="372"/>
    </row>
    <row r="63" spans="1:57" ht="16.25" customHeight="1" x14ac:dyDescent="0.2">
      <c r="A63" s="83"/>
      <c r="B63" s="103"/>
      <c r="C63" s="83"/>
      <c r="D63" s="83"/>
      <c r="E63" s="83"/>
      <c r="F63" s="83"/>
      <c r="G63" s="104"/>
      <c r="H63" s="103"/>
      <c r="I63" s="83"/>
      <c r="J63" s="83"/>
      <c r="K63" s="83"/>
      <c r="L63" s="83"/>
      <c r="M63" s="83"/>
      <c r="N63" s="104"/>
      <c r="O63" s="83"/>
      <c r="P63" s="215"/>
      <c r="Q63" s="215"/>
      <c r="R63" s="215"/>
      <c r="S63" s="215"/>
      <c r="T63" s="376"/>
      <c r="U63" s="215"/>
      <c r="V63" s="215"/>
      <c r="W63" s="215"/>
      <c r="X63" s="215"/>
      <c r="Y63" s="215"/>
      <c r="Z63" s="215"/>
      <c r="AA63" s="215"/>
      <c r="AB63" s="215"/>
      <c r="AC63" s="215"/>
      <c r="AD63" s="215"/>
      <c r="AE63" s="215"/>
      <c r="AF63" s="215"/>
      <c r="AG63" s="215"/>
      <c r="AH63" s="215"/>
      <c r="AI63" s="215"/>
      <c r="AJ63" s="215"/>
      <c r="AK63" s="215"/>
      <c r="AL63" s="215"/>
      <c r="AM63" s="215"/>
      <c r="AN63" s="215"/>
      <c r="AO63" s="215"/>
      <c r="AP63" s="215"/>
      <c r="AQ63" s="215"/>
      <c r="AR63" s="371"/>
      <c r="AS63" s="372"/>
      <c r="AT63" s="372"/>
      <c r="AU63" s="372"/>
      <c r="AV63" s="372"/>
      <c r="AW63" s="372"/>
      <c r="AX63" s="372"/>
      <c r="AY63" s="372"/>
      <c r="AZ63" s="372"/>
      <c r="BA63" s="372"/>
      <c r="BB63" s="372"/>
      <c r="BC63" s="372"/>
      <c r="BD63" s="372"/>
      <c r="BE63" s="372"/>
    </row>
    <row r="64" spans="1:57" ht="16.25" customHeight="1" x14ac:dyDescent="0.2">
      <c r="A64" s="83"/>
      <c r="B64" s="103"/>
      <c r="C64" s="83"/>
      <c r="D64" s="83"/>
      <c r="E64" s="83"/>
      <c r="F64" s="83"/>
      <c r="G64" s="104"/>
      <c r="H64" s="103"/>
      <c r="I64" s="83"/>
      <c r="J64" s="83"/>
      <c r="K64" s="83"/>
      <c r="L64" s="83"/>
      <c r="M64" s="83"/>
      <c r="N64" s="104"/>
      <c r="O64" s="83"/>
      <c r="P64" s="215"/>
      <c r="Q64" s="215"/>
      <c r="R64" s="215"/>
      <c r="S64" s="215"/>
      <c r="T64" s="215"/>
      <c r="U64" s="215"/>
      <c r="V64" s="215"/>
      <c r="W64" s="215"/>
      <c r="X64" s="215"/>
      <c r="Y64" s="215"/>
      <c r="Z64" s="215"/>
      <c r="AA64" s="215"/>
      <c r="AB64" s="215"/>
      <c r="AC64" s="215"/>
      <c r="AD64" s="215"/>
      <c r="AE64" s="215"/>
      <c r="AF64" s="215"/>
      <c r="AG64" s="215"/>
      <c r="AH64" s="215"/>
      <c r="AI64" s="215"/>
      <c r="AJ64" s="215"/>
      <c r="AK64" s="215"/>
      <c r="AL64" s="215"/>
      <c r="AM64" s="215"/>
      <c r="AN64" s="215"/>
      <c r="AO64" s="215"/>
      <c r="AP64" s="215"/>
      <c r="AQ64" s="215"/>
      <c r="AR64" s="371"/>
      <c r="AS64" s="372"/>
      <c r="AT64" s="372"/>
      <c r="AU64" s="372"/>
      <c r="AV64" s="372"/>
      <c r="AW64" s="372"/>
      <c r="AX64" s="372"/>
      <c r="AY64" s="372"/>
      <c r="AZ64" s="372"/>
      <c r="BA64" s="372"/>
      <c r="BB64" s="372"/>
      <c r="BC64" s="372"/>
      <c r="BD64" s="372"/>
      <c r="BE64" s="372"/>
    </row>
    <row r="65" spans="1:57" ht="16.25" customHeight="1" x14ac:dyDescent="0.2">
      <c r="A65" s="83"/>
      <c r="B65" s="103"/>
      <c r="C65" s="83"/>
      <c r="D65" s="83"/>
      <c r="E65" s="83"/>
      <c r="F65" s="83"/>
      <c r="G65" s="104"/>
      <c r="H65" s="103"/>
      <c r="I65" s="83"/>
      <c r="J65" s="83"/>
      <c r="K65" s="83"/>
      <c r="L65" s="83"/>
      <c r="M65" s="83"/>
      <c r="N65" s="104"/>
      <c r="O65" s="83"/>
      <c r="P65" s="215"/>
      <c r="Q65" s="215"/>
      <c r="R65" s="215"/>
      <c r="S65" s="215"/>
      <c r="T65" s="215"/>
      <c r="U65" s="215"/>
      <c r="V65" s="215"/>
      <c r="W65" s="215"/>
      <c r="X65" s="215"/>
      <c r="Y65" s="215"/>
      <c r="Z65" s="215"/>
      <c r="AA65" s="215"/>
      <c r="AB65" s="215"/>
      <c r="AC65" s="215"/>
      <c r="AD65" s="215"/>
      <c r="AE65" s="215"/>
      <c r="AF65" s="215"/>
      <c r="AG65" s="215"/>
      <c r="AH65" s="215"/>
      <c r="AI65" s="215"/>
      <c r="AJ65" s="215"/>
      <c r="AK65" s="215"/>
      <c r="AL65" s="215"/>
      <c r="AM65" s="215"/>
      <c r="AN65" s="215"/>
      <c r="AO65" s="215"/>
      <c r="AP65" s="215"/>
      <c r="AQ65" s="215"/>
      <c r="AR65" s="371"/>
      <c r="AS65" s="372"/>
      <c r="AT65" s="372"/>
      <c r="AU65" s="372"/>
      <c r="AV65" s="372"/>
      <c r="AW65" s="372"/>
      <c r="AX65" s="372"/>
      <c r="AY65" s="372"/>
      <c r="AZ65" s="372"/>
      <c r="BA65" s="372"/>
      <c r="BB65" s="372"/>
      <c r="BC65" s="372"/>
      <c r="BD65" s="372"/>
      <c r="BE65" s="372"/>
    </row>
    <row r="66" spans="1:57" ht="16.25" customHeight="1" x14ac:dyDescent="0.2">
      <c r="A66" s="83"/>
      <c r="B66" s="103"/>
      <c r="C66" s="83"/>
      <c r="D66" s="83"/>
      <c r="E66" s="83"/>
      <c r="F66" s="83"/>
      <c r="G66" s="104"/>
      <c r="H66" s="103"/>
      <c r="I66" s="83"/>
      <c r="J66" s="83"/>
      <c r="K66" s="83"/>
      <c r="L66" s="83"/>
      <c r="M66" s="83"/>
      <c r="N66" s="104"/>
      <c r="O66" s="83"/>
      <c r="P66" s="215"/>
      <c r="Q66" s="215"/>
      <c r="R66" s="215"/>
      <c r="S66" s="215"/>
      <c r="T66" s="215"/>
      <c r="U66" s="215"/>
      <c r="V66" s="215"/>
      <c r="W66" s="215"/>
      <c r="X66" s="215"/>
      <c r="Y66" s="215"/>
      <c r="Z66" s="215"/>
      <c r="AA66" s="215"/>
      <c r="AB66" s="215"/>
      <c r="AC66" s="215"/>
      <c r="AD66" s="215"/>
      <c r="AE66" s="215"/>
      <c r="AF66" s="215"/>
      <c r="AG66" s="215"/>
      <c r="AH66" s="215"/>
      <c r="AI66" s="215"/>
      <c r="AJ66" s="215"/>
      <c r="AK66" s="215"/>
      <c r="AL66" s="215"/>
      <c r="AM66" s="215"/>
      <c r="AN66" s="215"/>
      <c r="AO66" s="215"/>
      <c r="AP66" s="215"/>
      <c r="AQ66" s="215"/>
      <c r="AR66" s="371"/>
      <c r="AS66" s="372"/>
      <c r="AT66" s="372"/>
      <c r="AU66" s="372"/>
      <c r="AV66" s="372"/>
      <c r="AW66" s="372"/>
      <c r="AX66" s="372"/>
      <c r="AY66" s="372"/>
      <c r="AZ66" s="372"/>
      <c r="BA66" s="372"/>
      <c r="BB66" s="372"/>
      <c r="BC66" s="372"/>
      <c r="BD66" s="372"/>
      <c r="BE66" s="372"/>
    </row>
    <row r="67" spans="1:57" ht="16.25" customHeight="1" x14ac:dyDescent="0.2">
      <c r="A67" s="83"/>
      <c r="B67" s="103"/>
      <c r="C67" s="83"/>
      <c r="D67" s="83"/>
      <c r="E67" s="83"/>
      <c r="F67" s="83"/>
      <c r="G67" s="104"/>
      <c r="H67" s="103"/>
      <c r="I67" s="83"/>
      <c r="J67" s="83"/>
      <c r="K67" s="83"/>
      <c r="L67" s="83"/>
      <c r="M67" s="83"/>
      <c r="N67" s="104"/>
      <c r="O67" s="83"/>
      <c r="P67" s="215"/>
      <c r="Q67" s="215"/>
      <c r="R67" s="215"/>
      <c r="S67" s="215"/>
      <c r="T67" s="215"/>
      <c r="U67" s="215"/>
      <c r="V67" s="215"/>
      <c r="W67" s="215"/>
      <c r="X67" s="215"/>
      <c r="Y67" s="215"/>
      <c r="Z67" s="215"/>
      <c r="AA67" s="215"/>
      <c r="AB67" s="215"/>
      <c r="AC67" s="215"/>
      <c r="AD67" s="215"/>
      <c r="AE67" s="215"/>
      <c r="AF67" s="215"/>
      <c r="AG67" s="215"/>
      <c r="AH67" s="215"/>
      <c r="AI67" s="215"/>
      <c r="AJ67" s="215"/>
      <c r="AK67" s="215"/>
      <c r="AL67" s="215"/>
      <c r="AM67" s="215"/>
      <c r="AN67" s="215"/>
      <c r="AO67" s="215"/>
      <c r="AP67" s="215"/>
      <c r="AQ67" s="215"/>
      <c r="AR67" s="371"/>
      <c r="AS67" s="372"/>
      <c r="AT67" s="372"/>
      <c r="AU67" s="372"/>
      <c r="AV67" s="372"/>
      <c r="AW67" s="372"/>
      <c r="AX67" s="372"/>
      <c r="AY67" s="372"/>
      <c r="AZ67" s="372"/>
      <c r="BA67" s="372"/>
      <c r="BB67" s="372"/>
      <c r="BC67" s="372"/>
      <c r="BD67" s="372"/>
      <c r="BE67" s="372"/>
    </row>
    <row r="68" spans="1:57" ht="16.25" customHeight="1" x14ac:dyDescent="0.2">
      <c r="A68" s="83"/>
      <c r="B68" s="103"/>
      <c r="C68" s="83"/>
      <c r="D68" s="83"/>
      <c r="E68" s="83"/>
      <c r="F68" s="83"/>
      <c r="G68" s="104"/>
      <c r="H68" s="103"/>
      <c r="I68" s="83"/>
      <c r="J68" s="83"/>
      <c r="K68" s="83"/>
      <c r="L68" s="83"/>
      <c r="M68" s="83"/>
      <c r="N68" s="104"/>
      <c r="O68" s="161"/>
      <c r="P68" s="376"/>
      <c r="Q68" s="376"/>
      <c r="R68" s="376"/>
      <c r="S68" s="376"/>
      <c r="T68" s="376"/>
      <c r="U68" s="377"/>
      <c r="V68" s="371"/>
      <c r="W68" s="371"/>
      <c r="X68" s="371"/>
      <c r="Y68" s="215"/>
      <c r="Z68" s="215"/>
      <c r="AA68" s="215"/>
      <c r="AB68" s="215"/>
      <c r="AC68" s="215"/>
      <c r="AD68" s="215"/>
      <c r="AE68" s="215"/>
      <c r="AF68" s="215"/>
      <c r="AG68" s="215"/>
      <c r="AH68" s="215"/>
      <c r="AI68" s="215"/>
      <c r="AJ68" s="215"/>
      <c r="AK68" s="215"/>
      <c r="AL68" s="215"/>
      <c r="AM68" s="215"/>
      <c r="AN68" s="215"/>
      <c r="AO68" s="215"/>
      <c r="AP68" s="215"/>
      <c r="AQ68" s="215"/>
      <c r="AR68" s="371"/>
      <c r="AS68" s="372"/>
      <c r="AT68" s="372"/>
      <c r="AU68" s="372"/>
      <c r="AV68" s="372"/>
      <c r="AW68" s="372"/>
      <c r="AX68" s="372"/>
      <c r="AY68" s="372"/>
      <c r="AZ68" s="372"/>
      <c r="BA68" s="372"/>
      <c r="BB68" s="372"/>
      <c r="BC68" s="372"/>
      <c r="BD68" s="372"/>
      <c r="BE68" s="372"/>
    </row>
    <row r="69" spans="1:57" ht="16.25" customHeight="1" x14ac:dyDescent="0.2">
      <c r="A69" s="83"/>
      <c r="B69" s="103"/>
      <c r="C69" s="83"/>
      <c r="D69" s="83"/>
      <c r="E69" s="83"/>
      <c r="F69" s="83"/>
      <c r="G69" s="104"/>
      <c r="H69" s="103"/>
      <c r="I69" s="83"/>
      <c r="J69" s="83"/>
      <c r="K69" s="83"/>
      <c r="L69" s="83"/>
      <c r="M69" s="83"/>
      <c r="N69" s="104"/>
      <c r="O69" s="161"/>
      <c r="P69" s="376"/>
      <c r="Q69" s="376"/>
      <c r="R69" s="376"/>
      <c r="S69" s="376"/>
      <c r="T69" s="376"/>
      <c r="U69" s="376"/>
      <c r="V69" s="376"/>
      <c r="W69" s="376"/>
      <c r="X69" s="376"/>
      <c r="Y69" s="215"/>
      <c r="Z69" s="215"/>
      <c r="AA69" s="215"/>
      <c r="AB69" s="215"/>
      <c r="AC69" s="215"/>
      <c r="AD69" s="215"/>
      <c r="AE69" s="215"/>
      <c r="AF69" s="215"/>
      <c r="AG69" s="215"/>
      <c r="AH69" s="215"/>
      <c r="AI69" s="215"/>
      <c r="AJ69" s="215"/>
      <c r="AK69" s="215"/>
      <c r="AL69" s="215"/>
      <c r="AM69" s="215"/>
      <c r="AN69" s="215"/>
      <c r="AO69" s="215"/>
      <c r="AP69" s="215"/>
      <c r="AQ69" s="215"/>
      <c r="AR69" s="371"/>
      <c r="AS69" s="372"/>
      <c r="AT69" s="372"/>
      <c r="AU69" s="372"/>
      <c r="AV69" s="372"/>
      <c r="AW69" s="372"/>
      <c r="AX69" s="372"/>
      <c r="AY69" s="372"/>
      <c r="AZ69" s="372"/>
      <c r="BA69" s="372"/>
      <c r="BB69" s="372"/>
      <c r="BC69" s="372"/>
      <c r="BD69" s="372"/>
      <c r="BE69" s="372"/>
    </row>
    <row r="70" spans="1:57" ht="16.25" customHeight="1" x14ac:dyDescent="0.2">
      <c r="A70" s="83"/>
      <c r="B70" s="103"/>
      <c r="C70" s="83"/>
      <c r="D70" s="83"/>
      <c r="E70" s="83"/>
      <c r="F70" s="83"/>
      <c r="G70" s="104"/>
      <c r="H70" s="103"/>
      <c r="I70" s="83"/>
      <c r="J70" s="83"/>
      <c r="K70" s="83"/>
      <c r="L70" s="83"/>
      <c r="M70" s="83"/>
      <c r="N70" s="104"/>
      <c r="O70" s="161"/>
      <c r="P70" s="374"/>
      <c r="Q70" s="376"/>
      <c r="R70" s="377"/>
      <c r="S70" s="377"/>
      <c r="T70" s="377"/>
      <c r="U70" s="377"/>
      <c r="V70" s="377"/>
      <c r="W70" s="376"/>
      <c r="X70" s="376"/>
      <c r="Y70" s="215"/>
      <c r="Z70" s="215"/>
      <c r="AA70" s="215"/>
      <c r="AB70" s="215"/>
      <c r="AC70" s="215"/>
      <c r="AD70" s="215"/>
      <c r="AE70" s="215"/>
      <c r="AF70" s="215"/>
      <c r="AG70" s="215"/>
      <c r="AH70" s="215"/>
      <c r="AI70" s="215"/>
      <c r="AJ70" s="215"/>
      <c r="AK70" s="215"/>
      <c r="AL70" s="215"/>
      <c r="AM70" s="215"/>
      <c r="AN70" s="215"/>
      <c r="AO70" s="215"/>
      <c r="AP70" s="215"/>
      <c r="AQ70" s="215"/>
      <c r="AR70" s="371"/>
      <c r="AS70" s="372"/>
      <c r="AT70" s="372"/>
      <c r="AU70" s="372"/>
      <c r="AV70" s="372"/>
      <c r="AW70" s="372"/>
      <c r="AX70" s="372"/>
      <c r="AY70" s="372"/>
      <c r="AZ70" s="372"/>
      <c r="BA70" s="372"/>
      <c r="BB70" s="372"/>
      <c r="BC70" s="372"/>
      <c r="BD70" s="372"/>
      <c r="BE70" s="372"/>
    </row>
    <row r="71" spans="1:57" ht="16.25" customHeight="1" x14ac:dyDescent="0.2">
      <c r="A71" s="83"/>
      <c r="B71" s="103"/>
      <c r="C71" s="83"/>
      <c r="D71" s="83"/>
      <c r="E71" s="83"/>
      <c r="F71" s="83"/>
      <c r="G71" s="104"/>
      <c r="H71" s="103"/>
      <c r="I71" s="83"/>
      <c r="J71" s="83"/>
      <c r="K71" s="83"/>
      <c r="L71" s="83"/>
      <c r="M71" s="83"/>
      <c r="N71" s="104"/>
      <c r="O71" s="83"/>
      <c r="P71" s="215"/>
      <c r="Q71" s="215"/>
      <c r="R71" s="215"/>
      <c r="S71" s="215"/>
      <c r="T71" s="215"/>
      <c r="U71" s="215"/>
      <c r="V71" s="215"/>
      <c r="W71" s="215"/>
      <c r="X71" s="215"/>
      <c r="Y71" s="215"/>
      <c r="Z71" s="215"/>
      <c r="AA71" s="215"/>
      <c r="AB71" s="215"/>
      <c r="AC71" s="215"/>
      <c r="AD71" s="215"/>
      <c r="AE71" s="215"/>
      <c r="AF71" s="215"/>
      <c r="AG71" s="215"/>
      <c r="AH71" s="215"/>
      <c r="AI71" s="215"/>
      <c r="AJ71" s="215"/>
      <c r="AK71" s="215"/>
      <c r="AL71" s="215"/>
      <c r="AM71" s="215"/>
      <c r="AN71" s="215"/>
      <c r="AO71" s="215"/>
      <c r="AP71" s="215"/>
      <c r="AQ71" s="215"/>
      <c r="AR71" s="371"/>
      <c r="AS71" s="372"/>
      <c r="AT71" s="372"/>
      <c r="AU71" s="372"/>
      <c r="AV71" s="372"/>
      <c r="AW71" s="372"/>
      <c r="AX71" s="372"/>
      <c r="AY71" s="372"/>
      <c r="AZ71" s="372"/>
      <c r="BA71" s="372"/>
      <c r="BB71" s="372"/>
      <c r="BC71" s="372"/>
      <c r="BD71" s="372"/>
      <c r="BE71" s="372"/>
    </row>
    <row r="72" spans="1:57" ht="16.25" customHeight="1" x14ac:dyDescent="0.2">
      <c r="A72" s="83"/>
      <c r="B72" s="103"/>
      <c r="C72" s="83"/>
      <c r="D72" s="83"/>
      <c r="E72" s="83"/>
      <c r="F72" s="83"/>
      <c r="G72" s="104"/>
      <c r="H72" s="103"/>
      <c r="I72" s="83"/>
      <c r="J72" s="83"/>
      <c r="K72" s="83"/>
      <c r="L72" s="83"/>
      <c r="M72" s="83"/>
      <c r="N72" s="104"/>
      <c r="O72" s="162"/>
      <c r="P72" s="371"/>
      <c r="Q72" s="371"/>
      <c r="R72" s="371"/>
      <c r="S72" s="371"/>
      <c r="T72" s="215"/>
      <c r="U72" s="215"/>
      <c r="V72" s="215"/>
      <c r="W72" s="215"/>
      <c r="X72" s="215"/>
      <c r="Y72" s="215"/>
      <c r="Z72" s="215"/>
      <c r="AA72" s="215"/>
      <c r="AB72" s="215"/>
      <c r="AC72" s="215"/>
      <c r="AD72" s="215"/>
      <c r="AE72" s="215"/>
      <c r="AF72" s="215"/>
      <c r="AG72" s="215"/>
      <c r="AH72" s="215"/>
      <c r="AI72" s="215"/>
      <c r="AJ72" s="215"/>
      <c r="AK72" s="215"/>
      <c r="AL72" s="215"/>
      <c r="AM72" s="215"/>
      <c r="AN72" s="215"/>
      <c r="AO72" s="215"/>
      <c r="AP72" s="215"/>
      <c r="AQ72" s="215"/>
      <c r="AR72" s="371"/>
      <c r="AS72" s="372"/>
      <c r="AT72" s="372"/>
      <c r="AU72" s="372"/>
      <c r="AV72" s="372"/>
      <c r="AW72" s="372"/>
      <c r="AX72" s="372"/>
      <c r="AY72" s="372"/>
      <c r="AZ72" s="372"/>
      <c r="BA72" s="372"/>
      <c r="BB72" s="372"/>
      <c r="BC72" s="372"/>
      <c r="BD72" s="372"/>
      <c r="BE72" s="372"/>
    </row>
    <row r="73" spans="1:57" ht="16.25" customHeight="1" x14ac:dyDescent="0.2">
      <c r="A73" s="83"/>
      <c r="B73" s="103"/>
      <c r="C73" s="83"/>
      <c r="D73" s="83"/>
      <c r="E73" s="83"/>
      <c r="F73" s="83"/>
      <c r="G73" s="104"/>
      <c r="H73" s="103"/>
      <c r="I73" s="83"/>
      <c r="J73" s="83"/>
      <c r="K73" s="83"/>
      <c r="L73" s="83"/>
      <c r="M73" s="83"/>
      <c r="N73" s="104"/>
      <c r="O73" s="162"/>
      <c r="P73" s="371"/>
      <c r="Q73" s="371"/>
      <c r="R73" s="371"/>
      <c r="S73" s="371"/>
      <c r="T73" s="215"/>
      <c r="U73" s="215"/>
      <c r="V73" s="215"/>
      <c r="W73" s="215"/>
      <c r="X73" s="215"/>
      <c r="Y73" s="215"/>
      <c r="Z73" s="215"/>
      <c r="AA73" s="215"/>
      <c r="AB73" s="215"/>
      <c r="AC73" s="215"/>
      <c r="AD73" s="215"/>
      <c r="AE73" s="215"/>
      <c r="AF73" s="215"/>
      <c r="AG73" s="215"/>
      <c r="AH73" s="215"/>
      <c r="AI73" s="215"/>
      <c r="AJ73" s="215"/>
      <c r="AK73" s="215"/>
      <c r="AL73" s="215"/>
      <c r="AM73" s="215"/>
      <c r="AN73" s="215"/>
      <c r="AO73" s="215"/>
      <c r="AP73" s="215"/>
      <c r="AQ73" s="215"/>
      <c r="AR73" s="371"/>
      <c r="AS73" s="372"/>
      <c r="AT73" s="372"/>
      <c r="AU73" s="372"/>
      <c r="AV73" s="372"/>
      <c r="AW73" s="372"/>
      <c r="AX73" s="372"/>
      <c r="AY73" s="372"/>
      <c r="AZ73" s="372"/>
      <c r="BA73" s="372"/>
      <c r="BB73" s="372"/>
      <c r="BC73" s="372"/>
      <c r="BD73" s="372"/>
      <c r="BE73" s="372"/>
    </row>
    <row r="74" spans="1:57" ht="16.25" customHeight="1" x14ac:dyDescent="0.2">
      <c r="A74" s="83"/>
      <c r="B74" s="103"/>
      <c r="C74" s="83"/>
      <c r="D74" s="83"/>
      <c r="E74" s="83"/>
      <c r="F74" s="83"/>
      <c r="G74" s="104"/>
      <c r="H74" s="103"/>
      <c r="I74" s="83"/>
      <c r="J74" s="83"/>
      <c r="K74" s="83"/>
      <c r="L74" s="83"/>
      <c r="M74" s="83"/>
      <c r="N74" s="104"/>
      <c r="O74" s="161"/>
      <c r="P74" s="376"/>
      <c r="Q74" s="376"/>
      <c r="R74" s="376"/>
      <c r="S74" s="376"/>
      <c r="T74" s="215"/>
      <c r="U74" s="215"/>
      <c r="V74" s="215"/>
      <c r="W74" s="215"/>
      <c r="X74" s="215"/>
      <c r="Y74" s="215"/>
      <c r="Z74" s="215"/>
      <c r="AA74" s="215"/>
      <c r="AB74" s="215"/>
      <c r="AC74" s="215"/>
      <c r="AD74" s="215"/>
      <c r="AE74" s="215"/>
      <c r="AF74" s="215"/>
      <c r="AG74" s="215"/>
      <c r="AH74" s="215"/>
      <c r="AI74" s="215"/>
      <c r="AJ74" s="215"/>
      <c r="AK74" s="215"/>
      <c r="AL74" s="215"/>
      <c r="AM74" s="215"/>
      <c r="AN74" s="215"/>
      <c r="AO74" s="215"/>
      <c r="AP74" s="215"/>
      <c r="AQ74" s="215"/>
      <c r="AR74" s="371"/>
      <c r="AS74" s="372"/>
      <c r="AT74" s="372"/>
      <c r="AU74" s="372"/>
      <c r="AV74" s="372"/>
      <c r="AW74" s="372"/>
      <c r="AX74" s="372"/>
      <c r="AY74" s="372"/>
      <c r="AZ74" s="372"/>
      <c r="BA74" s="372"/>
      <c r="BB74" s="372"/>
      <c r="BC74" s="372"/>
      <c r="BD74" s="372"/>
      <c r="BE74" s="372"/>
    </row>
    <row r="75" spans="1:57" ht="16.25" customHeight="1" x14ac:dyDescent="0.2">
      <c r="A75" s="83"/>
      <c r="B75" s="103"/>
      <c r="C75" s="83"/>
      <c r="D75" s="83"/>
      <c r="E75" s="83"/>
      <c r="F75" s="83"/>
      <c r="G75" s="104"/>
      <c r="H75" s="103"/>
      <c r="I75" s="83"/>
      <c r="J75" s="83"/>
      <c r="K75" s="83"/>
      <c r="L75" s="83"/>
      <c r="M75" s="83"/>
      <c r="N75" s="104"/>
      <c r="O75" s="163"/>
      <c r="P75" s="373"/>
      <c r="Q75" s="377"/>
      <c r="R75" s="376"/>
      <c r="S75" s="376"/>
      <c r="T75" s="215"/>
      <c r="U75" s="215"/>
      <c r="V75" s="215"/>
      <c r="W75" s="215"/>
      <c r="X75" s="215"/>
      <c r="Y75" s="215"/>
      <c r="Z75" s="215"/>
      <c r="AA75" s="215"/>
      <c r="AB75" s="215"/>
      <c r="AC75" s="215"/>
      <c r="AD75" s="215"/>
      <c r="AE75" s="215"/>
      <c r="AF75" s="215"/>
      <c r="AG75" s="215"/>
      <c r="AH75" s="215"/>
      <c r="AI75" s="215"/>
      <c r="AJ75" s="215"/>
      <c r="AK75" s="215"/>
      <c r="AL75" s="215"/>
      <c r="AM75" s="215"/>
      <c r="AN75" s="215"/>
      <c r="AO75" s="215"/>
      <c r="AP75" s="215"/>
      <c r="AQ75" s="215"/>
      <c r="AR75" s="371"/>
      <c r="AS75" s="372"/>
      <c r="AT75" s="372"/>
      <c r="AU75" s="372"/>
      <c r="AV75" s="372"/>
      <c r="AW75" s="372"/>
      <c r="AX75" s="372"/>
      <c r="AY75" s="372"/>
      <c r="AZ75" s="372"/>
      <c r="BA75" s="372"/>
      <c r="BB75" s="372"/>
      <c r="BC75" s="372"/>
      <c r="BD75" s="372"/>
      <c r="BE75" s="372"/>
    </row>
    <row r="76" spans="1:57" ht="16.25" customHeight="1" x14ac:dyDescent="0.2">
      <c r="A76" s="83"/>
      <c r="B76" s="103"/>
      <c r="C76" s="83"/>
      <c r="D76" s="83"/>
      <c r="E76" s="83"/>
      <c r="F76" s="83"/>
      <c r="G76" s="104"/>
      <c r="H76" s="103"/>
      <c r="I76" s="83"/>
      <c r="J76" s="83"/>
      <c r="K76" s="83"/>
      <c r="L76" s="83"/>
      <c r="M76" s="83"/>
      <c r="N76" s="104"/>
      <c r="O76" s="162"/>
      <c r="P76" s="371"/>
      <c r="Q76" s="371"/>
      <c r="R76" s="371"/>
      <c r="S76" s="371"/>
      <c r="T76" s="215"/>
      <c r="U76" s="215"/>
      <c r="V76" s="215"/>
      <c r="W76" s="215"/>
      <c r="X76" s="215"/>
      <c r="Y76" s="215"/>
      <c r="Z76" s="215"/>
      <c r="AA76" s="215"/>
      <c r="AB76" s="215"/>
      <c r="AC76" s="215"/>
      <c r="AD76" s="215"/>
      <c r="AE76" s="215"/>
      <c r="AF76" s="215"/>
      <c r="AG76" s="215"/>
      <c r="AH76" s="215"/>
      <c r="AI76" s="215"/>
      <c r="AJ76" s="215"/>
      <c r="AK76" s="215"/>
      <c r="AL76" s="215"/>
      <c r="AM76" s="215"/>
      <c r="AN76" s="215"/>
      <c r="AO76" s="215"/>
      <c r="AP76" s="215"/>
      <c r="AQ76" s="215"/>
      <c r="AR76" s="371"/>
      <c r="AS76" s="372"/>
      <c r="AT76" s="372"/>
      <c r="AU76" s="372"/>
      <c r="AV76" s="372"/>
      <c r="AW76" s="372"/>
      <c r="AX76" s="372"/>
      <c r="AY76" s="372"/>
      <c r="AZ76" s="372"/>
      <c r="BA76" s="372"/>
      <c r="BB76" s="372"/>
      <c r="BC76" s="372"/>
      <c r="BD76" s="372"/>
      <c r="BE76" s="372"/>
    </row>
    <row r="77" spans="1:57" ht="16.25" customHeight="1" x14ac:dyDescent="0.2">
      <c r="A77" s="83"/>
      <c r="B77" s="103"/>
      <c r="C77" s="83"/>
      <c r="D77" s="83"/>
      <c r="E77" s="83"/>
      <c r="F77" s="83"/>
      <c r="G77" s="104"/>
      <c r="H77" s="103"/>
      <c r="I77" s="83"/>
      <c r="J77" s="83"/>
      <c r="K77" s="83"/>
      <c r="L77" s="83"/>
      <c r="M77" s="83"/>
      <c r="N77" s="104"/>
      <c r="O77" s="162"/>
      <c r="P77" s="371"/>
      <c r="Q77" s="371"/>
      <c r="R77" s="371"/>
      <c r="S77" s="371"/>
      <c r="T77" s="215"/>
      <c r="U77" s="215"/>
      <c r="V77" s="215"/>
      <c r="W77" s="215"/>
      <c r="X77" s="215"/>
      <c r="Y77" s="215"/>
      <c r="Z77" s="215"/>
      <c r="AA77" s="215"/>
      <c r="AB77" s="215"/>
      <c r="AC77" s="215"/>
      <c r="AD77" s="215"/>
      <c r="AE77" s="215"/>
      <c r="AF77" s="215"/>
      <c r="AG77" s="215"/>
      <c r="AH77" s="215"/>
      <c r="AI77" s="215"/>
      <c r="AJ77" s="215"/>
      <c r="AK77" s="215"/>
      <c r="AL77" s="215"/>
      <c r="AM77" s="215"/>
      <c r="AN77" s="215"/>
      <c r="AO77" s="215"/>
      <c r="AP77" s="215"/>
      <c r="AQ77" s="215"/>
      <c r="AR77" s="371"/>
      <c r="AS77" s="372"/>
      <c r="AT77" s="372"/>
      <c r="AU77" s="372"/>
      <c r="AV77" s="372"/>
      <c r="AW77" s="372"/>
      <c r="AX77" s="372"/>
      <c r="AY77" s="372"/>
      <c r="AZ77" s="372"/>
      <c r="BA77" s="372"/>
      <c r="BB77" s="372"/>
      <c r="BC77" s="372"/>
      <c r="BD77" s="372"/>
      <c r="BE77" s="372"/>
    </row>
    <row r="78" spans="1:57" ht="16.25" customHeight="1" x14ac:dyDescent="0.2">
      <c r="A78" s="83"/>
      <c r="B78" s="103"/>
      <c r="C78" s="83"/>
      <c r="D78" s="83"/>
      <c r="E78" s="83"/>
      <c r="F78" s="83"/>
      <c r="G78" s="104"/>
      <c r="H78" s="103"/>
      <c r="I78" s="83"/>
      <c r="J78" s="83"/>
      <c r="K78" s="83"/>
      <c r="L78" s="83"/>
      <c r="M78" s="83"/>
      <c r="N78" s="104"/>
      <c r="O78" s="162"/>
      <c r="P78" s="371"/>
      <c r="Q78" s="371"/>
      <c r="R78" s="371"/>
      <c r="S78" s="371"/>
      <c r="T78" s="215"/>
      <c r="U78" s="215"/>
      <c r="V78" s="215"/>
      <c r="W78" s="215"/>
      <c r="X78" s="215"/>
      <c r="Y78" s="215"/>
      <c r="Z78" s="215"/>
      <c r="AA78" s="215"/>
      <c r="AB78" s="215"/>
      <c r="AC78" s="215"/>
      <c r="AD78" s="215"/>
      <c r="AE78" s="215"/>
      <c r="AF78" s="215"/>
      <c r="AG78" s="215"/>
      <c r="AH78" s="215"/>
      <c r="AI78" s="215"/>
      <c r="AJ78" s="215"/>
      <c r="AK78" s="215"/>
      <c r="AL78" s="215"/>
      <c r="AM78" s="215"/>
      <c r="AN78" s="215"/>
      <c r="AO78" s="215"/>
      <c r="AP78" s="215"/>
      <c r="AQ78" s="215"/>
      <c r="AR78" s="371"/>
      <c r="AS78" s="372"/>
      <c r="AT78" s="372"/>
      <c r="AU78" s="372"/>
      <c r="AV78" s="372"/>
      <c r="AW78" s="372"/>
      <c r="AX78" s="372"/>
      <c r="AY78" s="372"/>
      <c r="AZ78" s="372"/>
      <c r="BA78" s="372"/>
      <c r="BB78" s="372"/>
      <c r="BC78" s="372"/>
      <c r="BD78" s="372"/>
      <c r="BE78" s="372"/>
    </row>
    <row r="79" spans="1:57" ht="16.25" customHeight="1" x14ac:dyDescent="0.2">
      <c r="A79" s="83"/>
      <c r="B79" s="103"/>
      <c r="C79" s="83"/>
      <c r="D79" s="83"/>
      <c r="E79" s="83"/>
      <c r="F79" s="83"/>
      <c r="G79" s="104"/>
      <c r="H79" s="103"/>
      <c r="I79" s="83"/>
      <c r="J79" s="83"/>
      <c r="K79" s="83"/>
      <c r="L79" s="83"/>
      <c r="M79" s="83"/>
      <c r="N79" s="104"/>
      <c r="O79" s="162"/>
      <c r="P79" s="371"/>
      <c r="Q79" s="371"/>
      <c r="R79" s="371"/>
      <c r="S79" s="371"/>
      <c r="T79" s="215"/>
      <c r="U79" s="215"/>
      <c r="V79" s="215"/>
      <c r="W79" s="215"/>
      <c r="X79" s="215"/>
      <c r="Y79" s="215"/>
      <c r="Z79" s="215"/>
      <c r="AA79" s="215"/>
      <c r="AB79" s="215"/>
      <c r="AC79" s="215"/>
      <c r="AD79" s="215"/>
      <c r="AE79" s="215"/>
      <c r="AF79" s="215"/>
      <c r="AG79" s="215"/>
      <c r="AH79" s="215"/>
      <c r="AI79" s="215"/>
      <c r="AJ79" s="215"/>
      <c r="AK79" s="215"/>
      <c r="AL79" s="215"/>
      <c r="AM79" s="215"/>
      <c r="AN79" s="215"/>
      <c r="AO79" s="215"/>
      <c r="AP79" s="215"/>
      <c r="AQ79" s="215"/>
      <c r="AR79" s="371"/>
      <c r="AS79" s="372"/>
      <c r="AT79" s="372"/>
      <c r="AU79" s="372"/>
      <c r="AV79" s="372"/>
      <c r="AW79" s="372"/>
      <c r="AX79" s="372"/>
      <c r="AY79" s="372"/>
      <c r="AZ79" s="372"/>
      <c r="BA79" s="372"/>
      <c r="BB79" s="372"/>
      <c r="BC79" s="372"/>
      <c r="BD79" s="372"/>
      <c r="BE79" s="372"/>
    </row>
    <row r="80" spans="1:57" ht="16.25" customHeight="1" x14ac:dyDescent="0.2">
      <c r="A80" s="83"/>
      <c r="B80" s="933" t="s">
        <v>281</v>
      </c>
      <c r="C80" s="934"/>
      <c r="D80" s="934"/>
      <c r="E80" s="934"/>
      <c r="F80" s="934"/>
      <c r="G80" s="935"/>
      <c r="H80" s="116" t="s">
        <v>252</v>
      </c>
      <c r="I80" s="117" t="s">
        <v>2</v>
      </c>
      <c r="J80" s="939" t="s">
        <v>82</v>
      </c>
      <c r="K80" s="940"/>
      <c r="L80" s="940"/>
      <c r="M80" s="940"/>
      <c r="N80" s="941"/>
      <c r="O80" s="162"/>
      <c r="P80" s="371"/>
      <c r="Q80" s="371"/>
      <c r="R80" s="371"/>
      <c r="S80" s="371"/>
      <c r="T80" s="215"/>
      <c r="U80" s="215"/>
      <c r="V80" s="215"/>
      <c r="W80" s="215"/>
      <c r="X80" s="215"/>
      <c r="Y80" s="215"/>
      <c r="Z80" s="215"/>
      <c r="AA80" s="215"/>
      <c r="AB80" s="215"/>
      <c r="AC80" s="215"/>
      <c r="AD80" s="215"/>
      <c r="AE80" s="215"/>
      <c r="AF80" s="215"/>
      <c r="AG80" s="215"/>
      <c r="AH80" s="215"/>
      <c r="AI80" s="215"/>
      <c r="AJ80" s="215"/>
      <c r="AK80" s="215"/>
      <c r="AL80" s="215"/>
      <c r="AM80" s="215"/>
      <c r="AN80" s="215"/>
      <c r="AO80" s="215"/>
      <c r="AP80" s="215"/>
      <c r="AQ80" s="215"/>
      <c r="AR80" s="371"/>
      <c r="AS80" s="372"/>
      <c r="AT80" s="372"/>
      <c r="AU80" s="372"/>
      <c r="AV80" s="372"/>
      <c r="AW80" s="372"/>
      <c r="AX80" s="372"/>
      <c r="AY80" s="372"/>
      <c r="AZ80" s="372"/>
      <c r="BA80" s="372"/>
      <c r="BB80" s="372"/>
      <c r="BC80" s="372"/>
      <c r="BD80" s="372"/>
      <c r="BE80" s="372"/>
    </row>
    <row r="81" spans="1:57" ht="16.25" customHeight="1" x14ac:dyDescent="0.2">
      <c r="A81" s="83"/>
      <c r="B81" s="936"/>
      <c r="C81" s="937"/>
      <c r="D81" s="937"/>
      <c r="E81" s="937"/>
      <c r="F81" s="937"/>
      <c r="G81" s="938"/>
      <c r="H81" s="493"/>
      <c r="I81" s="110"/>
      <c r="J81" s="988"/>
      <c r="K81" s="989"/>
      <c r="L81" s="989"/>
      <c r="M81" s="989"/>
      <c r="N81" s="990"/>
      <c r="O81" s="83"/>
      <c r="P81" s="215"/>
      <c r="Q81" s="215"/>
      <c r="R81" s="215"/>
      <c r="S81" s="215"/>
      <c r="T81" s="215"/>
      <c r="U81" s="215"/>
      <c r="V81" s="215"/>
      <c r="W81" s="215"/>
      <c r="X81" s="215"/>
      <c r="Y81" s="215"/>
      <c r="Z81" s="215"/>
      <c r="AA81" s="215"/>
      <c r="AB81" s="215"/>
      <c r="AC81" s="215"/>
      <c r="AD81" s="215"/>
      <c r="AE81" s="215"/>
      <c r="AF81" s="215"/>
      <c r="AG81" s="215"/>
      <c r="AH81" s="215"/>
      <c r="AI81" s="215"/>
      <c r="AJ81" s="215"/>
      <c r="AK81" s="215"/>
      <c r="AL81" s="215"/>
      <c r="AM81" s="215"/>
      <c r="AN81" s="215"/>
      <c r="AO81" s="215"/>
      <c r="AP81" s="215"/>
      <c r="AQ81" s="215"/>
      <c r="AR81" s="371"/>
      <c r="AS81" s="372"/>
      <c r="AT81" s="372"/>
      <c r="AU81" s="372"/>
      <c r="AV81" s="372"/>
      <c r="AW81" s="372"/>
      <c r="AX81" s="372"/>
      <c r="AY81" s="372"/>
      <c r="AZ81" s="372"/>
      <c r="BA81" s="372"/>
      <c r="BB81" s="372"/>
      <c r="BC81" s="372"/>
      <c r="BD81" s="372"/>
      <c r="BE81" s="372"/>
    </row>
    <row r="82" spans="1:57" ht="16.25" customHeight="1" x14ac:dyDescent="0.2">
      <c r="A82" s="83"/>
      <c r="B82" s="83"/>
      <c r="C82" s="83"/>
      <c r="D82" s="83"/>
      <c r="E82" s="83"/>
      <c r="F82" s="83"/>
      <c r="G82" s="83"/>
      <c r="H82" s="83"/>
      <c r="I82" s="83"/>
      <c r="J82" s="83"/>
      <c r="K82" s="83"/>
      <c r="L82" s="83"/>
      <c r="M82" s="162"/>
      <c r="N82" s="165"/>
      <c r="O82" s="83"/>
      <c r="P82" s="215"/>
      <c r="Q82" s="215"/>
      <c r="R82" s="215"/>
      <c r="S82" s="215"/>
      <c r="T82" s="215"/>
      <c r="U82" s="215"/>
      <c r="V82" s="215"/>
      <c r="W82" s="215"/>
      <c r="X82" s="215"/>
      <c r="Y82" s="215"/>
      <c r="Z82" s="215"/>
      <c r="AA82" s="215"/>
      <c r="AB82" s="215"/>
      <c r="AC82" s="215"/>
      <c r="AD82" s="215"/>
      <c r="AE82" s="215"/>
      <c r="AF82" s="215"/>
      <c r="AG82" s="215"/>
      <c r="AH82" s="215"/>
      <c r="AI82" s="215"/>
      <c r="AJ82" s="215"/>
      <c r="AK82" s="215"/>
      <c r="AL82" s="215"/>
      <c r="AM82" s="215"/>
      <c r="AN82" s="215"/>
      <c r="AO82" s="215"/>
      <c r="AP82" s="215"/>
      <c r="AQ82" s="215"/>
      <c r="AR82" s="371"/>
      <c r="AS82" s="372"/>
      <c r="AT82" s="372"/>
      <c r="AU82" s="372"/>
      <c r="AV82" s="372"/>
      <c r="AW82" s="372"/>
      <c r="AX82" s="372"/>
      <c r="AY82" s="372"/>
      <c r="AZ82" s="372"/>
      <c r="BA82" s="372"/>
      <c r="BB82" s="372"/>
      <c r="BC82" s="372"/>
      <c r="BD82" s="372"/>
      <c r="BE82" s="372"/>
    </row>
    <row r="83" spans="1:57" x14ac:dyDescent="0.2">
      <c r="A83" s="83"/>
      <c r="B83" s="83"/>
      <c r="C83" s="83"/>
      <c r="D83" s="83"/>
      <c r="E83" s="83"/>
      <c r="F83" s="83"/>
      <c r="G83" s="83"/>
      <c r="H83" s="83"/>
      <c r="I83" s="83"/>
      <c r="J83" s="83"/>
      <c r="K83" s="83"/>
      <c r="L83" s="83"/>
      <c r="M83" s="162"/>
      <c r="N83" s="165"/>
      <c r="O83" s="83"/>
      <c r="P83" s="215"/>
      <c r="Q83" s="215"/>
      <c r="R83" s="215"/>
      <c r="S83" s="215"/>
      <c r="T83" s="215"/>
      <c r="U83" s="215"/>
      <c r="V83" s="215"/>
      <c r="W83" s="215"/>
      <c r="X83" s="215"/>
      <c r="Y83" s="215"/>
      <c r="Z83" s="215"/>
      <c r="AA83" s="215"/>
      <c r="AB83" s="215"/>
      <c r="AC83" s="215"/>
      <c r="AD83" s="215"/>
      <c r="AE83" s="215"/>
      <c r="AF83" s="215"/>
      <c r="AG83" s="215"/>
      <c r="AH83" s="215"/>
      <c r="AI83" s="215"/>
      <c r="AJ83" s="215"/>
      <c r="AK83" s="215"/>
      <c r="AL83" s="215"/>
      <c r="AM83" s="215"/>
      <c r="AN83" s="215"/>
      <c r="AO83" s="215"/>
      <c r="AP83" s="215"/>
      <c r="AQ83" s="215"/>
      <c r="AR83" s="371"/>
      <c r="AS83" s="372"/>
      <c r="AT83" s="372"/>
      <c r="AU83" s="372"/>
      <c r="AV83" s="372"/>
      <c r="AW83" s="372"/>
      <c r="AX83" s="372"/>
      <c r="AY83" s="372"/>
      <c r="AZ83" s="372"/>
      <c r="BA83" s="372"/>
      <c r="BB83" s="372"/>
      <c r="BC83" s="372"/>
      <c r="BD83" s="372"/>
      <c r="BE83" s="372"/>
    </row>
    <row r="84" spans="1:57" x14ac:dyDescent="0.2">
      <c r="P84" s="372"/>
      <c r="Q84" s="372"/>
      <c r="R84" s="372"/>
      <c r="S84" s="372"/>
      <c r="T84" s="372"/>
      <c r="U84" s="372"/>
      <c r="V84" s="372"/>
      <c r="W84" s="372"/>
      <c r="X84" s="372"/>
      <c r="Y84" s="372"/>
      <c r="Z84" s="372"/>
      <c r="AA84" s="372"/>
      <c r="AB84" s="372"/>
      <c r="AC84" s="372"/>
      <c r="AD84" s="372"/>
      <c r="AE84" s="372"/>
      <c r="AF84" s="372"/>
      <c r="AG84" s="372"/>
      <c r="AH84" s="372"/>
      <c r="AI84" s="372"/>
      <c r="AJ84" s="372"/>
      <c r="AK84" s="372"/>
      <c r="AL84" s="372"/>
      <c r="AM84" s="372"/>
      <c r="AN84" s="372"/>
      <c r="AO84" s="372"/>
      <c r="AP84" s="372"/>
      <c r="AS84" s="372"/>
      <c r="AT84" s="372"/>
      <c r="AU84" s="372"/>
      <c r="AV84" s="372"/>
      <c r="AW84" s="372"/>
      <c r="AX84" s="372"/>
      <c r="AY84" s="372"/>
      <c r="AZ84" s="372"/>
      <c r="BA84" s="372"/>
      <c r="BB84" s="372"/>
      <c r="BC84" s="372"/>
      <c r="BD84" s="372"/>
      <c r="BE84" s="372"/>
    </row>
    <row r="85" spans="1:57" x14ac:dyDescent="0.2">
      <c r="P85" s="372"/>
      <c r="Q85" s="372"/>
      <c r="R85" s="372"/>
      <c r="S85" s="372"/>
      <c r="T85" s="372"/>
      <c r="U85" s="372"/>
      <c r="V85" s="372"/>
      <c r="W85" s="372"/>
      <c r="X85" s="372"/>
      <c r="Y85" s="372"/>
      <c r="Z85" s="372"/>
      <c r="AA85" s="372"/>
      <c r="AB85" s="372"/>
      <c r="AC85" s="372"/>
      <c r="AD85" s="372"/>
      <c r="AE85" s="372"/>
      <c r="AF85" s="372"/>
      <c r="AG85" s="372"/>
      <c r="AH85" s="372"/>
      <c r="AI85" s="372"/>
      <c r="AJ85" s="372"/>
      <c r="AK85" s="372"/>
      <c r="AL85" s="372"/>
      <c r="AM85" s="372"/>
      <c r="AN85" s="372"/>
      <c r="AO85" s="372"/>
      <c r="AP85" s="372"/>
      <c r="AS85" s="372"/>
      <c r="AT85" s="372"/>
      <c r="AU85" s="372"/>
      <c r="AV85" s="372"/>
      <c r="AW85" s="372"/>
      <c r="AX85" s="372"/>
      <c r="AY85" s="372"/>
      <c r="AZ85" s="372"/>
      <c r="BA85" s="372"/>
      <c r="BB85" s="372"/>
      <c r="BC85" s="372"/>
      <c r="BD85" s="372"/>
      <c r="BE85" s="372"/>
    </row>
    <row r="86" spans="1:57" x14ac:dyDescent="0.2">
      <c r="P86" s="372"/>
      <c r="Q86" s="372"/>
      <c r="R86" s="372"/>
      <c r="S86" s="372"/>
      <c r="T86" s="372"/>
      <c r="U86" s="372"/>
      <c r="V86" s="372"/>
      <c r="W86" s="372"/>
      <c r="X86" s="372"/>
      <c r="Y86" s="372"/>
      <c r="Z86" s="372"/>
      <c r="AA86" s="372"/>
      <c r="AB86" s="372"/>
      <c r="AC86" s="372"/>
      <c r="AD86" s="372"/>
      <c r="AE86" s="372"/>
      <c r="AF86" s="372"/>
      <c r="AG86" s="372"/>
      <c r="AH86" s="372"/>
      <c r="AI86" s="372"/>
      <c r="AJ86" s="372"/>
      <c r="AK86" s="372"/>
      <c r="AL86" s="372"/>
      <c r="AM86" s="372"/>
      <c r="AN86" s="372"/>
      <c r="AO86" s="372"/>
      <c r="AP86" s="372"/>
      <c r="AS86" s="372"/>
      <c r="AT86" s="372"/>
      <c r="AU86" s="372"/>
      <c r="AV86" s="372"/>
      <c r="AW86" s="372"/>
      <c r="AX86" s="372"/>
      <c r="AY86" s="372"/>
      <c r="AZ86" s="372"/>
      <c r="BA86" s="372"/>
      <c r="BB86" s="372"/>
      <c r="BC86" s="372"/>
      <c r="BD86" s="372"/>
      <c r="BE86" s="372"/>
    </row>
    <row r="87" spans="1:57" x14ac:dyDescent="0.2">
      <c r="P87" s="372"/>
      <c r="Q87" s="372"/>
      <c r="R87" s="372"/>
      <c r="S87" s="372"/>
      <c r="T87" s="372"/>
      <c r="U87" s="372"/>
      <c r="V87" s="372"/>
      <c r="W87" s="372"/>
      <c r="X87" s="372"/>
      <c r="Y87" s="372"/>
      <c r="Z87" s="372"/>
      <c r="AA87" s="372"/>
      <c r="AB87" s="372"/>
      <c r="AC87" s="372"/>
      <c r="AD87" s="372"/>
      <c r="AE87" s="372"/>
      <c r="AF87" s="372"/>
      <c r="AG87" s="372"/>
      <c r="AH87" s="372"/>
      <c r="AI87" s="372"/>
      <c r="AJ87" s="372"/>
      <c r="AK87" s="372"/>
      <c r="AL87" s="372"/>
      <c r="AM87" s="372"/>
      <c r="AN87" s="372"/>
      <c r="AO87" s="372"/>
      <c r="AP87" s="372"/>
      <c r="AS87" s="372"/>
      <c r="AT87" s="372"/>
      <c r="AU87" s="372"/>
      <c r="AV87" s="372"/>
      <c r="AW87" s="372"/>
      <c r="AX87" s="372"/>
      <c r="AY87" s="372"/>
      <c r="AZ87" s="372"/>
      <c r="BA87" s="372"/>
      <c r="BB87" s="372"/>
      <c r="BC87" s="372"/>
      <c r="BD87" s="372"/>
      <c r="BE87" s="372"/>
    </row>
    <row r="88" spans="1:57" x14ac:dyDescent="0.2">
      <c r="P88" s="372"/>
      <c r="Q88" s="372"/>
      <c r="R88" s="372"/>
      <c r="S88" s="372"/>
      <c r="T88" s="372"/>
      <c r="U88" s="372"/>
      <c r="V88" s="372"/>
      <c r="W88" s="372"/>
      <c r="X88" s="372"/>
      <c r="Y88" s="372"/>
      <c r="Z88" s="372"/>
      <c r="AA88" s="372"/>
      <c r="AB88" s="372"/>
      <c r="AC88" s="372"/>
      <c r="AD88" s="372"/>
      <c r="AE88" s="372"/>
      <c r="AF88" s="372"/>
      <c r="AG88" s="372"/>
      <c r="AH88" s="372"/>
      <c r="AI88" s="372"/>
      <c r="AJ88" s="372"/>
      <c r="AK88" s="372"/>
      <c r="AL88" s="372"/>
      <c r="AM88" s="372"/>
      <c r="AN88" s="372"/>
      <c r="AO88" s="372"/>
      <c r="AP88" s="372"/>
      <c r="AS88" s="372"/>
      <c r="AT88" s="372"/>
      <c r="AU88" s="372"/>
      <c r="AV88" s="372"/>
      <c r="AW88" s="372"/>
      <c r="AX88" s="372"/>
      <c r="AY88" s="372"/>
      <c r="AZ88" s="372"/>
      <c r="BA88" s="372"/>
      <c r="BB88" s="372"/>
      <c r="BC88" s="372"/>
      <c r="BD88" s="372"/>
      <c r="BE88" s="372"/>
    </row>
    <row r="89" spans="1:57" x14ac:dyDescent="0.2">
      <c r="P89" s="372"/>
      <c r="Q89" s="372"/>
      <c r="R89" s="372"/>
      <c r="S89" s="372"/>
      <c r="T89" s="372"/>
      <c r="U89" s="372"/>
      <c r="V89" s="372"/>
      <c r="W89" s="372"/>
      <c r="X89" s="372"/>
      <c r="Y89" s="372"/>
      <c r="Z89" s="372"/>
      <c r="AA89" s="372"/>
      <c r="AB89" s="372"/>
      <c r="AC89" s="372"/>
      <c r="AD89" s="372"/>
      <c r="AE89" s="372"/>
      <c r="AF89" s="372"/>
      <c r="AG89" s="372"/>
      <c r="AH89" s="372"/>
      <c r="AI89" s="372"/>
      <c r="AJ89" s="372"/>
      <c r="AK89" s="372"/>
      <c r="AL89" s="372"/>
      <c r="AM89" s="372"/>
      <c r="AN89" s="372"/>
      <c r="AO89" s="372"/>
      <c r="AP89" s="372"/>
      <c r="AS89" s="372"/>
      <c r="AT89" s="372"/>
      <c r="AU89" s="372"/>
      <c r="AV89" s="372"/>
      <c r="AW89" s="372"/>
      <c r="AX89" s="372"/>
      <c r="AY89" s="372"/>
      <c r="AZ89" s="372"/>
      <c r="BA89" s="372"/>
      <c r="BB89" s="372"/>
      <c r="BC89" s="372"/>
      <c r="BD89" s="372"/>
      <c r="BE89" s="372"/>
    </row>
    <row r="90" spans="1:57" x14ac:dyDescent="0.2">
      <c r="P90" s="372"/>
      <c r="Q90" s="372"/>
      <c r="R90" s="372"/>
      <c r="S90" s="372"/>
      <c r="T90" s="372"/>
      <c r="U90" s="372"/>
      <c r="V90" s="372"/>
      <c r="W90" s="372"/>
      <c r="X90" s="372"/>
      <c r="Y90" s="372"/>
      <c r="Z90" s="372"/>
      <c r="AA90" s="372"/>
      <c r="AB90" s="372"/>
      <c r="AC90" s="372"/>
      <c r="AD90" s="372"/>
      <c r="AE90" s="372"/>
      <c r="AF90" s="372"/>
      <c r="AG90" s="372"/>
      <c r="AH90" s="372"/>
      <c r="AI90" s="372"/>
      <c r="AJ90" s="372"/>
      <c r="AK90" s="372"/>
      <c r="AL90" s="372"/>
      <c r="AM90" s="372"/>
      <c r="AN90" s="372"/>
      <c r="AO90" s="372"/>
      <c r="AP90" s="372"/>
      <c r="AS90" s="372"/>
      <c r="AT90" s="372"/>
      <c r="AU90" s="372"/>
      <c r="AV90" s="372"/>
      <c r="AW90" s="372"/>
      <c r="AX90" s="372"/>
      <c r="AY90" s="372"/>
      <c r="AZ90" s="372"/>
      <c r="BA90" s="372"/>
      <c r="BB90" s="372"/>
      <c r="BC90" s="372"/>
      <c r="BD90" s="372"/>
      <c r="BE90" s="372"/>
    </row>
    <row r="91" spans="1:57" x14ac:dyDescent="0.2">
      <c r="P91" s="372"/>
      <c r="Q91" s="372"/>
      <c r="R91" s="372"/>
      <c r="S91" s="372"/>
      <c r="T91" s="372"/>
      <c r="U91" s="372"/>
      <c r="V91" s="372"/>
      <c r="W91" s="372"/>
      <c r="X91" s="372"/>
      <c r="Y91" s="372"/>
      <c r="Z91" s="372"/>
      <c r="AA91" s="372"/>
      <c r="AB91" s="372"/>
      <c r="AC91" s="372"/>
      <c r="AD91" s="372"/>
      <c r="AE91" s="372"/>
      <c r="AF91" s="372"/>
      <c r="AG91" s="372"/>
      <c r="AH91" s="372"/>
      <c r="AI91" s="372"/>
      <c r="AJ91" s="372"/>
      <c r="AK91" s="372"/>
      <c r="AL91" s="372"/>
      <c r="AM91" s="372"/>
      <c r="AN91" s="372"/>
      <c r="AO91" s="372"/>
      <c r="AP91" s="372"/>
      <c r="AS91" s="372"/>
      <c r="AT91" s="372"/>
      <c r="AU91" s="372"/>
      <c r="AV91" s="372"/>
      <c r="AW91" s="372"/>
      <c r="AX91" s="372"/>
      <c r="AY91" s="372"/>
      <c r="AZ91" s="372"/>
      <c r="BA91" s="372"/>
      <c r="BB91" s="372"/>
      <c r="BC91" s="372"/>
      <c r="BD91" s="372"/>
      <c r="BE91" s="372"/>
    </row>
    <row r="92" spans="1:57" x14ac:dyDescent="0.2">
      <c r="P92" s="372"/>
      <c r="Q92" s="372"/>
      <c r="R92" s="372"/>
      <c r="S92" s="372"/>
      <c r="T92" s="372"/>
      <c r="U92" s="372"/>
      <c r="V92" s="372"/>
      <c r="W92" s="372"/>
      <c r="X92" s="372"/>
      <c r="Y92" s="372"/>
      <c r="Z92" s="372"/>
      <c r="AA92" s="372"/>
      <c r="AB92" s="372"/>
      <c r="AC92" s="372"/>
      <c r="AD92" s="372"/>
      <c r="AE92" s="372"/>
      <c r="AF92" s="372"/>
      <c r="AG92" s="372"/>
      <c r="AH92" s="372"/>
      <c r="AI92" s="372"/>
      <c r="AJ92" s="372"/>
      <c r="AK92" s="372"/>
      <c r="AL92" s="372"/>
      <c r="AM92" s="372"/>
      <c r="AN92" s="372"/>
      <c r="AO92" s="372"/>
      <c r="AP92" s="372"/>
      <c r="AS92" s="372"/>
      <c r="AT92" s="372"/>
      <c r="AU92" s="372"/>
      <c r="AV92" s="372"/>
      <c r="AW92" s="372"/>
      <c r="AX92" s="372"/>
      <c r="AY92" s="372"/>
      <c r="AZ92" s="372"/>
      <c r="BA92" s="372"/>
      <c r="BB92" s="372"/>
      <c r="BC92" s="372"/>
      <c r="BD92" s="372"/>
      <c r="BE92" s="372"/>
    </row>
    <row r="93" spans="1:57" x14ac:dyDescent="0.2">
      <c r="P93" s="372"/>
      <c r="Q93" s="372"/>
      <c r="R93" s="372"/>
      <c r="S93" s="372"/>
      <c r="T93" s="372"/>
      <c r="U93" s="372"/>
      <c r="V93" s="372"/>
      <c r="W93" s="372"/>
      <c r="X93" s="372"/>
      <c r="Y93" s="372"/>
      <c r="Z93" s="372"/>
      <c r="AA93" s="372"/>
      <c r="AB93" s="372"/>
      <c r="AC93" s="372"/>
      <c r="AD93" s="372"/>
      <c r="AE93" s="372"/>
      <c r="AF93" s="372"/>
      <c r="AG93" s="372"/>
      <c r="AH93" s="372"/>
      <c r="AI93" s="372"/>
      <c r="AJ93" s="372"/>
      <c r="AK93" s="372"/>
      <c r="AL93" s="372"/>
      <c r="AM93" s="372"/>
      <c r="AN93" s="372"/>
      <c r="AO93" s="372"/>
      <c r="AP93" s="372"/>
      <c r="AS93" s="372"/>
      <c r="AT93" s="372"/>
      <c r="AU93" s="372"/>
      <c r="AV93" s="372"/>
      <c r="AW93" s="372"/>
      <c r="AX93" s="372"/>
      <c r="AY93" s="372"/>
      <c r="AZ93" s="372"/>
      <c r="BA93" s="372"/>
      <c r="BB93" s="372"/>
      <c r="BC93" s="372"/>
      <c r="BD93" s="372"/>
      <c r="BE93" s="372"/>
    </row>
    <row r="94" spans="1:57" x14ac:dyDescent="0.2">
      <c r="P94" s="372"/>
      <c r="Q94" s="372"/>
      <c r="R94" s="372"/>
      <c r="S94" s="372"/>
      <c r="T94" s="372"/>
      <c r="U94" s="372"/>
      <c r="V94" s="372"/>
      <c r="W94" s="372"/>
      <c r="X94" s="372"/>
      <c r="Y94" s="372"/>
      <c r="Z94" s="372"/>
      <c r="AA94" s="372"/>
      <c r="AB94" s="372"/>
      <c r="AC94" s="372"/>
      <c r="AD94" s="372"/>
      <c r="AE94" s="372"/>
      <c r="AF94" s="372"/>
      <c r="AG94" s="372"/>
      <c r="AH94" s="372"/>
      <c r="AI94" s="372"/>
      <c r="AJ94" s="372"/>
      <c r="AK94" s="372"/>
      <c r="AL94" s="372"/>
      <c r="AM94" s="372"/>
      <c r="AN94" s="372"/>
      <c r="AO94" s="372"/>
      <c r="AP94" s="372"/>
      <c r="AS94" s="372"/>
      <c r="AT94" s="372"/>
      <c r="AU94" s="372"/>
      <c r="AV94" s="372"/>
      <c r="AW94" s="372"/>
      <c r="AX94" s="372"/>
      <c r="AY94" s="372"/>
      <c r="AZ94" s="372"/>
      <c r="BA94" s="372"/>
      <c r="BB94" s="372"/>
      <c r="BC94" s="372"/>
      <c r="BD94" s="372"/>
      <c r="BE94" s="372"/>
    </row>
    <row r="95" spans="1:57" x14ac:dyDescent="0.2">
      <c r="P95" s="372"/>
      <c r="Q95" s="372"/>
      <c r="R95" s="372"/>
      <c r="S95" s="372"/>
      <c r="T95" s="372"/>
      <c r="U95" s="372"/>
      <c r="V95" s="372"/>
      <c r="W95" s="372"/>
      <c r="X95" s="372"/>
      <c r="Y95" s="372"/>
      <c r="Z95" s="372"/>
      <c r="AA95" s="372"/>
      <c r="AB95" s="372"/>
      <c r="AC95" s="372"/>
      <c r="AD95" s="372"/>
      <c r="AE95" s="372"/>
      <c r="AF95" s="372"/>
      <c r="AG95" s="372"/>
      <c r="AH95" s="372"/>
      <c r="AI95" s="372"/>
      <c r="AJ95" s="372"/>
      <c r="AK95" s="372"/>
      <c r="AL95" s="372"/>
      <c r="AM95" s="372"/>
      <c r="AN95" s="372"/>
      <c r="AO95" s="372"/>
      <c r="AP95" s="372"/>
      <c r="AS95" s="372"/>
      <c r="AT95" s="372"/>
      <c r="AU95" s="372"/>
      <c r="AV95" s="372"/>
      <c r="AW95" s="372"/>
      <c r="AX95" s="372"/>
      <c r="AY95" s="372"/>
      <c r="AZ95" s="372"/>
      <c r="BA95" s="372"/>
      <c r="BB95" s="372"/>
      <c r="BC95" s="372"/>
      <c r="BD95" s="372"/>
      <c r="BE95" s="372"/>
    </row>
    <row r="96" spans="1:57" x14ac:dyDescent="0.2">
      <c r="P96" s="372"/>
      <c r="Q96" s="372"/>
      <c r="R96" s="372"/>
      <c r="S96" s="372"/>
      <c r="T96" s="372"/>
      <c r="U96" s="372"/>
      <c r="V96" s="372"/>
      <c r="W96" s="372"/>
      <c r="X96" s="372"/>
      <c r="Y96" s="372"/>
      <c r="Z96" s="372"/>
      <c r="AA96" s="372"/>
      <c r="AB96" s="372"/>
      <c r="AC96" s="372"/>
      <c r="AD96" s="372"/>
      <c r="AE96" s="372"/>
      <c r="AF96" s="372"/>
      <c r="AG96" s="372"/>
      <c r="AH96" s="372"/>
      <c r="AI96" s="372"/>
      <c r="AJ96" s="372"/>
      <c r="AK96" s="372"/>
      <c r="AL96" s="372"/>
      <c r="AM96" s="372"/>
      <c r="AN96" s="372"/>
      <c r="AO96" s="372"/>
      <c r="AP96" s="372"/>
      <c r="AS96" s="372"/>
      <c r="AT96" s="372"/>
      <c r="AU96" s="372"/>
      <c r="AV96" s="372"/>
      <c r="AW96" s="372"/>
      <c r="AX96" s="372"/>
      <c r="AY96" s="372"/>
      <c r="AZ96" s="372"/>
      <c r="BA96" s="372"/>
      <c r="BB96" s="372"/>
      <c r="BC96" s="372"/>
      <c r="BD96" s="372"/>
      <c r="BE96" s="372"/>
    </row>
    <row r="97" spans="16:57" x14ac:dyDescent="0.2">
      <c r="P97" s="372"/>
      <c r="Q97" s="372"/>
      <c r="R97" s="372"/>
      <c r="S97" s="372"/>
      <c r="T97" s="372"/>
      <c r="U97" s="372"/>
      <c r="V97" s="372"/>
      <c r="W97" s="372"/>
      <c r="X97" s="372"/>
      <c r="Y97" s="372"/>
      <c r="Z97" s="372"/>
      <c r="AA97" s="372"/>
      <c r="AB97" s="372"/>
      <c r="AC97" s="372"/>
      <c r="AD97" s="372"/>
      <c r="AE97" s="372"/>
      <c r="AF97" s="372"/>
      <c r="AG97" s="372"/>
      <c r="AH97" s="372"/>
      <c r="AI97" s="372"/>
      <c r="AJ97" s="372"/>
      <c r="AK97" s="372"/>
      <c r="AL97" s="372"/>
      <c r="AM97" s="372"/>
      <c r="AN97" s="372"/>
      <c r="AO97" s="372"/>
      <c r="AP97" s="372"/>
      <c r="AS97" s="372"/>
      <c r="AT97" s="372"/>
      <c r="AU97" s="372"/>
      <c r="AV97" s="372"/>
      <c r="AW97" s="372"/>
      <c r="AX97" s="372"/>
      <c r="AY97" s="372"/>
      <c r="AZ97" s="372"/>
      <c r="BA97" s="372"/>
      <c r="BB97" s="372"/>
      <c r="BC97" s="372"/>
      <c r="BD97" s="372"/>
      <c r="BE97" s="372"/>
    </row>
    <row r="98" spans="16:57" x14ac:dyDescent="0.2">
      <c r="P98" s="372"/>
      <c r="Q98" s="372"/>
      <c r="R98" s="372"/>
      <c r="S98" s="372"/>
      <c r="T98" s="372"/>
      <c r="U98" s="372"/>
      <c r="V98" s="372"/>
      <c r="W98" s="372"/>
      <c r="X98" s="372"/>
      <c r="Y98" s="372"/>
      <c r="Z98" s="372"/>
      <c r="AA98" s="372"/>
      <c r="AB98" s="372"/>
      <c r="AC98" s="372"/>
      <c r="AD98" s="372"/>
      <c r="AE98" s="372"/>
      <c r="AF98" s="372"/>
      <c r="AG98" s="372"/>
      <c r="AH98" s="372"/>
      <c r="AI98" s="372"/>
      <c r="AJ98" s="372"/>
      <c r="AK98" s="372"/>
      <c r="AL98" s="372"/>
      <c r="AM98" s="372"/>
      <c r="AN98" s="372"/>
      <c r="AO98" s="372"/>
      <c r="AP98" s="372"/>
      <c r="AS98" s="372"/>
      <c r="AT98" s="372"/>
      <c r="AU98" s="372"/>
      <c r="AV98" s="372"/>
      <c r="AW98" s="372"/>
      <c r="AX98" s="372"/>
      <c r="AY98" s="372"/>
      <c r="AZ98" s="372"/>
      <c r="BA98" s="372"/>
      <c r="BB98" s="372"/>
      <c r="BC98" s="372"/>
      <c r="BD98" s="372"/>
      <c r="BE98" s="372"/>
    </row>
    <row r="99" spans="16:57" x14ac:dyDescent="0.2">
      <c r="P99" s="372"/>
      <c r="Q99" s="372"/>
      <c r="R99" s="372"/>
      <c r="S99" s="372"/>
      <c r="T99" s="372"/>
      <c r="U99" s="372"/>
      <c r="V99" s="372"/>
      <c r="W99" s="372"/>
      <c r="X99" s="372"/>
      <c r="Y99" s="372"/>
      <c r="Z99" s="372"/>
      <c r="AA99" s="372"/>
      <c r="AB99" s="372"/>
      <c r="AC99" s="372"/>
      <c r="AD99" s="372"/>
      <c r="AE99" s="372"/>
      <c r="AF99" s="372"/>
      <c r="AG99" s="372"/>
      <c r="AH99" s="372"/>
      <c r="AI99" s="372"/>
      <c r="AJ99" s="372"/>
      <c r="AK99" s="372"/>
      <c r="AL99" s="372"/>
      <c r="AM99" s="372"/>
      <c r="AN99" s="372"/>
      <c r="AO99" s="372"/>
      <c r="AP99" s="372"/>
      <c r="AS99" s="372"/>
      <c r="AT99" s="372"/>
      <c r="AU99" s="372"/>
      <c r="AV99" s="372"/>
      <c r="AW99" s="372"/>
      <c r="AX99" s="372"/>
      <c r="AY99" s="372"/>
      <c r="AZ99" s="372"/>
      <c r="BA99" s="372"/>
      <c r="BB99" s="372"/>
      <c r="BC99" s="372"/>
      <c r="BD99" s="372"/>
      <c r="BE99" s="372"/>
    </row>
    <row r="100" spans="16:57" x14ac:dyDescent="0.2">
      <c r="P100" s="372"/>
      <c r="Q100" s="372"/>
      <c r="R100" s="372"/>
      <c r="S100" s="372"/>
      <c r="T100" s="372"/>
      <c r="U100" s="372"/>
      <c r="V100" s="372"/>
      <c r="W100" s="372"/>
      <c r="X100" s="372"/>
      <c r="Y100" s="372"/>
      <c r="Z100" s="372"/>
      <c r="AA100" s="372"/>
      <c r="AB100" s="372"/>
      <c r="AC100" s="372"/>
      <c r="AD100" s="372"/>
      <c r="AE100" s="372"/>
      <c r="AF100" s="372"/>
      <c r="AG100" s="372"/>
      <c r="AH100" s="372"/>
      <c r="AI100" s="372"/>
      <c r="AJ100" s="372"/>
      <c r="AK100" s="372"/>
      <c r="AL100" s="372"/>
      <c r="AM100" s="372"/>
      <c r="AN100" s="372"/>
      <c r="AO100" s="372"/>
      <c r="AP100" s="372"/>
      <c r="AS100" s="372"/>
      <c r="AT100" s="372"/>
      <c r="AU100" s="372"/>
      <c r="AV100" s="372"/>
      <c r="AW100" s="372"/>
      <c r="AX100" s="372"/>
      <c r="AY100" s="372"/>
      <c r="AZ100" s="372"/>
      <c r="BA100" s="372"/>
      <c r="BB100" s="372"/>
      <c r="BC100" s="372"/>
      <c r="BD100" s="372"/>
      <c r="BE100" s="372"/>
    </row>
  </sheetData>
  <mergeCells count="36">
    <mergeCell ref="B80:G81"/>
    <mergeCell ref="J80:N80"/>
    <mergeCell ref="J81:N81"/>
    <mergeCell ref="AI51:AN51"/>
    <mergeCell ref="P53:Q53"/>
    <mergeCell ref="W53:X53"/>
    <mergeCell ref="B56:G56"/>
    <mergeCell ref="H56:N56"/>
    <mergeCell ref="P52:Q52"/>
    <mergeCell ref="W52:X52"/>
    <mergeCell ref="W36:Y36"/>
    <mergeCell ref="Z36:AA36"/>
    <mergeCell ref="AB36:AC36"/>
    <mergeCell ref="D44:R44"/>
    <mergeCell ref="W43:AD43"/>
    <mergeCell ref="W49:X49"/>
    <mergeCell ref="W50:X50"/>
    <mergeCell ref="P51:Q51"/>
    <mergeCell ref="W51:X51"/>
    <mergeCell ref="AH47:AK47"/>
    <mergeCell ref="W34:AN34"/>
    <mergeCell ref="C3:F3"/>
    <mergeCell ref="G3:H3"/>
    <mergeCell ref="J3:M3"/>
    <mergeCell ref="O3:S3"/>
    <mergeCell ref="W3:AN3"/>
    <mergeCell ref="D5:E5"/>
    <mergeCell ref="G5:H5"/>
    <mergeCell ref="J5:K9"/>
    <mergeCell ref="O5:S5"/>
    <mergeCell ref="C6:C7"/>
    <mergeCell ref="C8:C9"/>
    <mergeCell ref="D8:D9"/>
    <mergeCell ref="E8:E9"/>
    <mergeCell ref="D11:L11"/>
    <mergeCell ref="M11:R11"/>
  </mergeCells>
  <dataValidations count="11">
    <dataValidation type="list" allowBlank="1" showInputMessage="1" showErrorMessage="1" sqref="B53" xr:uid="{589B639A-154D-42F8-84A3-097D534961A8}">
      <formula1>Lifetime</formula1>
    </dataValidation>
    <dataValidation type="list" allowBlank="1" showInputMessage="1" showErrorMessage="1" sqref="B54" xr:uid="{71A55202-9BE2-4CB7-9785-3FCDDB6BDD93}">
      <formula1>Construction</formula1>
    </dataValidation>
    <dataValidation type="list" allowBlank="1" showInputMessage="1" showErrorMessage="1" sqref="F46:F51" xr:uid="{46A9FCF2-BB7F-4740-B33C-4319AD4759DF}">
      <formula1>Currency</formula1>
    </dataValidation>
    <dataValidation type="list" allowBlank="1" showInputMessage="1" showErrorMessage="1" sqref="G46:G51" xr:uid="{27C0E1A9-090F-43E3-90BC-3B39BD4BD7D1}">
      <formula1>Year</formula1>
    </dataValidation>
    <dataValidation type="list" allowBlank="1" showInputMessage="1" showErrorMessage="1" sqref="H46:H51" xr:uid="{4261DD31-C097-4F1E-A832-520A2E3EDDF5}">
      <formula1>Location</formula1>
    </dataValidation>
    <dataValidation type="list" allowBlank="1" showInputMessage="1" showErrorMessage="1" sqref="I13:I43" xr:uid="{EE64E729-F069-4E82-ACB9-F429187CB16E}">
      <formula1>INDIRECT(IF($D13="Heat Exchanger",SUBSTITUTE($D13," ","")&amp;"_"&amp;SUBSTITUTE(SUBSTITUTE($E13,",","")," ","")&amp;"_Material",SUBSTITUTE($D13," ","")&amp;"_Material"))</formula1>
    </dataValidation>
    <dataValidation type="list" allowBlank="1" showInputMessage="1" showErrorMessage="1" sqref="E21" xr:uid="{CEE0C13E-A5BE-4C1F-9995-392407BF8B63}">
      <formula1>INDIRECT(SUBSTITUTE($D22," ",""))</formula1>
    </dataValidation>
    <dataValidation type="list" allowBlank="1" showInputMessage="1" showErrorMessage="1" sqref="I49:J49" xr:uid="{A4A46A04-E697-44BA-81C1-067D77B53055}">
      <formula1>INDIRECT(IF($D13="Heat Exchanger",SUBSTITUTE($D13," ","")&amp;"_"&amp;SUBSTITUTE(SUBSTITUTE($E13,",","")," ","")&amp;"_Material",SUBSTITUTE($D13," ","")&amp;"_Material"))</formula1>
    </dataValidation>
    <dataValidation type="list" allowBlank="1" showInputMessage="1" showErrorMessage="1" sqref="E8:E9" xr:uid="{8C593225-18E6-4072-B72B-88F67ECDFD28}">
      <formula1>Case</formula1>
    </dataValidation>
    <dataValidation type="list" allowBlank="1" showInputMessage="1" showErrorMessage="1" sqref="E22:E43 E13:E20" xr:uid="{3907E79B-6AA3-4454-AE5A-82417842D192}">
      <formula1>INDIRECT(SUBSTITUTE($D13," ",""))</formula1>
    </dataValidation>
    <dataValidation type="list" allowBlank="1" showInputMessage="1" showErrorMessage="1" sqref="D22:D43 D13:D20" xr:uid="{20257739-3D9A-4927-B76C-8E1F79E0F637}">
      <formula1>Equipment</formula1>
    </dataValidation>
  </dataValidations>
  <pageMargins left="0.7" right="0.7" top="0.75" bottom="0.75" header="0.3" footer="0.3"/>
  <pageSetup paperSize="9" orientation="portrait" verticalDpi="1200" r:id="rId1"/>
  <ignoredErrors>
    <ignoredError sqref="T28:T43 T13:T27"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Plant">
                <anchor moveWithCells="1" sizeWithCells="1">
                  <from>
                    <xdr:col>2</xdr:col>
                    <xdr:colOff>63500</xdr:colOff>
                    <xdr:row>7</xdr:row>
                    <xdr:rowOff>25400</xdr:rowOff>
                  </from>
                  <to>
                    <xdr:col>2</xdr:col>
                    <xdr:colOff>1320800</xdr:colOff>
                    <xdr:row>8</xdr:row>
                    <xdr:rowOff>177800</xdr:rowOff>
                  </to>
                </anchor>
              </controlPr>
            </control>
          </mc:Choice>
        </mc:AlternateContent>
      </controls>
    </mc:Choice>
  </mc:AlternateContent>
  <tableParts count="3">
    <tablePart r:id="rId5"/>
    <tablePart r:id="rId6"/>
    <tablePart r:id="rId7"/>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04EC8-53F0-4080-8CAC-CE874836A5B7}">
  <sheetPr codeName="Hoja34"/>
  <dimension ref="A1:BE100"/>
  <sheetViews>
    <sheetView showGridLines="0" topLeftCell="Q19" zoomScale="107" zoomScaleNormal="55" workbookViewId="0">
      <selection activeCell="N12" sqref="N12"/>
    </sheetView>
  </sheetViews>
  <sheetFormatPr baseColWidth="10" defaultColWidth="11.1640625" defaultRowHeight="15" x14ac:dyDescent="0.2"/>
  <cols>
    <col min="1" max="2" width="3.33203125" customWidth="1"/>
    <col min="3" max="4" width="19.6640625" customWidth="1"/>
    <col min="5" max="5" width="22.6640625" bestFit="1" customWidth="1"/>
    <col min="6" max="19" width="19.6640625" customWidth="1"/>
    <col min="20" max="22" width="4" customWidth="1"/>
    <col min="23" max="40" width="12.83203125" customWidth="1"/>
    <col min="41" max="41" width="3.1640625" customWidth="1"/>
    <col min="43" max="43" width="11.1640625" style="372"/>
    <col min="44" max="44" width="11.1640625" style="372" customWidth="1"/>
  </cols>
  <sheetData>
    <row r="1" spans="1:44" ht="16.25" customHeight="1" x14ac:dyDescent="0.2">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15"/>
      <c r="AR1" s="371"/>
    </row>
    <row r="2" spans="1:44" ht="16.25" customHeight="1" x14ac:dyDescent="0.2">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15"/>
      <c r="AR2" s="371"/>
    </row>
    <row r="3" spans="1:44" ht="16.25" customHeight="1" x14ac:dyDescent="0.2">
      <c r="A3" s="83"/>
      <c r="B3" s="103"/>
      <c r="C3" s="917" t="s">
        <v>140</v>
      </c>
      <c r="D3" s="918"/>
      <c r="E3" s="918"/>
      <c r="F3" s="918"/>
      <c r="G3" s="917" t="s">
        <v>141</v>
      </c>
      <c r="H3" s="919"/>
      <c r="J3" s="917" t="s">
        <v>142</v>
      </c>
      <c r="K3" s="918"/>
      <c r="L3" s="918"/>
      <c r="M3" s="919"/>
      <c r="N3" s="186"/>
      <c r="O3" s="917" t="str">
        <f>+E6</f>
        <v>Synthesis loop</v>
      </c>
      <c r="P3" s="918"/>
      <c r="Q3" s="918"/>
      <c r="R3" s="918"/>
      <c r="S3" s="919"/>
      <c r="T3" s="104"/>
      <c r="U3" s="104"/>
      <c r="V3" s="83"/>
      <c r="W3" s="970" t="str">
        <f>+E6&amp;" Diagram"</f>
        <v>Synthesis loop Diagram</v>
      </c>
      <c r="X3" s="971"/>
      <c r="Y3" s="971"/>
      <c r="Z3" s="971"/>
      <c r="AA3" s="971"/>
      <c r="AB3" s="971"/>
      <c r="AC3" s="971"/>
      <c r="AD3" s="971"/>
      <c r="AE3" s="971"/>
      <c r="AF3" s="971"/>
      <c r="AG3" s="971"/>
      <c r="AH3" s="971"/>
      <c r="AI3" s="971"/>
      <c r="AJ3" s="971"/>
      <c r="AK3" s="971"/>
      <c r="AL3" s="971"/>
      <c r="AM3" s="971"/>
      <c r="AN3" s="972"/>
      <c r="AO3" s="104"/>
      <c r="AP3" s="83"/>
      <c r="AQ3" s="215"/>
      <c r="AR3" s="371"/>
    </row>
    <row r="4" spans="1:44" ht="16.25" customHeight="1" x14ac:dyDescent="0.2">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15"/>
      <c r="AR4" s="371"/>
    </row>
    <row r="5" spans="1:44" ht="16.25" customHeight="1" x14ac:dyDescent="0.2">
      <c r="A5" s="83"/>
      <c r="B5" s="103"/>
      <c r="C5" s="83"/>
      <c r="D5" s="920" t="s">
        <v>143</v>
      </c>
      <c r="E5" s="921"/>
      <c r="F5" s="83"/>
      <c r="G5" s="920" t="s">
        <v>40</v>
      </c>
      <c r="H5" s="921"/>
      <c r="J5" s="973"/>
      <c r="K5" s="974"/>
      <c r="L5" s="190" t="s">
        <v>144</v>
      </c>
      <c r="M5" s="191" t="s">
        <v>145</v>
      </c>
      <c r="N5" s="394"/>
      <c r="O5" s="833" t="s">
        <v>82</v>
      </c>
      <c r="P5" s="834"/>
      <c r="Q5" s="834"/>
      <c r="R5" s="834"/>
      <c r="S5" s="835"/>
      <c r="T5" s="104"/>
      <c r="U5" s="104"/>
      <c r="V5" s="83"/>
      <c r="W5" s="83"/>
      <c r="X5" s="83"/>
      <c r="Y5" s="83"/>
      <c r="Z5" s="83"/>
      <c r="AA5" s="83"/>
      <c r="AB5" s="83"/>
      <c r="AC5" s="83"/>
      <c r="AD5" s="83"/>
      <c r="AE5" s="83"/>
      <c r="AF5" s="83"/>
      <c r="AG5" s="83"/>
      <c r="AH5" s="83"/>
      <c r="AI5" s="83"/>
      <c r="AJ5" s="83"/>
      <c r="AK5" s="83"/>
      <c r="AL5" s="83"/>
      <c r="AM5" s="83"/>
      <c r="AN5" s="83"/>
      <c r="AO5" s="104"/>
      <c r="AP5" s="83"/>
      <c r="AQ5" s="215"/>
      <c r="AR5" s="371"/>
    </row>
    <row r="6" spans="1:44" ht="16.25" customHeight="1" x14ac:dyDescent="0.2">
      <c r="A6" s="83"/>
      <c r="B6" s="103"/>
      <c r="C6" s="979" t="s">
        <v>146</v>
      </c>
      <c r="D6" s="242" t="s">
        <v>147</v>
      </c>
      <c r="E6" s="409" t="str">
        <f>+'Plant Overview'!V42</f>
        <v>Synthesis loop</v>
      </c>
      <c r="F6" s="83"/>
      <c r="G6" s="85"/>
      <c r="H6" s="324" t="s">
        <v>43</v>
      </c>
      <c r="J6" s="975"/>
      <c r="K6" s="976"/>
      <c r="L6" s="169" t="s">
        <v>148</v>
      </c>
      <c r="M6" s="86" t="s">
        <v>149</v>
      </c>
      <c r="N6" s="394"/>
      <c r="O6" s="836"/>
      <c r="P6" s="882"/>
      <c r="Q6" s="882"/>
      <c r="R6" s="882"/>
      <c r="S6" s="883"/>
      <c r="T6" s="104"/>
      <c r="U6" s="104"/>
      <c r="V6" s="83"/>
      <c r="W6" s="83"/>
      <c r="X6" s="83"/>
      <c r="Y6" s="83"/>
      <c r="Z6" s="83"/>
      <c r="AA6" s="83"/>
      <c r="AB6" s="83"/>
      <c r="AC6" s="83"/>
      <c r="AD6" s="83"/>
      <c r="AE6" s="83"/>
      <c r="AF6" s="83"/>
      <c r="AG6" s="83"/>
      <c r="AH6" s="83"/>
      <c r="AI6" s="83"/>
      <c r="AJ6" s="83"/>
      <c r="AK6" s="83"/>
      <c r="AL6" s="83"/>
      <c r="AM6" s="83"/>
      <c r="AN6" s="83"/>
      <c r="AO6" s="104"/>
      <c r="AP6" s="83"/>
      <c r="AQ6" s="215"/>
      <c r="AR6" s="371"/>
    </row>
    <row r="7" spans="1:44" ht="16.25" customHeight="1" x14ac:dyDescent="0.2">
      <c r="A7" s="83"/>
      <c r="B7" s="103"/>
      <c r="C7" s="980"/>
      <c r="D7" s="242" t="s">
        <v>150</v>
      </c>
      <c r="E7" s="409" t="str">
        <f>+'Plant Overview'!W42</f>
        <v>U-600</v>
      </c>
      <c r="F7" s="83"/>
      <c r="G7" s="95"/>
      <c r="H7" s="324" t="s">
        <v>49</v>
      </c>
      <c r="J7" s="975"/>
      <c r="K7" s="976"/>
      <c r="L7" s="190" t="s">
        <v>151</v>
      </c>
      <c r="M7" s="191" t="s">
        <v>152</v>
      </c>
      <c r="N7" s="394"/>
      <c r="O7" s="884"/>
      <c r="P7" s="885"/>
      <c r="Q7" s="885"/>
      <c r="R7" s="885"/>
      <c r="S7" s="886"/>
      <c r="T7" s="104"/>
      <c r="U7" s="104"/>
      <c r="V7" s="83"/>
      <c r="W7" s="83"/>
      <c r="X7" s="83"/>
      <c r="Y7" s="83"/>
      <c r="Z7" s="83"/>
      <c r="AA7" s="83"/>
      <c r="AB7" s="83"/>
      <c r="AC7" s="83"/>
      <c r="AD7" s="83"/>
      <c r="AE7" s="83"/>
      <c r="AF7" s="83"/>
      <c r="AG7" s="83"/>
      <c r="AH7" s="83"/>
      <c r="AI7" s="83"/>
      <c r="AJ7" s="83"/>
      <c r="AK7" s="83"/>
      <c r="AL7" s="83"/>
      <c r="AM7" s="83"/>
      <c r="AN7" s="83"/>
      <c r="AO7" s="104"/>
      <c r="AP7" s="83"/>
      <c r="AQ7" s="215"/>
      <c r="AR7" s="371"/>
    </row>
    <row r="8" spans="1:44" ht="16.25" customHeight="1" x14ac:dyDescent="0.2">
      <c r="A8" s="83"/>
      <c r="B8" s="103"/>
      <c r="C8" s="880"/>
      <c r="D8" s="981" t="s">
        <v>153</v>
      </c>
      <c r="E8" s="983" t="s">
        <v>282</v>
      </c>
      <c r="F8" s="83"/>
      <c r="G8" s="94"/>
      <c r="H8" s="98" t="s">
        <v>51</v>
      </c>
      <c r="J8" s="975"/>
      <c r="K8" s="976"/>
      <c r="L8" s="190" t="s">
        <v>155</v>
      </c>
      <c r="M8" s="191" t="s">
        <v>156</v>
      </c>
      <c r="N8" s="394"/>
      <c r="O8" s="884"/>
      <c r="P8" s="885"/>
      <c r="Q8" s="885"/>
      <c r="R8" s="885"/>
      <c r="S8" s="886"/>
      <c r="T8" s="104"/>
      <c r="U8" s="104"/>
      <c r="V8" s="83"/>
      <c r="W8" s="83"/>
      <c r="X8" s="83"/>
      <c r="Y8" s="83"/>
      <c r="Z8" s="83"/>
      <c r="AA8" s="83"/>
      <c r="AB8" s="83"/>
      <c r="AC8" s="83"/>
      <c r="AD8" s="83"/>
      <c r="AE8" s="83"/>
      <c r="AF8" s="83"/>
      <c r="AG8" s="83"/>
      <c r="AH8" s="83"/>
      <c r="AI8" s="83"/>
      <c r="AJ8" s="83"/>
      <c r="AK8" s="83"/>
      <c r="AL8" s="83"/>
      <c r="AM8" s="83"/>
      <c r="AN8" s="83"/>
      <c r="AO8" s="104"/>
      <c r="AP8" s="83"/>
      <c r="AQ8" s="215"/>
      <c r="AR8" s="371"/>
    </row>
    <row r="9" spans="1:44" ht="16.25" customHeight="1" x14ac:dyDescent="0.2">
      <c r="A9" s="83"/>
      <c r="B9" s="103"/>
      <c r="C9" s="881"/>
      <c r="D9" s="982"/>
      <c r="E9" s="984"/>
      <c r="F9" s="83"/>
      <c r="G9" s="108"/>
      <c r="H9" s="310" t="s">
        <v>54</v>
      </c>
      <c r="J9" s="977"/>
      <c r="K9" s="978"/>
      <c r="L9" s="190" t="s">
        <v>157</v>
      </c>
      <c r="M9" s="191" t="s">
        <v>158</v>
      </c>
      <c r="N9" s="394"/>
      <c r="O9" s="887"/>
      <c r="P9" s="888"/>
      <c r="Q9" s="888"/>
      <c r="R9" s="888"/>
      <c r="S9" s="889"/>
      <c r="T9" s="104"/>
      <c r="U9" s="104"/>
      <c r="V9" s="83"/>
      <c r="W9" s="83"/>
      <c r="X9" s="83"/>
      <c r="Y9" s="83"/>
      <c r="Z9" s="83"/>
      <c r="AA9" s="83"/>
      <c r="AB9" s="83"/>
      <c r="AC9" s="83"/>
      <c r="AD9" s="83"/>
      <c r="AE9" s="83"/>
      <c r="AF9" s="83"/>
      <c r="AG9" s="83"/>
      <c r="AH9" s="83"/>
      <c r="AI9" s="83"/>
      <c r="AJ9" s="83"/>
      <c r="AK9" s="83"/>
      <c r="AL9" s="83"/>
      <c r="AM9" s="83"/>
      <c r="AN9" s="83"/>
      <c r="AO9" s="104"/>
      <c r="AP9" s="83"/>
      <c r="AQ9" s="215"/>
      <c r="AR9" s="371"/>
    </row>
    <row r="10" spans="1:44" ht="16.25" customHeight="1" x14ac:dyDescent="0.2">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15"/>
      <c r="AR10" s="371"/>
    </row>
    <row r="11" spans="1:44" ht="16.25" customHeight="1" x14ac:dyDescent="0.2">
      <c r="A11" s="83"/>
      <c r="B11" s="103"/>
      <c r="C11" s="83"/>
      <c r="D11" s="917" t="s">
        <v>159</v>
      </c>
      <c r="E11" s="918"/>
      <c r="F11" s="918"/>
      <c r="G11" s="918"/>
      <c r="H11" s="918"/>
      <c r="I11" s="918"/>
      <c r="J11" s="918"/>
      <c r="K11" s="918"/>
      <c r="L11" s="919"/>
      <c r="M11" s="917" t="s">
        <v>160</v>
      </c>
      <c r="N11" s="918"/>
      <c r="O11" s="918"/>
      <c r="P11" s="918"/>
      <c r="Q11" s="918"/>
      <c r="R11" s="919"/>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15"/>
      <c r="AR11" s="371"/>
    </row>
    <row r="12" spans="1:44" ht="16.25" customHeight="1" x14ac:dyDescent="0.2">
      <c r="A12" s="83"/>
      <c r="B12" s="103"/>
      <c r="C12" s="416" t="s">
        <v>161</v>
      </c>
      <c r="D12" s="572" t="s">
        <v>141</v>
      </c>
      <c r="E12" s="572" t="s">
        <v>162</v>
      </c>
      <c r="F12" s="417" t="s">
        <v>163</v>
      </c>
      <c r="G12" s="417" t="s">
        <v>164</v>
      </c>
      <c r="H12" s="418" t="s">
        <v>75</v>
      </c>
      <c r="I12" s="572" t="s">
        <v>165</v>
      </c>
      <c r="J12" s="569" t="s">
        <v>166</v>
      </c>
      <c r="K12" s="417" t="s">
        <v>167</v>
      </c>
      <c r="L12" s="417" t="s">
        <v>168</v>
      </c>
      <c r="M12" s="420" t="s">
        <v>169</v>
      </c>
      <c r="N12" s="420" t="s">
        <v>170</v>
      </c>
      <c r="O12" s="420" t="s">
        <v>171</v>
      </c>
      <c r="P12" s="420" t="s">
        <v>172</v>
      </c>
      <c r="Q12" s="420" t="s">
        <v>173</v>
      </c>
      <c r="R12" s="420" t="s">
        <v>283</v>
      </c>
      <c r="S12" s="420" t="s">
        <v>175</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15"/>
      <c r="AR12" s="371"/>
    </row>
    <row r="13" spans="1:44" ht="16.25" customHeight="1" x14ac:dyDescent="0.2">
      <c r="A13" s="83"/>
      <c r="B13" s="103"/>
      <c r="C13" s="182"/>
      <c r="D13" s="208"/>
      <c r="E13" s="208"/>
      <c r="F13" s="96"/>
      <c r="G13" s="96"/>
      <c r="H13" s="96"/>
      <c r="I13" s="96"/>
      <c r="J13" s="96"/>
      <c r="K13" s="96"/>
      <c r="L13" s="96"/>
      <c r="M13" s="156"/>
      <c r="N13" s="96"/>
      <c r="O13" s="158"/>
      <c r="P13" s="152"/>
      <c r="Q13" s="153"/>
      <c r="R13" s="97"/>
      <c r="S13" s="199" t="str">
        <f>+IF(Tabla25879012013530638490[[#This Row],[Equipment]]="","",Q13*R13/10^6)</f>
        <v/>
      </c>
      <c r="T13" s="587" t="e">
        <f ca="1">+S13*$S$52/$R$52</f>
        <v>#VALUE!</v>
      </c>
      <c r="U13" s="104"/>
      <c r="V13" s="83"/>
      <c r="W13" s="83"/>
      <c r="X13" s="83"/>
      <c r="Y13" s="83"/>
      <c r="Z13" s="83"/>
      <c r="AA13" s="83"/>
      <c r="AB13" s="83"/>
      <c r="AC13" s="83"/>
      <c r="AD13" s="83"/>
      <c r="AE13" s="83"/>
      <c r="AF13" s="83"/>
      <c r="AG13" s="83"/>
      <c r="AH13" s="83"/>
      <c r="AI13" s="83"/>
      <c r="AJ13" s="83"/>
      <c r="AK13" s="83"/>
      <c r="AL13" s="83"/>
      <c r="AM13" s="83"/>
      <c r="AN13" s="83"/>
      <c r="AO13" s="104"/>
      <c r="AP13" s="83"/>
      <c r="AQ13" s="215"/>
      <c r="AR13" s="371"/>
    </row>
    <row r="14" spans="1:44" ht="16.25" customHeight="1" x14ac:dyDescent="0.2">
      <c r="A14" s="83"/>
      <c r="B14" s="103"/>
      <c r="C14" s="99" t="s">
        <v>469</v>
      </c>
      <c r="D14" s="208" t="s">
        <v>189</v>
      </c>
      <c r="E14" s="208" t="s">
        <v>190</v>
      </c>
      <c r="F14" s="96">
        <f>1000*11.8245422835302</f>
        <v>11824.5422835302</v>
      </c>
      <c r="G14" s="96" t="s">
        <v>187</v>
      </c>
      <c r="H14" s="96" t="s">
        <v>186</v>
      </c>
      <c r="I14" s="96" t="s">
        <v>180</v>
      </c>
      <c r="J14" s="96" t="str">
        <f>+IF(F14&gt;'Equipment Data'!$J$19,"yes","No")</f>
        <v>yes</v>
      </c>
      <c r="K14" s="96">
        <v>0.67</v>
      </c>
      <c r="L14" s="96" t="s">
        <v>187</v>
      </c>
      <c r="M14" s="156">
        <f>+IF(AND(D14="Compressor",E14="Centrifugal"),IF(F14&lt;'Equipment Data'!$J$19,10^('Equipment Data'!$C$19+'Equipment Data'!$D$19*LOG10(F14)+'Equipment Data'!$E$19*LOG10(F14)*LOG10(F14)),10^('Equipment Data'!$C$19+'Equipment Data'!$D$19*LOG10('Equipment Data'!$J$19)+'Equipment Data'!$E$19*LOG10('Equipment Data'!$J$19)*LOG10('Equipment Data'!$J$19))*(F14/'Equipment Data'!$J$19)^K14),"N/A")</f>
        <v>1502411.1366086064</v>
      </c>
      <c r="N14" s="96" t="s">
        <v>187</v>
      </c>
      <c r="O14" s="158" t="s">
        <v>187</v>
      </c>
      <c r="P14" s="152">
        <f>+IF(I14="CS",'Equipment Data'!$F$19,IF(I14="SS",'Equipment Data'!$G$19,IF(I14="Ni",'Equipment Data'!$H$19,"N/A")))</f>
        <v>11.45</v>
      </c>
      <c r="Q14" s="153">
        <f t="shared" ref="Q14:Q25" si="0">+M14*P14</f>
        <v>17202607.514168542</v>
      </c>
      <c r="R14" s="97">
        <v>1</v>
      </c>
      <c r="S14" s="193">
        <f>+IF(Tabla25879012013530638490[[#This Row],[Equipment]]="","",Q14*R14/10^6)</f>
        <v>17.202607514168541</v>
      </c>
      <c r="T14" s="587">
        <f t="shared" ref="T14:T43" ca="1" si="1">+S14*$S$52/$R$52</f>
        <v>27.766272292001112</v>
      </c>
      <c r="U14" s="104"/>
      <c r="V14" s="83"/>
      <c r="W14" s="83"/>
      <c r="X14" s="83"/>
      <c r="Y14" s="83"/>
      <c r="Z14" s="83"/>
      <c r="AA14" s="83"/>
      <c r="AB14" s="83"/>
      <c r="AC14" s="83"/>
      <c r="AD14" s="83"/>
      <c r="AE14" s="83"/>
      <c r="AF14" s="83"/>
      <c r="AG14" s="83"/>
      <c r="AH14" s="83"/>
      <c r="AI14" s="83"/>
      <c r="AJ14" s="83"/>
      <c r="AK14" s="83"/>
      <c r="AL14" s="83"/>
      <c r="AM14" s="83"/>
      <c r="AN14" s="83"/>
      <c r="AO14" s="104"/>
      <c r="AP14" s="83"/>
      <c r="AQ14" s="215"/>
      <c r="AR14" s="371"/>
    </row>
    <row r="15" spans="1:44" ht="16.25" customHeight="1" x14ac:dyDescent="0.2">
      <c r="A15" s="83"/>
      <c r="B15" s="103"/>
      <c r="C15" s="99" t="s">
        <v>470</v>
      </c>
      <c r="D15" s="208" t="s">
        <v>189</v>
      </c>
      <c r="E15" s="208" t="s">
        <v>190</v>
      </c>
      <c r="F15" s="96">
        <f>1000*4.39487635411113</f>
        <v>4394.8763541111293</v>
      </c>
      <c r="G15" s="96" t="s">
        <v>187</v>
      </c>
      <c r="H15" s="96" t="s">
        <v>186</v>
      </c>
      <c r="I15" s="96" t="s">
        <v>180</v>
      </c>
      <c r="J15" s="96" t="str">
        <f>+IF(F15&gt;'Equipment Data'!$J$19,"yes","No")</f>
        <v>yes</v>
      </c>
      <c r="K15" s="96">
        <v>0.67</v>
      </c>
      <c r="L15" s="96" t="s">
        <v>187</v>
      </c>
      <c r="M15" s="156">
        <f>+IF(AND(D15="Compressor",E15="Centrifugal"),IF(F15&lt;'Equipment Data'!$J$19,10^('Equipment Data'!$C$19+'Equipment Data'!$D$19*LOG10(F15)+'Equipment Data'!$E$19*LOG10(F15)*LOG10(F15)),10^('Equipment Data'!$C$19+'Equipment Data'!$D$19*LOG10('Equipment Data'!$J$19)+'Equipment Data'!$E$19*LOG10('Equipment Data'!$J$19)*LOG10('Equipment Data'!$J$19))*(F15/'Equipment Data'!$J$19)^K15),"N/A")</f>
        <v>774100.86045252066</v>
      </c>
      <c r="N15" s="96" t="s">
        <v>187</v>
      </c>
      <c r="O15" s="158" t="s">
        <v>187</v>
      </c>
      <c r="P15" s="152">
        <f>+IF(I15="CS",'Equipment Data'!$F$19,IF(I15="SS",'Equipment Data'!$G$19,IF(I15="Ni",'Equipment Data'!$H$19,"N/A")))</f>
        <v>11.45</v>
      </c>
      <c r="Q15" s="153">
        <f t="shared" si="0"/>
        <v>8863454.8521813601</v>
      </c>
      <c r="R15" s="97">
        <v>1</v>
      </c>
      <c r="S15" s="193">
        <f>+IF(Tabla25879012013530638490[[#This Row],[Equipment]]="","",Q15*R15/10^6)</f>
        <v>8.863454852181361</v>
      </c>
      <c r="T15" s="587">
        <f t="shared" ca="1" si="1"/>
        <v>14.306267272029963</v>
      </c>
      <c r="U15" s="104"/>
      <c r="V15" s="83"/>
      <c r="W15" s="83"/>
      <c r="X15" s="83"/>
      <c r="Y15" s="83"/>
      <c r="Z15" s="83"/>
      <c r="AA15" s="83"/>
      <c r="AB15" s="83"/>
      <c r="AC15" s="83"/>
      <c r="AD15" s="83"/>
      <c r="AE15" s="83"/>
      <c r="AF15" s="83"/>
      <c r="AG15" s="83"/>
      <c r="AH15" s="83"/>
      <c r="AI15" s="83"/>
      <c r="AJ15" s="83"/>
      <c r="AK15" s="83"/>
      <c r="AL15" s="83"/>
      <c r="AM15" s="83"/>
      <c r="AN15" s="83"/>
      <c r="AO15" s="104"/>
      <c r="AP15" s="83"/>
      <c r="AQ15" s="215"/>
      <c r="AR15" s="371"/>
    </row>
    <row r="16" spans="1:44" ht="16.25" customHeight="1" x14ac:dyDescent="0.2">
      <c r="A16" s="83"/>
      <c r="B16" s="103"/>
      <c r="C16" s="99" t="str">
        <f>+W46</f>
        <v>E-607</v>
      </c>
      <c r="D16" s="208" t="s">
        <v>194</v>
      </c>
      <c r="E16" s="208" t="s">
        <v>195</v>
      </c>
      <c r="F16" s="96">
        <f>+X46*1000/3600/AD46</f>
        <v>439.22664960526902</v>
      </c>
      <c r="G16" s="96">
        <v>150</v>
      </c>
      <c r="H16" s="96" t="s">
        <v>196</v>
      </c>
      <c r="I16" s="96" t="s">
        <v>284</v>
      </c>
      <c r="J16" s="96" t="str">
        <f>+IF(F16&gt;'Equipment Data'!$L$126,"yes","No")</f>
        <v>No</v>
      </c>
      <c r="K16" s="96">
        <v>0.67</v>
      </c>
      <c r="L16" s="96" t="s">
        <v>198</v>
      </c>
      <c r="M16" s="156">
        <f>+IF(AND(D16="Heat Exchanger",E16="Fixed tube, sheet, or U tube"),IF(F16&lt;'Equipment Data'!$L$126,10^('Equipment Data'!$C$126+'Equipment Data'!$D$126*LOG10(F16)+'Equipment Data'!$E$126*LOG10(F16)*LOG10(F16)),10^('Equipment Data'!$C$126+'Equipment Data'!$D$126*LOG10('Equipment Data'!$L$126)+'Equipment Data'!$E$126*LOG10('Equipment Data'!$L$126)*LOG10('Equipment Data'!$L$126))*(F16/'Equipment Data'!$L$126)^K16),"N/A")</f>
        <v>46250.753945515957</v>
      </c>
      <c r="N16" s="152">
        <f>+IF(L16="","Input: shell and tube / tube only",IF(L16="shell and tube",IF(G16-1&gt;5,10^('Equipment Data'!$F$126+'Equipment Data'!$G$126*LOG10(G16-1.01325)+'Equipment Data'!$H$126*LOG10(G16-1.01325)*LOG10(G16-1.01325)),1),IF(G16-1.01325&gt;5,10^('Equipment Data'!$F$127+'Equipment Data'!$G$127*LOG10(G16-1.01325)+'Equipment Data'!$H$127*LOG10(G16-1.01325)*LOG10(G16-1.01325)),1)))</f>
        <v>1.5146097812626367</v>
      </c>
      <c r="O16" s="96">
        <f>+IF(I16="CS/CS",'Equipment Data'!$C$149,IF(I16="CS/Cu",'Equipment Data'!$D$149,IF(I16="Cu/Cu",'Equipment Data'!$E$149,IF(I16="CS/SS",'Equipment Data'!$F$149,IF(I16="SS/SS",'Equipment Data'!$G$149,IF(I16="CS/Ni",'Equipment Data'!$H$149,IF(I16="Ni/Ni",'Equipment Data'!$I$149,IF(I16="CS/Ti",'Equipment Data'!$J$149,IF(I16="Ti/Ti",'Equipment Data'!$K$149,"N/A")))))))))</f>
        <v>2.68</v>
      </c>
      <c r="P16" s="152">
        <f>+'Equipment Data'!$I$126+'Equipment Data'!$J$126*N16*O16</f>
        <v>8.3681959948812175</v>
      </c>
      <c r="Q16" s="153">
        <f t="shared" si="0"/>
        <v>387035.3739271033</v>
      </c>
      <c r="R16" s="97">
        <v>1</v>
      </c>
      <c r="S16" s="193">
        <f>+IF(Tabla25879012013530638490[[#This Row],[Equipment]]="","",Q16*R16/10^6)</f>
        <v>0.3870353739271033</v>
      </c>
      <c r="T16" s="587">
        <f t="shared" ca="1" si="1"/>
        <v>0.62470352649999594</v>
      </c>
      <c r="U16" s="104"/>
      <c r="V16" s="83"/>
      <c r="W16" s="83"/>
      <c r="X16" s="83"/>
      <c r="Y16" s="83"/>
      <c r="Z16" s="83"/>
      <c r="AA16" s="83"/>
      <c r="AB16" s="83"/>
      <c r="AC16" s="83"/>
      <c r="AD16" s="83"/>
      <c r="AE16" s="83"/>
      <c r="AF16" s="83"/>
      <c r="AG16" s="83"/>
      <c r="AH16" s="83"/>
      <c r="AI16" s="83"/>
      <c r="AJ16" s="83"/>
      <c r="AK16" s="83"/>
      <c r="AL16" s="83"/>
      <c r="AM16" s="83"/>
      <c r="AN16" s="83"/>
      <c r="AO16" s="104"/>
      <c r="AP16" s="83"/>
      <c r="AQ16" s="215"/>
      <c r="AR16" s="371"/>
    </row>
    <row r="17" spans="1:44" ht="16.25" customHeight="1" x14ac:dyDescent="0.2">
      <c r="A17" s="83"/>
      <c r="B17" s="103"/>
      <c r="C17" s="99" t="s">
        <v>471</v>
      </c>
      <c r="D17" s="208" t="s">
        <v>194</v>
      </c>
      <c r="E17" s="208" t="s">
        <v>195</v>
      </c>
      <c r="F17" s="158">
        <f t="shared" ref="F17:F24" si="2">+X38*1000/3600/AD38</f>
        <v>516.34612071402148</v>
      </c>
      <c r="G17" s="96">
        <v>68</v>
      </c>
      <c r="H17" s="96" t="s">
        <v>196</v>
      </c>
      <c r="I17" s="96" t="s">
        <v>284</v>
      </c>
      <c r="J17" s="96" t="str">
        <f>+IF(F17&gt;'Equipment Data'!$L$126,"yes","No")</f>
        <v>No</v>
      </c>
      <c r="K17" s="96">
        <v>0.67</v>
      </c>
      <c r="L17" s="96" t="s">
        <v>289</v>
      </c>
      <c r="M17" s="156">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50735.367991851577</v>
      </c>
      <c r="N17" s="152">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1.0664049347323155</v>
      </c>
      <c r="O17" s="96">
        <f>+IF(I17="CS/CS",'Equipment Data'!$C$149,IF(I17="CS/Cu",'Equipment Data'!$D$149,IF(I17="Cu/Cu",'Equipment Data'!$E$149,IF(I17="CS/SS",'Equipment Data'!$F$149,IF(I17="SS/SS",'Equipment Data'!$G$149,IF(I17="CS/Ni",'Equipment Data'!$H$149,IF(I17="Ni/Ni",'Equipment Data'!$I$149,IF(I17="CS/Ti",'Equipment Data'!$J$149,IF(I17="Ti/Ti",'Equipment Data'!$K$149,"N/A")))))))))</f>
        <v>2.68</v>
      </c>
      <c r="P17" s="152">
        <f>+'Equipment Data'!$I$126+'Equipment Data'!$J$126*N17*O17</f>
        <v>6.374222273637125</v>
      </c>
      <c r="Q17" s="153">
        <f t="shared" si="0"/>
        <v>323398.5127148364</v>
      </c>
      <c r="R17" s="97">
        <v>1</v>
      </c>
      <c r="S17" s="193">
        <f>+IF(Tabla25879012013530638490[[#This Row],[Equipment]]="","",Q17*R17/10^6)</f>
        <v>0.32339851271483638</v>
      </c>
      <c r="T17" s="587">
        <f t="shared" ca="1" si="1"/>
        <v>0.52198895751545271</v>
      </c>
      <c r="U17" s="104"/>
      <c r="V17" s="83"/>
      <c r="W17" s="83"/>
      <c r="X17" s="83"/>
      <c r="Y17" s="83"/>
      <c r="Z17" s="83"/>
      <c r="AA17" s="83"/>
      <c r="AB17" s="83"/>
      <c r="AC17" s="83"/>
      <c r="AD17" s="83"/>
      <c r="AE17" s="83"/>
      <c r="AF17" s="83"/>
      <c r="AG17" s="83"/>
      <c r="AH17" s="83"/>
      <c r="AI17" s="83"/>
      <c r="AJ17" s="83"/>
      <c r="AK17" s="83"/>
      <c r="AL17" s="83"/>
      <c r="AM17" s="83"/>
      <c r="AN17" s="83"/>
      <c r="AO17" s="104"/>
      <c r="AP17" s="83"/>
      <c r="AQ17" s="215"/>
      <c r="AR17" s="371"/>
    </row>
    <row r="18" spans="1:44" ht="16.25" customHeight="1" x14ac:dyDescent="0.2">
      <c r="A18" s="83"/>
      <c r="B18" s="103"/>
      <c r="C18" s="99" t="s">
        <v>472</v>
      </c>
      <c r="D18" s="208" t="s">
        <v>194</v>
      </c>
      <c r="E18" s="208" t="s">
        <v>195</v>
      </c>
      <c r="F18" s="158">
        <f t="shared" si="2"/>
        <v>3797.482875580275</v>
      </c>
      <c r="G18" s="96">
        <f t="shared" ref="G18:G23" si="3">+AB39</f>
        <v>150</v>
      </c>
      <c r="H18" s="96" t="s">
        <v>196</v>
      </c>
      <c r="I18" s="96" t="s">
        <v>284</v>
      </c>
      <c r="J18" s="96" t="str">
        <f>+IF(F18&gt;'Equipment Data'!$L$126,"yes","No")</f>
        <v>yes</v>
      </c>
      <c r="K18" s="96">
        <v>0.67</v>
      </c>
      <c r="L18" s="96" t="s">
        <v>289</v>
      </c>
      <c r="M18" s="156">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188175.12021955245</v>
      </c>
      <c r="N18" s="152">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1.1036261536027194</v>
      </c>
      <c r="O18" s="96">
        <f>+IF(I18="CS/CS",'Equipment Data'!$C$149,IF(I18="CS/Cu",'Equipment Data'!$D$149,IF(I18="Cu/Cu",'Equipment Data'!$E$149,IF(I18="CS/SS",'Equipment Data'!$F$149,IF(I18="SS/SS",'Equipment Data'!$G$149,IF(I18="CS/Ni",'Equipment Data'!$H$149,IF(I18="Ni/Ni",'Equipment Data'!$I$149,IF(I18="CS/Ti",'Equipment Data'!$J$149,IF(I18="Ti/Ti",'Equipment Data'!$K$149,"N/A")))))))))</f>
        <v>2.68</v>
      </c>
      <c r="P18" s="152">
        <f>+'Equipment Data'!$I$126+'Equipment Data'!$J$126*N18*O18</f>
        <v>6.5398120321477782</v>
      </c>
      <c r="Q18" s="153">
        <f t="shared" si="0"/>
        <v>1230629.9153626838</v>
      </c>
      <c r="R18" s="97">
        <v>1</v>
      </c>
      <c r="S18" s="193">
        <f>+IF(Tabla25879012013530638490[[#This Row],[Equipment]]="","",Q18*R18/10^6)</f>
        <v>1.2306299153626838</v>
      </c>
      <c r="T18" s="587">
        <f t="shared" ca="1" si="1"/>
        <v>1.9863270898030549</v>
      </c>
      <c r="U18" s="104"/>
      <c r="V18" s="83"/>
      <c r="W18" s="83"/>
      <c r="X18" s="83"/>
      <c r="Y18" s="83"/>
      <c r="Z18" s="83"/>
      <c r="AA18" s="83"/>
      <c r="AB18" s="83"/>
      <c r="AC18" s="83"/>
      <c r="AD18" s="83"/>
      <c r="AE18" s="83"/>
      <c r="AF18" s="83"/>
      <c r="AG18" s="83"/>
      <c r="AH18" s="83"/>
      <c r="AI18" s="83"/>
      <c r="AJ18" s="83"/>
      <c r="AK18" s="83"/>
      <c r="AL18" s="83"/>
      <c r="AM18" s="83"/>
      <c r="AN18" s="83"/>
      <c r="AO18" s="104"/>
      <c r="AP18" s="83"/>
      <c r="AQ18" s="215"/>
      <c r="AR18" s="371"/>
    </row>
    <row r="19" spans="1:44" ht="16.25" customHeight="1" x14ac:dyDescent="0.2">
      <c r="A19" s="83"/>
      <c r="B19" s="103"/>
      <c r="C19" s="99" t="s">
        <v>473</v>
      </c>
      <c r="D19" s="208" t="s">
        <v>194</v>
      </c>
      <c r="E19" s="208" t="s">
        <v>195</v>
      </c>
      <c r="F19" s="158">
        <f t="shared" si="2"/>
        <v>793.64140489839372</v>
      </c>
      <c r="G19" s="96">
        <f t="shared" si="3"/>
        <v>150</v>
      </c>
      <c r="H19" s="96" t="s">
        <v>196</v>
      </c>
      <c r="I19" s="96" t="s">
        <v>197</v>
      </c>
      <c r="J19" s="96" t="str">
        <f>+IF(F19&gt;'Equipment Data'!$L$126,"yes","No")</f>
        <v>No</v>
      </c>
      <c r="K19" s="96">
        <v>0.67</v>
      </c>
      <c r="L19" s="96" t="s">
        <v>198</v>
      </c>
      <c r="M19" s="156">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66062.014484216183</v>
      </c>
      <c r="N19" s="152">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1.5146097812626367</v>
      </c>
      <c r="O19" s="96">
        <f>+IF(I19="CS/CS",'Equipment Data'!$C$149,IF(I19="CS/Cu",'Equipment Data'!$D$149,IF(I19="Cu/Cu",'Equipment Data'!$E$149,IF(I19="CS/SS",'Equipment Data'!$F$149,IF(I19="SS/SS",'Equipment Data'!$G$149,IF(I19="CS/Ni",'Equipment Data'!$H$149,IF(I19="Ni/Ni",'Equipment Data'!$I$149,IF(I19="CS/Ti",'Equipment Data'!$J$149,IF(I19="Ti/Ti",'Equipment Data'!$K$149,"N/A")))))))))</f>
        <v>3.73</v>
      </c>
      <c r="P19" s="152">
        <f>+'Equipment Data'!$I$126+'Equipment Data'!$J$126*N19*O19</f>
        <v>11.008160843621994</v>
      </c>
      <c r="Q19" s="153">
        <f t="shared" si="0"/>
        <v>727221.28109593759</v>
      </c>
      <c r="R19" s="97">
        <v>1</v>
      </c>
      <c r="S19" s="193">
        <f>+IF(Tabla25879012013530638490[[#This Row],[Equipment]]="","",Q19*R19/10^6)</f>
        <v>0.72722128109593764</v>
      </c>
      <c r="T19" s="587">
        <f t="shared" ca="1" si="1"/>
        <v>1.1737885719253209</v>
      </c>
      <c r="U19" s="104"/>
      <c r="V19" s="83"/>
      <c r="W19" s="83"/>
      <c r="X19" s="83"/>
      <c r="Y19" s="83"/>
      <c r="Z19" s="83"/>
      <c r="AA19" s="83"/>
      <c r="AB19" s="83"/>
      <c r="AC19" s="83"/>
      <c r="AD19" s="83"/>
      <c r="AE19" s="83"/>
      <c r="AF19" s="83"/>
      <c r="AG19" s="83"/>
      <c r="AH19" s="83"/>
      <c r="AI19" s="83"/>
      <c r="AJ19" s="83"/>
      <c r="AK19" s="83"/>
      <c r="AL19" s="83"/>
      <c r="AM19" s="83"/>
      <c r="AN19" s="83"/>
      <c r="AO19" s="104"/>
      <c r="AP19" s="83"/>
      <c r="AQ19" s="215"/>
      <c r="AR19" s="371"/>
    </row>
    <row r="20" spans="1:44" ht="16.25" customHeight="1" x14ac:dyDescent="0.2">
      <c r="A20" s="83"/>
      <c r="B20" s="103"/>
      <c r="C20" s="99" t="s">
        <v>474</v>
      </c>
      <c r="D20" s="208" t="s">
        <v>194</v>
      </c>
      <c r="E20" s="208" t="s">
        <v>195</v>
      </c>
      <c r="F20" s="158">
        <f t="shared" si="2"/>
        <v>5046.3875942059549</v>
      </c>
      <c r="G20" s="96">
        <f t="shared" si="3"/>
        <v>150</v>
      </c>
      <c r="H20" s="96" t="s">
        <v>196</v>
      </c>
      <c r="I20" s="96" t="s">
        <v>197</v>
      </c>
      <c r="J20" s="96" t="str">
        <f>+IF(F20&gt;'Equipment Data'!$L$126,"yes","No")</f>
        <v>yes</v>
      </c>
      <c r="K20" s="96">
        <v>0.67</v>
      </c>
      <c r="L20" s="96" t="s">
        <v>198</v>
      </c>
      <c r="M20" s="156">
        <f>+IF(AND(D20="Heat Exchanger",E20="Fixed tube, sheet, or U tube"),IF(F20&lt;'Equipment Data'!$L$126,10^('Equipment Data'!$C$126+'Equipment Data'!$D$126*LOG10(F20)+'Equipment Data'!$E$126*LOG10(F20)*LOG10(F20)),10^('Equipment Data'!$C$126+'Equipment Data'!$D$126*LOG10('Equipment Data'!$L$126)+'Equipment Data'!$E$126*LOG10('Equipment Data'!$L$126)*LOG10('Equipment Data'!$L$126))*(F20/'Equipment Data'!$L$126)^K20),"N/A")</f>
        <v>227665.38532483997</v>
      </c>
      <c r="N20" s="152">
        <f>+IF(L20="","Input: shell and tube / tube only",IF(L20="shell and tube",IF(G20-1&gt;5,10^('Equipment Data'!$F$126+'Equipment Data'!$G$126*LOG10(G20-1.01325)+'Equipment Data'!$H$126*LOG10(G20-1.01325)*LOG10(G20-1.01325)),1),IF(G20-1.01325&gt;5,10^('Equipment Data'!$F$127+'Equipment Data'!$G$127*LOG10(G20-1.01325)+'Equipment Data'!$H$127*LOG10(G20-1.01325)*LOG10(G20-1.01325)),1)))</f>
        <v>1.5146097812626367</v>
      </c>
      <c r="O20" s="96">
        <f>+IF(I20="CS/CS",'Equipment Data'!$C$149,IF(I20="CS/Cu",'Equipment Data'!$D$149,IF(I20="Cu/Cu",'Equipment Data'!$E$149,IF(I20="CS/SS",'Equipment Data'!$F$149,IF(I20="SS/SS",'Equipment Data'!$G$149,IF(I20="CS/Ni",'Equipment Data'!$H$149,IF(I20="Ni/Ni",'Equipment Data'!$I$149,IF(I20="CS/Ti",'Equipment Data'!$J$149,IF(I20="Ti/Ti",'Equipment Data'!$K$149,"N/A")))))))))</f>
        <v>3.73</v>
      </c>
      <c r="P20" s="152">
        <f>+'Equipment Data'!$I$126+'Equipment Data'!$J$126*N20*O20</f>
        <v>11.008160843621994</v>
      </c>
      <c r="Q20" s="153">
        <f t="shared" si="0"/>
        <v>2506177.1801810167</v>
      </c>
      <c r="R20" s="97">
        <v>1</v>
      </c>
      <c r="S20" s="193">
        <f>+IF(Tabla25879012013530638490[[#This Row],[Equipment]]="","",Q20*R20/10^6)</f>
        <v>2.5061771801810169</v>
      </c>
      <c r="T20" s="587">
        <f t="shared" ca="1" si="1"/>
        <v>4.0451540814142106</v>
      </c>
      <c r="U20" s="104"/>
      <c r="V20" s="83"/>
      <c r="W20" s="83"/>
      <c r="X20" s="83"/>
      <c r="Y20" s="83"/>
      <c r="Z20" s="83"/>
      <c r="AA20" s="83"/>
      <c r="AB20" s="83"/>
      <c r="AC20" s="83"/>
      <c r="AD20" s="83"/>
      <c r="AE20" s="83"/>
      <c r="AF20" s="83"/>
      <c r="AG20" s="83"/>
      <c r="AH20" s="83"/>
      <c r="AI20" s="83"/>
      <c r="AJ20" s="83"/>
      <c r="AK20" s="83"/>
      <c r="AL20" s="83"/>
      <c r="AM20" s="83"/>
      <c r="AN20" s="83"/>
      <c r="AO20" s="104"/>
      <c r="AP20" s="83"/>
      <c r="AQ20" s="215"/>
      <c r="AR20" s="371"/>
    </row>
    <row r="21" spans="1:44" ht="16.25" customHeight="1" x14ac:dyDescent="0.2">
      <c r="A21" s="83"/>
      <c r="B21" s="103"/>
      <c r="C21" s="99" t="s">
        <v>475</v>
      </c>
      <c r="D21" s="208" t="s">
        <v>194</v>
      </c>
      <c r="E21" s="208" t="s">
        <v>195</v>
      </c>
      <c r="F21" s="158">
        <f t="shared" si="2"/>
        <v>420.78201449748764</v>
      </c>
      <c r="G21" s="96">
        <f t="shared" si="3"/>
        <v>150</v>
      </c>
      <c r="H21" s="96" t="s">
        <v>196</v>
      </c>
      <c r="I21" s="96" t="s">
        <v>197</v>
      </c>
      <c r="J21" s="96" t="str">
        <f>+IF(F21&gt;'Equipment Data'!$L$126,"yes","No")</f>
        <v>No</v>
      </c>
      <c r="K21" s="96">
        <v>0.67</v>
      </c>
      <c r="L21" s="96" t="s">
        <v>198</v>
      </c>
      <c r="M21" s="156">
        <f>+IF(AND(D21="Heat Exchanger",E21="Fixed tube, sheet, or U tube"),IF(F21&lt;'Equipment Data'!$L$126,10^('Equipment Data'!$C$126+'Equipment Data'!$D$126*LOG10(F21)+'Equipment Data'!$E$126*LOG10(F21)*LOG10(F21)),10^('Equipment Data'!$C$126+'Equipment Data'!$D$126*LOG10('Equipment Data'!$L$126)+'Equipment Data'!$E$126*LOG10('Equipment Data'!$L$126)*LOG10('Equipment Data'!$L$126))*(F21/'Equipment Data'!$L$126)^K21),"N/A")</f>
        <v>45157.52595122857</v>
      </c>
      <c r="N21" s="152">
        <f>+IF(L21="","Input: shell and tube / tube only",IF(L21="shell and tube",IF(G21-1&gt;5,10^('Equipment Data'!$F$126+'Equipment Data'!$G$126*LOG10(G21-1.01325)+'Equipment Data'!$H$126*LOG10(G21-1.01325)*LOG10(G21-1.01325)),1),IF(G21-1.01325&gt;5,10^('Equipment Data'!$F$127+'Equipment Data'!$G$127*LOG10(G21-1.01325)+'Equipment Data'!$H$127*LOG10(G21-1.01325)*LOG10(G21-1.01325)),1)))</f>
        <v>1.5146097812626367</v>
      </c>
      <c r="O21" s="96">
        <f>+IF(I21="CS/CS",'Equipment Data'!$C$149,IF(I21="CS/Cu",'Equipment Data'!$D$149,IF(I21="Cu/Cu",'Equipment Data'!$E$149,IF(I21="CS/SS",'Equipment Data'!$F$149,IF(I21="SS/SS",'Equipment Data'!$G$149,IF(I21="CS/Ni",'Equipment Data'!$H$149,IF(I21="Ni/Ni",'Equipment Data'!$I$149,IF(I21="CS/Ti",'Equipment Data'!$J$149,IF(I21="Ti/Ti",'Equipment Data'!$K$149,"N/A")))))))))</f>
        <v>3.73</v>
      </c>
      <c r="P21" s="152">
        <f>+'Equipment Data'!$I$126+'Equipment Data'!$J$126*N21*O21</f>
        <v>11.008160843621994</v>
      </c>
      <c r="Q21" s="153">
        <f t="shared" si="0"/>
        <v>497101.30897115835</v>
      </c>
      <c r="R21" s="97">
        <v>1</v>
      </c>
      <c r="S21" s="193">
        <f>+IF(Tabla25879012013530638490[[#This Row],[Equipment]]="","",Q21*R21/10^6)</f>
        <v>0.49710130897115834</v>
      </c>
      <c r="T21" s="587">
        <f t="shared" ca="1" si="1"/>
        <v>0.80235803149232543</v>
      </c>
      <c r="U21" s="104"/>
      <c r="V21" s="83"/>
      <c r="W21" s="83"/>
      <c r="X21" s="83"/>
      <c r="Y21" s="83"/>
      <c r="Z21" s="83"/>
      <c r="AA21" s="83"/>
      <c r="AB21" s="83"/>
      <c r="AC21" s="83"/>
      <c r="AD21" s="83"/>
      <c r="AE21" s="83"/>
      <c r="AF21" s="83"/>
      <c r="AG21" s="83"/>
      <c r="AH21" s="83"/>
      <c r="AI21" s="83"/>
      <c r="AJ21" s="83"/>
      <c r="AK21" s="83"/>
      <c r="AL21" s="83"/>
      <c r="AM21" s="83"/>
      <c r="AN21" s="83"/>
      <c r="AO21" s="104"/>
      <c r="AP21" s="83"/>
      <c r="AQ21" s="215"/>
      <c r="AR21" s="371"/>
    </row>
    <row r="22" spans="1:44" ht="16.25" customHeight="1" x14ac:dyDescent="0.2">
      <c r="A22" s="83"/>
      <c r="B22" s="103"/>
      <c r="C22" s="99" t="s">
        <v>476</v>
      </c>
      <c r="D22" s="208" t="s">
        <v>194</v>
      </c>
      <c r="E22" s="208" t="s">
        <v>195</v>
      </c>
      <c r="F22" s="158">
        <f t="shared" si="2"/>
        <v>1258.641398610562</v>
      </c>
      <c r="G22" s="96">
        <f t="shared" si="3"/>
        <v>150</v>
      </c>
      <c r="H22" s="96" t="s">
        <v>196</v>
      </c>
      <c r="I22" s="96" t="s">
        <v>284</v>
      </c>
      <c r="J22" s="96" t="str">
        <f>+IF(F22&gt;'Equipment Data'!$L$126,"yes","No")</f>
        <v>yes</v>
      </c>
      <c r="K22" s="96">
        <v>0.67</v>
      </c>
      <c r="L22" s="96" t="s">
        <v>198</v>
      </c>
      <c r="M22" s="156">
        <f>+IF(AND(D22="Heat Exchanger",E22="Fixed tube, sheet, or U tube"),IF(F22&lt;'Equipment Data'!$L$126,10^('Equipment Data'!$C$126+'Equipment Data'!$D$126*LOG10(F22)+'Equipment Data'!$E$126*LOG10(F22)*LOG10(F22)),10^('Equipment Data'!$C$126+'Equipment Data'!$D$126*LOG10('Equipment Data'!$L$126)+'Equipment Data'!$E$126*LOG10('Equipment Data'!$L$126)*LOG10('Equipment Data'!$L$126))*(F22/'Equipment Data'!$L$126)^K22),"N/A")</f>
        <v>89791.318375352188</v>
      </c>
      <c r="N22" s="152">
        <f>+IF(L22="","Input: shell and tube / tube only",IF(L22="shell and tube",IF(G22-1&gt;5,10^('Equipment Data'!$F$126+'Equipment Data'!$G$126*LOG10(G22-1.01325)+'Equipment Data'!$H$126*LOG10(G22-1.01325)*LOG10(G22-1.01325)),1),IF(G22-1.01325&gt;5,10^('Equipment Data'!$F$127+'Equipment Data'!$G$127*LOG10(G22-1.01325)+'Equipment Data'!$H$127*LOG10(G22-1.01325)*LOG10(G22-1.01325)),1)))</f>
        <v>1.5146097812626367</v>
      </c>
      <c r="O22" s="96">
        <f>+IF(I22="CS/CS",'Equipment Data'!$C$149,IF(I22="CS/Cu",'Equipment Data'!$D$149,IF(I22="Cu/Cu",'Equipment Data'!$E$149,IF(I22="CS/SS",'Equipment Data'!$F$149,IF(I22="SS/SS",'Equipment Data'!$G$149,IF(I22="CS/Ni",'Equipment Data'!$H$149,IF(I22="Ni/Ni",'Equipment Data'!$I$149,IF(I22="CS/Ti",'Equipment Data'!$J$149,IF(I22="Ti/Ti",'Equipment Data'!$K$149,"N/A")))))))))</f>
        <v>2.68</v>
      </c>
      <c r="P22" s="152">
        <f>+'Equipment Data'!$I$126+'Equipment Data'!$J$126*N22*O22</f>
        <v>8.3681959948812175</v>
      </c>
      <c r="Q22" s="153">
        <f t="shared" si="0"/>
        <v>751391.35080372647</v>
      </c>
      <c r="R22" s="97">
        <v>1</v>
      </c>
      <c r="S22" s="193">
        <f>+IF(Tabla25879012013530638490[[#This Row],[Equipment]]="","",Q22*R22/10^6)</f>
        <v>0.75139135080372643</v>
      </c>
      <c r="T22" s="587">
        <f t="shared" ca="1" si="1"/>
        <v>1.2128008400521362</v>
      </c>
      <c r="U22" s="104"/>
      <c r="V22" s="83"/>
      <c r="W22" s="83"/>
      <c r="X22" s="83"/>
      <c r="Y22" s="83"/>
      <c r="Z22" s="83"/>
      <c r="AA22" s="83"/>
      <c r="AB22" s="83"/>
      <c r="AC22" s="83"/>
      <c r="AD22" s="83"/>
      <c r="AE22" s="83"/>
      <c r="AF22" s="83"/>
      <c r="AG22" s="83"/>
      <c r="AH22" s="83"/>
      <c r="AI22" s="83"/>
      <c r="AJ22" s="83"/>
      <c r="AK22" s="83"/>
      <c r="AL22" s="83"/>
      <c r="AM22" s="83"/>
      <c r="AN22" s="83"/>
      <c r="AO22" s="104"/>
      <c r="AP22" s="83"/>
      <c r="AQ22" s="215"/>
      <c r="AR22" s="371"/>
    </row>
    <row r="23" spans="1:44" ht="16.25" customHeight="1" x14ac:dyDescent="0.2">
      <c r="A23" s="83"/>
      <c r="B23" s="103"/>
      <c r="C23" s="99" t="s">
        <v>477</v>
      </c>
      <c r="D23" s="208" t="s">
        <v>194</v>
      </c>
      <c r="E23" s="208" t="s">
        <v>195</v>
      </c>
      <c r="F23" s="158">
        <f t="shared" si="2"/>
        <v>20.676512198392345</v>
      </c>
      <c r="G23" s="96">
        <f t="shared" si="3"/>
        <v>150</v>
      </c>
      <c r="H23" s="96" t="s">
        <v>196</v>
      </c>
      <c r="I23" s="96" t="s">
        <v>284</v>
      </c>
      <c r="J23" s="96" t="str">
        <f>+IF(F23&gt;'Equipment Data'!$L$126,"yes","No")</f>
        <v>No</v>
      </c>
      <c r="K23" s="96">
        <v>0.67</v>
      </c>
      <c r="L23" s="96" t="s">
        <v>198</v>
      </c>
      <c r="M23" s="156">
        <f>+IF(AND(D23="Heat Exchanger",E23="Fixed tube, sheet, or U tube"),IF(F23&lt;'Equipment Data'!$L$126,10^('Equipment Data'!$C$126+'Equipment Data'!$D$126*LOG10(F23)+'Equipment Data'!$E$126*LOG10(F23)*LOG10(F23)),10^('Equipment Data'!$C$126+'Equipment Data'!$D$126*LOG10('Equipment Data'!$L$126)+'Equipment Data'!$E$126*LOG10('Equipment Data'!$L$126)*LOG10('Equipment Data'!$L$126))*(F23/'Equipment Data'!$L$126)^K23),"N/A")</f>
        <v>16175.990898661648</v>
      </c>
      <c r="N23" s="152">
        <f>+IF(L23="","Input: shell and tube / tube only",IF(L23="shell and tube",IF(G23-1&gt;5,10^('Equipment Data'!$F$126+'Equipment Data'!$G$126*LOG10(G23-1.01325)+'Equipment Data'!$H$126*LOG10(G23-1.01325)*LOG10(G23-1.01325)),1),IF(G23-1.01325&gt;5,10^('Equipment Data'!$F$127+'Equipment Data'!$G$127*LOG10(G23-1.01325)+'Equipment Data'!$H$127*LOG10(G23-1.01325)*LOG10(G23-1.01325)),1)))</f>
        <v>1.5146097812626367</v>
      </c>
      <c r="O23" s="96">
        <f>+IF(I23="CS/CS",'Equipment Data'!$C$149,IF(I23="CS/Cu",'Equipment Data'!$D$149,IF(I23="Cu/Cu",'Equipment Data'!$E$149,IF(I23="CS/SS",'Equipment Data'!$F$149,IF(I23="SS/SS",'Equipment Data'!$G$149,IF(I23="CS/Ni",'Equipment Data'!$H$149,IF(I23="Ni/Ni",'Equipment Data'!$I$149,IF(I23="CS/Ti",'Equipment Data'!$J$149,IF(I23="Ti/Ti",'Equipment Data'!$K$149,"N/A")))))))))</f>
        <v>2.68</v>
      </c>
      <c r="P23" s="152">
        <f>+'Equipment Data'!$I$126+'Equipment Data'!$J$126*N23*O23</f>
        <v>8.3681959948812175</v>
      </c>
      <c r="Q23" s="153">
        <f t="shared" si="0"/>
        <v>135363.86225141544</v>
      </c>
      <c r="R23" s="97">
        <v>1</v>
      </c>
      <c r="S23" s="193">
        <f>+IF(Tabla25879012013530638490[[#This Row],[Equipment]]="","",Q23*R23/10^6)</f>
        <v>0.13536386225141545</v>
      </c>
      <c r="T23" s="587">
        <f t="shared" ca="1" si="1"/>
        <v>0.21848721797983747</v>
      </c>
      <c r="U23" s="104"/>
      <c r="V23" s="83"/>
      <c r="W23" s="83"/>
      <c r="X23" s="83"/>
      <c r="Y23" s="83"/>
      <c r="Z23" s="83"/>
      <c r="AA23" s="83"/>
      <c r="AB23" s="83"/>
      <c r="AC23" s="83"/>
      <c r="AD23" s="83"/>
      <c r="AE23" s="83"/>
      <c r="AF23" s="83"/>
      <c r="AG23" s="83"/>
      <c r="AH23" s="83"/>
      <c r="AI23" s="83"/>
      <c r="AJ23" s="83"/>
      <c r="AK23" s="83"/>
      <c r="AL23" s="83"/>
      <c r="AM23" s="83"/>
      <c r="AN23" s="83"/>
      <c r="AO23" s="104"/>
      <c r="AP23" s="83"/>
      <c r="AQ23" s="215"/>
      <c r="AR23" s="371"/>
    </row>
    <row r="24" spans="1:44" ht="16.25" customHeight="1" x14ac:dyDescent="0.2">
      <c r="A24" s="83"/>
      <c r="B24" s="103"/>
      <c r="C24" s="99" t="s">
        <v>478</v>
      </c>
      <c r="D24" s="208" t="s">
        <v>194</v>
      </c>
      <c r="E24" s="208" t="s">
        <v>195</v>
      </c>
      <c r="F24" s="158">
        <f t="shared" si="2"/>
        <v>358.69346398434453</v>
      </c>
      <c r="G24" s="96">
        <f>+G23</f>
        <v>150</v>
      </c>
      <c r="H24" s="96" t="s">
        <v>196</v>
      </c>
      <c r="I24" s="96" t="s">
        <v>284</v>
      </c>
      <c r="J24" s="96" t="str">
        <f>+IF(F24&gt;'Equipment Data'!$L$126,"yes","No")</f>
        <v>No</v>
      </c>
      <c r="K24" s="96">
        <v>0.67</v>
      </c>
      <c r="L24" s="96" t="s">
        <v>198</v>
      </c>
      <c r="M24" s="156">
        <f>+IF(AND(D24="Heat Exchanger",E24="Fixed tube, sheet, or U tube"),IF(F24&lt;'Equipment Data'!$L$126,10^('Equipment Data'!$C$126+'Equipment Data'!$D$126*LOG10(F24)+'Equipment Data'!$E$126*LOG10(F24)*LOG10(F24)),10^('Equipment Data'!$C$126+'Equipment Data'!$D$126*LOG10('Equipment Data'!$L$126)+'Equipment Data'!$E$126*LOG10('Equipment Data'!$L$126)*LOG10('Equipment Data'!$L$126))*(F24/'Equipment Data'!$L$126)^K24),"N/A")</f>
        <v>41406.372716882062</v>
      </c>
      <c r="N24" s="152">
        <f>+IF(L24="","Input: shell and tube / tube only",IF(L24="shell and tube",IF(G24-1&gt;5,10^('Equipment Data'!$F$126+'Equipment Data'!$G$126*LOG10(G24-1.01325)+'Equipment Data'!$H$126*LOG10(G24-1.01325)*LOG10(G24-1.01325)),1),IF(G24-1.01325&gt;5,10^('Equipment Data'!$F$127+'Equipment Data'!$G$127*LOG10(G24-1.01325)+'Equipment Data'!$H$127*LOG10(G24-1.01325)*LOG10(G24-1.01325)),1)))</f>
        <v>1.5146097812626367</v>
      </c>
      <c r="O24" s="96">
        <f>+IF(I24="CS/CS",'Equipment Data'!$C$149,IF(I24="CS/Cu",'Equipment Data'!$D$149,IF(I24="Cu/Cu",'Equipment Data'!$E$149,IF(I24="CS/SS",'Equipment Data'!$F$149,IF(I24="SS/SS",'Equipment Data'!$G$149,IF(I24="CS/Ni",'Equipment Data'!$H$149,IF(I24="Ni/Ni",'Equipment Data'!$I$149,IF(I24="CS/Ti",'Equipment Data'!$J$149,IF(I24="Ti/Ti",'Equipment Data'!$K$149,"N/A")))))))))</f>
        <v>2.68</v>
      </c>
      <c r="P24" s="152">
        <f>+'Equipment Data'!$I$126+'Equipment Data'!$J$126*N24*O24</f>
        <v>8.3681959948812175</v>
      </c>
      <c r="Q24" s="153">
        <f t="shared" si="0"/>
        <v>346496.64233197138</v>
      </c>
      <c r="R24" s="97">
        <v>1</v>
      </c>
      <c r="S24" s="193">
        <f>+IF(Tabla25879012013530638490[[#This Row],[Equipment]]="","",Q24*R24/10^6)</f>
        <v>0.34649664233197136</v>
      </c>
      <c r="T24" s="587">
        <f t="shared" ca="1" si="1"/>
        <v>0.5592710355874585</v>
      </c>
      <c r="U24" s="104"/>
      <c r="V24" s="83"/>
      <c r="W24" s="83"/>
      <c r="X24" s="83"/>
      <c r="Y24" s="83"/>
      <c r="Z24" s="83"/>
      <c r="AA24" s="83"/>
      <c r="AB24" s="83"/>
      <c r="AC24" s="83"/>
      <c r="AD24" s="83"/>
      <c r="AE24" s="83"/>
      <c r="AF24" s="83"/>
      <c r="AG24" s="83"/>
      <c r="AH24" s="83"/>
      <c r="AI24" s="83"/>
      <c r="AJ24" s="83"/>
      <c r="AK24" s="83"/>
      <c r="AL24" s="83"/>
      <c r="AM24" s="83"/>
      <c r="AN24" s="83"/>
      <c r="AO24" s="104"/>
      <c r="AP24" s="83"/>
      <c r="AQ24" s="215"/>
      <c r="AR24" s="371"/>
    </row>
    <row r="25" spans="1:44" ht="16.25" customHeight="1" x14ac:dyDescent="0.2">
      <c r="A25" s="83"/>
      <c r="B25" s="103"/>
      <c r="C25" s="99" t="s">
        <v>479</v>
      </c>
      <c r="D25" s="208" t="s">
        <v>192</v>
      </c>
      <c r="E25" s="208" t="s">
        <v>193</v>
      </c>
      <c r="F25" s="96">
        <f>+F13+F14+F15</f>
        <v>16219.418637641329</v>
      </c>
      <c r="G25" s="96" t="s">
        <v>187</v>
      </c>
      <c r="H25" s="96" t="s">
        <v>186</v>
      </c>
      <c r="I25" s="96" t="s">
        <v>187</v>
      </c>
      <c r="J25" s="96" t="str">
        <f>+IF(F25&gt;'Equipment Data'!$H$40,"yes","No")</f>
        <v>yes</v>
      </c>
      <c r="K25" s="96">
        <v>0.67</v>
      </c>
      <c r="L25" s="96" t="s">
        <v>187</v>
      </c>
      <c r="M25" s="156">
        <f>+IF(AND(D25="Drive",E25="Explosion Proof"),IF(F25&lt;'Equipment Data'!$H$40,10^('Equipment Data'!$C$40+'Equipment Data'!$D$40*LOG10(F25)+'Equipment Data'!$E$40*LOG10(F25)*LOG10(F25)),10^('Equipment Data'!$C$40+LOG10('Equipment Data'!$H$40)*'Equipment Data'!$D$40+'Equipment Data'!$E$40*LOG10('Equipment Data'!$H$40)*LOG10('Equipment Data'!$H$40))*(F25/'Equipment Data'!$H$40)^K25),"N/A")</f>
        <v>552643.22386044415</v>
      </c>
      <c r="N25" s="96" t="s">
        <v>187</v>
      </c>
      <c r="O25" s="96" t="s">
        <v>187</v>
      </c>
      <c r="P25" s="152">
        <f>+'Equipment Data'!$F$40</f>
        <v>1.5</v>
      </c>
      <c r="Q25" s="153">
        <f t="shared" si="0"/>
        <v>828964.83579066629</v>
      </c>
      <c r="R25" s="97">
        <v>1</v>
      </c>
      <c r="S25" s="193">
        <f>+IF(Tabla25879012013530638490[[#This Row],[Equipment]]="","",Q25*R25/10^6)</f>
        <v>0.82896483579066627</v>
      </c>
      <c r="T25" s="587">
        <f t="shared" ca="1" si="1"/>
        <v>1.3380101436424667</v>
      </c>
      <c r="U25" s="104"/>
      <c r="V25" s="83"/>
      <c r="W25" s="83"/>
      <c r="X25" s="83"/>
      <c r="Y25" s="83"/>
      <c r="Z25" s="83"/>
      <c r="AA25" s="83"/>
      <c r="AB25" s="83"/>
      <c r="AC25" s="83"/>
      <c r="AD25" s="83"/>
      <c r="AE25" s="83"/>
      <c r="AF25" s="83"/>
      <c r="AG25" s="83"/>
      <c r="AH25" s="83"/>
      <c r="AI25" s="83"/>
      <c r="AJ25" s="83"/>
      <c r="AK25" s="83"/>
      <c r="AL25" s="83"/>
      <c r="AM25" s="83"/>
      <c r="AN25" s="83"/>
      <c r="AO25" s="104"/>
      <c r="AP25" s="83"/>
      <c r="AQ25" s="215"/>
      <c r="AR25" s="371"/>
    </row>
    <row r="26" spans="1:44" ht="16.25" customHeight="1" x14ac:dyDescent="0.2">
      <c r="A26" s="83"/>
      <c r="B26" s="103"/>
      <c r="C26" s="99" t="s">
        <v>480</v>
      </c>
      <c r="D26" s="208" t="s">
        <v>177</v>
      </c>
      <c r="E26" s="208" t="s">
        <v>178</v>
      </c>
      <c r="F26" s="96">
        <f>+X57</f>
        <v>88.2</v>
      </c>
      <c r="G26" s="96">
        <v>1</v>
      </c>
      <c r="H26" s="96" t="s">
        <v>179</v>
      </c>
      <c r="I26" s="96" t="s">
        <v>287</v>
      </c>
      <c r="J26" s="96" t="str">
        <f>+IF(F26&gt;'Equipment Data'!$F$239,"yes","No")</f>
        <v>No</v>
      </c>
      <c r="K26" s="96">
        <v>0.67</v>
      </c>
      <c r="L26" s="158">
        <f>+X59</f>
        <v>3.34517736670667</v>
      </c>
      <c r="M26" s="156">
        <f>+IF(AND(D26="Vessel",E26="Vertical"),IF(F26&lt;'Equipment Data'!$F$239,10^('Equipment Data'!$B$239+'Equipment Data'!$C$239*LOG10(F26)+'Equipment Data'!$D$239*LOG10(F26)*LOG10(F26)),10^('Equipment Data'!$B$239+'Equipment Data'!$C$239*LOG10('Equipment Data'!$F$239)+'Equipment Data'!$D$239*LOG10('Equipment Data'!$F$239)*LOG10('Equipment Data'!$F$239))*(F26/'Equipment Data'!$F$239)^K26),"N/A")</f>
        <v>59763.405554090168</v>
      </c>
      <c r="N26" s="155">
        <f t="shared" ref="N26:N31" si="4">+IF(L26="","Input Diameter in m",IF(G26&gt;0.5,IF(((G26*L26)/(2*(850-0.6*G26))+0.00315)/0.0063&lt;1,1,((G26*L26)/(2*(850-0.6*G26))+0.00315)/0.0063),1.25))</f>
        <v>1</v>
      </c>
      <c r="O26" s="96">
        <f>+IF(I26="CS",'Equipment Data'!$C$247,IF(I26="SS Clad",'Equipment Data'!$C$248,IF(I26="SS",'Equipment Data'!$C$249,IF(I26="Ni Clad",'Equipment Data'!$C$250,IF(I26="Ni",'Equipment Data'!$C$251,IF(I26="Ti Clad",'Equipment Data'!$C$252,IF(I26="Ti",'Equipment Data'!$C$253,"N/A")))))))</f>
        <v>3.62</v>
      </c>
      <c r="P26" s="153">
        <f>+'Equipment Data'!$C$244+'Equipment Data'!$D$244*N26*O26</f>
        <v>8.8384</v>
      </c>
      <c r="Q26" s="153">
        <f t="shared" ref="Q26:Q31" si="5">+M26*P26</f>
        <v>528212.88364927052</v>
      </c>
      <c r="R26" s="97">
        <v>1</v>
      </c>
      <c r="S26" s="193">
        <f>+IF(Tabla25879012013530638490[[#This Row],[Equipment]]="","",Q26*R26/10^6)*X64</f>
        <v>0.79231932547390582</v>
      </c>
      <c r="T26" s="587">
        <f t="shared" ca="1" si="1"/>
        <v>1.2788615978829674</v>
      </c>
      <c r="U26" s="104"/>
      <c r="V26" s="83"/>
      <c r="W26" s="83"/>
      <c r="X26" s="83"/>
      <c r="Y26" s="83"/>
      <c r="Z26" s="83"/>
      <c r="AA26" s="83"/>
      <c r="AB26" s="83"/>
      <c r="AC26" s="83"/>
      <c r="AD26" s="83"/>
      <c r="AE26" s="83"/>
      <c r="AF26" s="83"/>
      <c r="AG26" s="83"/>
      <c r="AH26" s="83"/>
      <c r="AI26" s="83"/>
      <c r="AJ26" s="83"/>
      <c r="AK26" s="83"/>
      <c r="AL26" s="83"/>
      <c r="AM26" s="83"/>
      <c r="AN26" s="83"/>
      <c r="AO26" s="104"/>
      <c r="AP26" s="83"/>
      <c r="AQ26" s="215"/>
      <c r="AR26" s="371"/>
    </row>
    <row r="27" spans="1:44" ht="16.25" customHeight="1" x14ac:dyDescent="0.2">
      <c r="A27" s="83"/>
      <c r="B27" s="103"/>
      <c r="C27" s="99" t="s">
        <v>481</v>
      </c>
      <c r="D27" s="208" t="s">
        <v>177</v>
      </c>
      <c r="E27" s="208" t="s">
        <v>178</v>
      </c>
      <c r="F27" s="96">
        <f>+Y57</f>
        <v>88.2</v>
      </c>
      <c r="G27" s="96">
        <v>1</v>
      </c>
      <c r="H27" s="96" t="s">
        <v>179</v>
      </c>
      <c r="I27" s="96" t="s">
        <v>287</v>
      </c>
      <c r="J27" s="96" t="str">
        <f>+IF(F27&gt;'Equipment Data'!$F$239,"yes","No")</f>
        <v>No</v>
      </c>
      <c r="K27" s="96">
        <v>0.67</v>
      </c>
      <c r="L27" s="158">
        <f>+Y59</f>
        <v>3.34517736670667</v>
      </c>
      <c r="M27" s="156">
        <f>+IF(AND(D27="Vessel",E27="Vertical"),IF(F27&lt;'Equipment Data'!$F$239,10^('Equipment Data'!$B$239+'Equipment Data'!$C$239*LOG10(F27)+'Equipment Data'!$D$239*LOG10(F27)*LOG10(F27)),10^('Equipment Data'!$B$239+'Equipment Data'!$C$239*LOG10('Equipment Data'!$F$239)+'Equipment Data'!$D$239*LOG10('Equipment Data'!$F$239)*LOG10('Equipment Data'!$F$239))*(F27/'Equipment Data'!$F$239)^K27),"N/A")</f>
        <v>59763.405554090168</v>
      </c>
      <c r="N27" s="155">
        <f t="shared" si="4"/>
        <v>1</v>
      </c>
      <c r="O27" s="96">
        <f>+IF(I27="CS",'Equipment Data'!$C$247,IF(I27="SS Clad",'Equipment Data'!$C$248,IF(I27="SS",'Equipment Data'!$C$249,IF(I27="Ni Clad",'Equipment Data'!$C$250,IF(I27="Ni",'Equipment Data'!$C$251,IF(I27="Ti Clad",'Equipment Data'!$C$252,IF(I27="Ti",'Equipment Data'!$C$253,"N/A")))))))</f>
        <v>3.62</v>
      </c>
      <c r="P27" s="153">
        <f>+'Equipment Data'!$C$244+'Equipment Data'!$D$244*N27*O27</f>
        <v>8.8384</v>
      </c>
      <c r="Q27" s="153">
        <f t="shared" si="5"/>
        <v>528212.88364927052</v>
      </c>
      <c r="R27" s="97">
        <v>1</v>
      </c>
      <c r="S27" s="193">
        <f>+IF(Tabla25879012013530638490[[#This Row],[Equipment]]="","",Q27*R27/10^6)*Y64</f>
        <v>0.79231932547390582</v>
      </c>
      <c r="T27" s="587">
        <f t="shared" ca="1" si="1"/>
        <v>1.2788615978829674</v>
      </c>
      <c r="U27" s="104"/>
      <c r="V27" s="83"/>
      <c r="W27" s="83"/>
      <c r="X27" s="83"/>
      <c r="Y27" s="83"/>
      <c r="Z27" s="83"/>
      <c r="AA27" s="83"/>
      <c r="AB27" s="83"/>
      <c r="AC27" s="83"/>
      <c r="AD27" s="83"/>
      <c r="AE27" s="83"/>
      <c r="AF27" s="83"/>
      <c r="AG27" s="83"/>
      <c r="AH27" s="83"/>
      <c r="AI27" s="83"/>
      <c r="AJ27" s="83"/>
      <c r="AK27" s="83"/>
      <c r="AL27" s="83"/>
      <c r="AM27" s="83"/>
      <c r="AN27" s="83"/>
      <c r="AO27" s="104"/>
      <c r="AP27" s="83"/>
      <c r="AQ27" s="215"/>
      <c r="AR27" s="371"/>
    </row>
    <row r="28" spans="1:44" ht="16.25" customHeight="1" x14ac:dyDescent="0.2">
      <c r="A28" s="83"/>
      <c r="B28" s="103"/>
      <c r="C28" s="99" t="s">
        <v>482</v>
      </c>
      <c r="D28" s="208" t="s">
        <v>177</v>
      </c>
      <c r="E28" s="208" t="s">
        <v>178</v>
      </c>
      <c r="F28" s="96">
        <f>+Z57</f>
        <v>117.9</v>
      </c>
      <c r="G28" s="96">
        <v>1</v>
      </c>
      <c r="H28" s="96" t="s">
        <v>179</v>
      </c>
      <c r="I28" s="96" t="s">
        <v>287</v>
      </c>
      <c r="J28" s="96" t="str">
        <f>+IF(F28&gt;'Equipment Data'!$F$239,"yes","No")</f>
        <v>No</v>
      </c>
      <c r="K28" s="96">
        <v>0.67</v>
      </c>
      <c r="L28" s="158">
        <f>+Z59</f>
        <v>3.68497226115579</v>
      </c>
      <c r="M28" s="156">
        <f>+IF(AND(D28="Vessel",E28="Vertical"),IF(F28&lt;'Equipment Data'!$F$239,10^('Equipment Data'!$B$239+'Equipment Data'!$C$239*LOG10(F28)+'Equipment Data'!$D$239*LOG10(F28)*LOG10(F28)),10^('Equipment Data'!$B$239+'Equipment Data'!$C$239*LOG10('Equipment Data'!$F$239)+'Equipment Data'!$D$239*LOG10('Equipment Data'!$F$239)*LOG10('Equipment Data'!$F$239))*(F28/'Equipment Data'!$F$239)^K28),"N/A")</f>
        <v>77151.707101429565</v>
      </c>
      <c r="N28" s="155">
        <f t="shared" si="4"/>
        <v>1</v>
      </c>
      <c r="O28" s="96">
        <f>+IF(I28="CS",'Equipment Data'!$C$247,IF(I28="SS Clad",'Equipment Data'!$C$248,IF(I28="SS",'Equipment Data'!$C$249,IF(I28="Ni Clad",'Equipment Data'!$C$250,IF(I28="Ni",'Equipment Data'!$C$251,IF(I28="Ti Clad",'Equipment Data'!$C$252,IF(I28="Ti",'Equipment Data'!$C$253,"N/A")))))))</f>
        <v>3.62</v>
      </c>
      <c r="P28" s="153">
        <f>+'Equipment Data'!$C$244+'Equipment Data'!$D$244*N28*O28</f>
        <v>8.8384</v>
      </c>
      <c r="Q28" s="153">
        <f t="shared" si="5"/>
        <v>681897.64804527513</v>
      </c>
      <c r="R28" s="97">
        <v>1</v>
      </c>
      <c r="S28" s="193">
        <f>+IF(Tabla25879012013530638490[[#This Row],[Equipment]]="","",Q28*R28/10^6)*Z64</f>
        <v>1.0228464720679127</v>
      </c>
      <c r="T28" s="587">
        <f t="shared" ca="1" si="1"/>
        <v>1.6509493478217665</v>
      </c>
      <c r="U28" s="104"/>
      <c r="V28" s="83"/>
      <c r="W28" s="83"/>
      <c r="X28" s="83"/>
      <c r="Y28" s="83"/>
      <c r="Z28" s="83"/>
      <c r="AA28" s="83"/>
      <c r="AB28" s="83"/>
      <c r="AC28" s="83"/>
      <c r="AD28" s="83"/>
      <c r="AE28" s="83"/>
      <c r="AF28" s="83"/>
      <c r="AG28" s="83"/>
      <c r="AH28" s="83"/>
      <c r="AI28" s="83"/>
      <c r="AJ28" s="83"/>
      <c r="AK28" s="83"/>
      <c r="AL28" s="83"/>
      <c r="AM28" s="83"/>
      <c r="AN28" s="83"/>
      <c r="AO28" s="104"/>
      <c r="AP28" s="83"/>
      <c r="AQ28" s="215"/>
      <c r="AR28" s="371"/>
    </row>
    <row r="29" spans="1:44" ht="16.25" customHeight="1" x14ac:dyDescent="0.2">
      <c r="A29" s="83"/>
      <c r="B29" s="103"/>
      <c r="C29" s="99" t="s">
        <v>483</v>
      </c>
      <c r="D29" s="208" t="s">
        <v>177</v>
      </c>
      <c r="E29" s="208" t="s">
        <v>178</v>
      </c>
      <c r="F29" s="158">
        <f>X61</f>
        <v>101.03602272560751</v>
      </c>
      <c r="G29" s="96">
        <v>150</v>
      </c>
      <c r="H29" s="96" t="s">
        <v>179</v>
      </c>
      <c r="I29" s="96" t="s">
        <v>182</v>
      </c>
      <c r="J29" s="96" t="str">
        <f>+IF(F29&gt;'Equipment Data'!$F$239,"yes","No")</f>
        <v>No</v>
      </c>
      <c r="K29" s="96">
        <v>0.67</v>
      </c>
      <c r="L29" s="152">
        <f>X62</f>
        <v>3.5451773667066702</v>
      </c>
      <c r="M29" s="156">
        <f>+IF(AND(D29="Vessel",E29="Vertical"),IF(F29&lt;'Equipment Data'!$F$239,10^('Equipment Data'!$B$239+'Equipment Data'!$C$239*LOG10(F29)+'Equipment Data'!$D$239*LOG10(F29)*LOG10(F29)),10^('Equipment Data'!$B$239+'Equipment Data'!$C$239*LOG10('Equipment Data'!$F$239)+'Equipment Data'!$D$239*LOG10('Equipment Data'!$F$239)*LOG10('Equipment Data'!$F$239))*(F29/'Equipment Data'!$F$239)^K29),"N/A")</f>
        <v>67287.243916015199</v>
      </c>
      <c r="N29" s="155">
        <f t="shared" si="4"/>
        <v>56.03222692209696</v>
      </c>
      <c r="O29" s="96">
        <f>+IF(I29="CS",'Equipment Data'!$C$247,IF(I29="SS Clad",'Equipment Data'!$C$248,IF(I29="SS",'Equipment Data'!$C$249,IF(I29="Ni Clad",'Equipment Data'!$C$250,IF(I29="Ni",'Equipment Data'!$C$251,IF(I29="Ti Clad",'Equipment Data'!$C$252,IF(I29="Ti",'Equipment Data'!$C$253,"N/A")))))))</f>
        <v>1</v>
      </c>
      <c r="P29" s="153">
        <f>+'Equipment Data'!$C$244+'Equipment Data'!$D$244*N29*O29</f>
        <v>104.22865299821648</v>
      </c>
      <c r="Q29" s="153">
        <f t="shared" si="5"/>
        <v>7013258.7973287012</v>
      </c>
      <c r="R29" s="97">
        <v>1</v>
      </c>
      <c r="S29" s="193">
        <f>+IF(Tabla25879012013530638490[[#This Row],[Equipment]]="","",Q29*R29/10^6)</f>
        <v>7.0132587973287013</v>
      </c>
      <c r="T29" s="587">
        <f t="shared" ca="1" si="1"/>
        <v>11.319914917579458</v>
      </c>
      <c r="U29" s="104"/>
      <c r="V29" s="83"/>
      <c r="W29" s="83"/>
      <c r="X29" s="83"/>
      <c r="Y29" s="83"/>
      <c r="Z29" s="83"/>
      <c r="AA29" s="83"/>
      <c r="AB29" s="83"/>
      <c r="AC29" s="83"/>
      <c r="AD29" s="83"/>
      <c r="AE29" s="83"/>
      <c r="AF29" s="83"/>
      <c r="AG29" s="83"/>
      <c r="AH29" s="83"/>
      <c r="AI29" s="83"/>
      <c r="AJ29" s="83"/>
      <c r="AK29" s="83"/>
      <c r="AL29" s="83"/>
      <c r="AM29" s="83"/>
      <c r="AN29" s="83"/>
      <c r="AO29" s="104"/>
      <c r="AP29" s="83"/>
      <c r="AQ29" s="215"/>
      <c r="AR29" s="371"/>
    </row>
    <row r="30" spans="1:44" ht="16.25" customHeight="1" x14ac:dyDescent="0.2">
      <c r="A30" s="83"/>
      <c r="B30" s="103"/>
      <c r="C30" s="99" t="s">
        <v>484</v>
      </c>
      <c r="D30" s="208" t="s">
        <v>177</v>
      </c>
      <c r="E30" s="208" t="s">
        <v>178</v>
      </c>
      <c r="F30" s="158">
        <f>Y61</f>
        <v>101.03602272560751</v>
      </c>
      <c r="G30" s="96">
        <v>150</v>
      </c>
      <c r="H30" s="96" t="s">
        <v>179</v>
      </c>
      <c r="I30" s="96" t="s">
        <v>182</v>
      </c>
      <c r="J30" s="96" t="str">
        <f>+IF(F30&gt;'Equipment Data'!$F$239,"yes","No")</f>
        <v>No</v>
      </c>
      <c r="K30" s="96">
        <v>0.67</v>
      </c>
      <c r="L30" s="152">
        <f>Y62</f>
        <v>3.5451773667066702</v>
      </c>
      <c r="M30" s="156">
        <f>+IF(AND(D30="Vessel",E30="Vertical"),IF(F30&lt;'Equipment Data'!$F$239,10^('Equipment Data'!$B$239+'Equipment Data'!$C$239*LOG10(F30)+'Equipment Data'!$D$239*LOG10(F30)*LOG10(F30)),10^('Equipment Data'!$B$239+'Equipment Data'!$C$239*LOG10('Equipment Data'!$F$239)+'Equipment Data'!$D$239*LOG10('Equipment Data'!$F$239)*LOG10('Equipment Data'!$F$239))*(F30/'Equipment Data'!$F$239)^K30),"N/A")</f>
        <v>67287.243916015199</v>
      </c>
      <c r="N30" s="155">
        <f t="shared" si="4"/>
        <v>56.03222692209696</v>
      </c>
      <c r="O30" s="96">
        <f>+IF(I30="CS",'Equipment Data'!$C$247,IF(I30="SS Clad",'Equipment Data'!$C$248,IF(I30="SS",'Equipment Data'!$C$249,IF(I30="Ni Clad",'Equipment Data'!$C$250,IF(I30="Ni",'Equipment Data'!$C$251,IF(I30="Ti Clad",'Equipment Data'!$C$252,IF(I30="Ti",'Equipment Data'!$C$253,"N/A")))))))</f>
        <v>1</v>
      </c>
      <c r="P30" s="153">
        <f>+'Equipment Data'!$C$244+'Equipment Data'!$D$244*N30*O30</f>
        <v>104.22865299821648</v>
      </c>
      <c r="Q30" s="153">
        <f t="shared" si="5"/>
        <v>7013258.7973287012</v>
      </c>
      <c r="R30" s="97">
        <v>1</v>
      </c>
      <c r="S30" s="193">
        <f>+IF(Tabla25879012013530638490[[#This Row],[Equipment]]="","",Q30*R30/10^6)</f>
        <v>7.0132587973287013</v>
      </c>
      <c r="T30" s="587">
        <f t="shared" ca="1" si="1"/>
        <v>11.319914917579458</v>
      </c>
      <c r="U30" s="104"/>
      <c r="V30" s="83"/>
      <c r="W30" s="83"/>
      <c r="X30" s="83"/>
      <c r="Y30" s="83"/>
      <c r="Z30" s="83"/>
      <c r="AA30" s="83"/>
      <c r="AB30" s="83"/>
      <c r="AC30" s="83"/>
      <c r="AD30" s="83"/>
      <c r="AE30" s="83"/>
      <c r="AF30" s="83"/>
      <c r="AG30" s="83"/>
      <c r="AH30" s="83"/>
      <c r="AI30" s="83"/>
      <c r="AJ30" s="83"/>
      <c r="AK30" s="83"/>
      <c r="AL30" s="83"/>
      <c r="AM30" s="83"/>
      <c r="AN30" s="83"/>
      <c r="AO30" s="104"/>
      <c r="AP30" s="83"/>
      <c r="AQ30" s="215"/>
      <c r="AR30" s="371"/>
    </row>
    <row r="31" spans="1:44" ht="16.25" customHeight="1" x14ac:dyDescent="0.2">
      <c r="A31" s="83"/>
      <c r="B31" s="103"/>
      <c r="C31" s="99" t="s">
        <v>485</v>
      </c>
      <c r="D31" s="208" t="s">
        <v>177</v>
      </c>
      <c r="E31" s="208" t="s">
        <v>178</v>
      </c>
      <c r="F31" s="152">
        <f>Z61</f>
        <v>133.41603021007444</v>
      </c>
      <c r="G31" s="96">
        <v>150</v>
      </c>
      <c r="H31" s="96" t="s">
        <v>179</v>
      </c>
      <c r="I31" s="96" t="s">
        <v>182</v>
      </c>
      <c r="J31" s="96" t="str">
        <f>+IF(F31&gt;'Equipment Data'!$F$239,"yes","No")</f>
        <v>No</v>
      </c>
      <c r="K31" s="96">
        <v>0.67</v>
      </c>
      <c r="L31" s="152">
        <f>Z62</f>
        <v>3.8849722611557902</v>
      </c>
      <c r="M31" s="156">
        <f>+IF(AND(D31="Vessel",E31="Vertical"),IF(F31&lt;'Equipment Data'!$F$239,10^('Equipment Data'!$B$239+'Equipment Data'!$C$239*LOG10(F31)+'Equipment Data'!$D$239*LOG10(F31)*LOG10(F31)),10^('Equipment Data'!$B$239+'Equipment Data'!$C$239*LOG10('Equipment Data'!$F$239)+'Equipment Data'!$D$239*LOG10('Equipment Data'!$F$239)*LOG10('Equipment Data'!$F$239))*(F31/'Equipment Data'!$F$239)^K31),"N/A")</f>
        <v>86224.140117523333</v>
      </c>
      <c r="N31" s="155">
        <f t="shared" si="4"/>
        <v>61.354828652189688</v>
      </c>
      <c r="O31" s="96">
        <f>+IF(I31="CS",'Equipment Data'!$C$247,IF(I31="SS Clad",'Equipment Data'!$C$248,IF(I31="SS",'Equipment Data'!$C$249,IF(I31="Ni Clad",'Equipment Data'!$C$250,IF(I31="Ni",'Equipment Data'!$C$251,IF(I31="Ti Clad",'Equipment Data'!$C$252,IF(I31="Ti",'Equipment Data'!$C$253,"N/A")))))))</f>
        <v>1</v>
      </c>
      <c r="P31" s="153">
        <f>+'Equipment Data'!$C$244+'Equipment Data'!$D$244*N31*O31</f>
        <v>113.91578814698524</v>
      </c>
      <c r="Q31" s="153">
        <f t="shared" si="5"/>
        <v>9822290.8787837587</v>
      </c>
      <c r="R31" s="97">
        <v>1</v>
      </c>
      <c r="S31" s="193">
        <f>+IF(Tabla25879012013530638490[[#This Row],[Equipment]]="","",Q31*R31/10^6)</f>
        <v>9.8222908787837593</v>
      </c>
      <c r="T31" s="587">
        <f t="shared" ca="1" si="1"/>
        <v>15.85389905843763</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15"/>
      <c r="AR31" s="371"/>
    </row>
    <row r="32" spans="1:44" ht="16.25" customHeight="1" x14ac:dyDescent="0.2">
      <c r="A32" s="83"/>
      <c r="B32" s="103"/>
      <c r="C32" s="99" t="str">
        <f>+AB58</f>
        <v>V-601</v>
      </c>
      <c r="D32" s="208" t="s">
        <v>177</v>
      </c>
      <c r="E32" s="208" t="s">
        <v>178</v>
      </c>
      <c r="F32" s="152">
        <f>+AI58+AJ58</f>
        <v>126.73575965207027</v>
      </c>
      <c r="G32" s="96">
        <f>+AK59</f>
        <v>150</v>
      </c>
      <c r="H32" s="96" t="s">
        <v>179</v>
      </c>
      <c r="I32" s="96" t="s">
        <v>182</v>
      </c>
      <c r="J32" s="96" t="str">
        <f>+IF(F32&gt;'Equipment Data'!$F$239,"yes","No")</f>
        <v>No</v>
      </c>
      <c r="K32" s="96">
        <v>0.67</v>
      </c>
      <c r="L32" s="152">
        <f>+AG58</f>
        <v>5.1595971558409159</v>
      </c>
      <c r="M32" s="156">
        <f>+IF(AND(D32="Vessel",E32="Vertical"),IF(F32&lt;'Equipment Data'!$F$239,10^('Equipment Data'!$B$239+'Equipment Data'!$C$239*LOG10(F32)+'Equipment Data'!$D$239*LOG10(F32)*LOG10(F32)),10^('Equipment Data'!$B$239+'Equipment Data'!$C$239*LOG10('Equipment Data'!$F$239)+'Equipment Data'!$D$239*LOG10('Equipment Data'!$F$239)*LOG10('Equipment Data'!$F$239))*(F32/'Equipment Data'!$F$239)^K32),"N/A")</f>
        <v>82317.645535742558</v>
      </c>
      <c r="N32" s="155">
        <f t="shared" ref="N32:N33" si="6">+IF(L32="","Input Diameter in m",IF(G32&gt;0.5,IF(((G32*L32)/(2*(850-0.6*G32))+0.00315)/0.0063&lt;1,1,((G32*L32)/(2*(850-0.6*G32))+0.00315)/0.0063),1.25))</f>
        <v>81.32075745364844</v>
      </c>
      <c r="O32" s="96">
        <f>+IF(I32="CS",'Equipment Data'!$C$247,IF(I32="SS Clad",'Equipment Data'!$C$248,IF(I32="SS",'Equipment Data'!$C$249,IF(I32="Ni Clad",'Equipment Data'!$C$250,IF(I32="Ni",'Equipment Data'!$C$251,IF(I32="Ti Clad",'Equipment Data'!$C$252,IF(I32="Ti",'Equipment Data'!$C$253,"N/A")))))))</f>
        <v>1</v>
      </c>
      <c r="P32" s="153">
        <f>+'Equipment Data'!$C$244+'Equipment Data'!$D$244*N32*O32</f>
        <v>150.25377856564018</v>
      </c>
      <c r="Q32" s="153">
        <f t="shared" ref="Q32:Q33" si="7">+M32*P32</f>
        <v>12368537.28437232</v>
      </c>
      <c r="R32" s="97">
        <v>1</v>
      </c>
      <c r="S32" s="193">
        <f>+IF(Tabla25879012013530638490[[#This Row],[Equipment]]="","",Q32*R32/10^6)</f>
        <v>12.368537284372321</v>
      </c>
      <c r="T32" s="587">
        <f t="shared" ca="1" si="1"/>
        <v>19.963727813286035</v>
      </c>
      <c r="U32" s="83"/>
      <c r="W32" s="83"/>
      <c r="X32" s="83"/>
      <c r="Y32" s="83"/>
      <c r="Z32" s="83"/>
      <c r="AA32" s="83"/>
      <c r="AB32" s="83"/>
      <c r="AC32" s="83"/>
      <c r="AD32" s="83"/>
      <c r="AE32" s="83"/>
      <c r="AF32" s="83"/>
      <c r="AG32" s="83"/>
      <c r="AH32" s="83"/>
      <c r="AI32" s="83"/>
      <c r="AJ32" s="83"/>
      <c r="AK32" s="83"/>
      <c r="AL32" s="83"/>
      <c r="AM32" s="83"/>
      <c r="AN32" s="83"/>
      <c r="AO32" s="83"/>
      <c r="AP32" s="83"/>
      <c r="AQ32" s="215"/>
      <c r="AR32" s="371"/>
    </row>
    <row r="33" spans="1:44" ht="16.25" customHeight="1" x14ac:dyDescent="0.2">
      <c r="A33" s="83"/>
      <c r="B33" s="103"/>
      <c r="C33" s="99" t="str">
        <f>+AB59</f>
        <v>V-602</v>
      </c>
      <c r="D33" s="208" t="s">
        <v>177</v>
      </c>
      <c r="E33" s="208" t="s">
        <v>178</v>
      </c>
      <c r="F33" s="152">
        <f>+AI59+AJ59</f>
        <v>135.17782486727924</v>
      </c>
      <c r="G33" s="96">
        <f>+G32</f>
        <v>150</v>
      </c>
      <c r="H33" s="96" t="s">
        <v>179</v>
      </c>
      <c r="I33" s="96" t="s">
        <v>182</v>
      </c>
      <c r="J33" s="96" t="str">
        <f>+IF(F33&gt;'Equipment Data'!$F$239,"yes","No")</f>
        <v>No</v>
      </c>
      <c r="K33" s="96">
        <v>0.67</v>
      </c>
      <c r="L33" s="152">
        <f>+AG59</f>
        <v>5.2903320497132817</v>
      </c>
      <c r="M33" s="156">
        <f>+IF(AND(D33="Vessel",E33="Vertical"),IF(F33&lt;'Equipment Data'!$F$239,10^('Equipment Data'!$B$239+'Equipment Data'!$C$239*LOG10(F33)+'Equipment Data'!$D$239*LOG10(F33)*LOG10(F33)),10^('Equipment Data'!$B$239+'Equipment Data'!$C$239*LOG10('Equipment Data'!$F$239)+'Equipment Data'!$D$239*LOG10('Equipment Data'!$F$239)*LOG10('Equipment Data'!$F$239))*(F33/'Equipment Data'!$F$239)^K33),"N/A")</f>
        <v>87254.635994275886</v>
      </c>
      <c r="N33" s="155">
        <f t="shared" si="6"/>
        <v>83.368609801273209</v>
      </c>
      <c r="O33" s="96">
        <f>+IF(I33="CS",'Equipment Data'!$C$247,IF(I33="SS Clad",'Equipment Data'!$C$248,IF(I33="SS",'Equipment Data'!$C$249,IF(I33="Ni Clad",'Equipment Data'!$C$250,IF(I33="Ni",'Equipment Data'!$C$251,IF(I33="Ti Clad",'Equipment Data'!$C$252,IF(I33="Ti",'Equipment Data'!$C$253,"N/A")))))))</f>
        <v>1</v>
      </c>
      <c r="P33" s="153">
        <f>+'Equipment Data'!$C$244+'Equipment Data'!$D$244*N33*O33</f>
        <v>153.98086983831723</v>
      </c>
      <c r="Q33" s="153">
        <f t="shared" si="7"/>
        <v>13435544.747824345</v>
      </c>
      <c r="R33" s="97">
        <v>1</v>
      </c>
      <c r="S33" s="193">
        <f>+IF(Tabla25879012013530638490[[#This Row],[Equipment]]="","",Q33*R33/10^6)</f>
        <v>13.435544747824345</v>
      </c>
      <c r="T33" s="587">
        <f t="shared" ca="1" si="1"/>
        <v>21.685956245423711</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15"/>
      <c r="AR33" s="371"/>
    </row>
    <row r="34" spans="1:44" ht="16.25" customHeight="1" x14ac:dyDescent="0.2">
      <c r="A34" s="83"/>
      <c r="B34" s="103"/>
      <c r="C34" s="99" t="s">
        <v>486</v>
      </c>
      <c r="D34" s="208" t="s">
        <v>177</v>
      </c>
      <c r="E34" s="208" t="s">
        <v>178</v>
      </c>
      <c r="F34" s="152">
        <f>F32</f>
        <v>126.73575965207027</v>
      </c>
      <c r="G34" s="96">
        <v>1</v>
      </c>
      <c r="H34" s="96" t="s">
        <v>179</v>
      </c>
      <c r="I34" s="96" t="s">
        <v>287</v>
      </c>
      <c r="J34" s="96" t="str">
        <f>+IF(F34&gt;'Equipment Data'!$F$239,"yes","No")</f>
        <v>No</v>
      </c>
      <c r="K34" s="96">
        <v>0.67</v>
      </c>
      <c r="L34" s="152">
        <f>L32</f>
        <v>5.1595971558409159</v>
      </c>
      <c r="M34" s="156">
        <f>+IF(AND(D34="Vessel",E34="Vertical"),IF(F34&lt;'Equipment Data'!$F$239,10^('Equipment Data'!$B$239+'Equipment Data'!$C$239*LOG10(F34)+'Equipment Data'!$D$239*LOG10(F34)*LOG10(F34)),10^('Equipment Data'!$B$239+'Equipment Data'!$C$239*LOG10('Equipment Data'!$F$239)+'Equipment Data'!$D$239*LOG10('Equipment Data'!$F$239)*LOG10('Equipment Data'!$F$239))*(F34/'Equipment Data'!$F$239)^K34),"N/A")</f>
        <v>82317.645535742558</v>
      </c>
      <c r="N34" s="155">
        <f t="shared" ref="N34:N35" si="8">+IF(L34="","Input Diameter in m",IF(G34&gt;0.5,IF(((G34*L34)/(2*(850-0.6*G34))+0.00315)/0.0063&lt;1,1,((G34*L34)/(2*(850-0.6*G34))+0.00315)/0.0063),1.25))</f>
        <v>1</v>
      </c>
      <c r="O34" s="96">
        <f>+IF(I34="CS",'Equipment Data'!$C$247,IF(I34="SS Clad",'Equipment Data'!$C$248,IF(I34="SS",'Equipment Data'!$C$249,IF(I34="Ni Clad",'Equipment Data'!$C$250,IF(I34="Ni",'Equipment Data'!$C$251,IF(I34="Ti Clad",'Equipment Data'!$C$252,IF(I34="Ti",'Equipment Data'!$C$253,"N/A")))))))</f>
        <v>3.62</v>
      </c>
      <c r="P34" s="153">
        <f>+'Equipment Data'!$C$244+'Equipment Data'!$D$244*N34*O34</f>
        <v>8.8384</v>
      </c>
      <c r="Q34" s="153">
        <f t="shared" ref="Q34:Q35" si="9">+M34*P34</f>
        <v>727556.27830310701</v>
      </c>
      <c r="R34" s="97">
        <v>1</v>
      </c>
      <c r="S34" s="193">
        <f>+IF(Tabla25879012013530638490[[#This Row],[Equipment]]="","",Q34*R34/10^6)*X69</f>
        <v>1.0913344174546604</v>
      </c>
      <c r="T34" s="587">
        <f t="shared" ca="1" si="1"/>
        <v>1.76149392304165</v>
      </c>
      <c r="U34" s="83"/>
      <c r="V34" s="112"/>
      <c r="W34" s="914" t="str">
        <f>+E6&amp;" Calculations"</f>
        <v>Synthesis loop Calculations</v>
      </c>
      <c r="X34" s="915"/>
      <c r="Y34" s="915"/>
      <c r="Z34" s="915"/>
      <c r="AA34" s="915"/>
      <c r="AB34" s="915"/>
      <c r="AC34" s="915"/>
      <c r="AD34" s="915"/>
      <c r="AE34" s="915"/>
      <c r="AF34" s="915"/>
      <c r="AG34" s="915"/>
      <c r="AH34" s="915"/>
      <c r="AI34" s="915"/>
      <c r="AJ34" s="915"/>
      <c r="AK34" s="915"/>
      <c r="AL34" s="915"/>
      <c r="AM34" s="915"/>
      <c r="AN34" s="916"/>
      <c r="AO34" s="104"/>
      <c r="AP34" s="83"/>
      <c r="AQ34" s="215"/>
      <c r="AR34" s="371"/>
    </row>
    <row r="35" spans="1:44" ht="16.25" customHeight="1" x14ac:dyDescent="0.2">
      <c r="A35" s="83"/>
      <c r="B35" s="103"/>
      <c r="C35" s="99" t="s">
        <v>487</v>
      </c>
      <c r="D35" s="208" t="s">
        <v>177</v>
      </c>
      <c r="E35" s="208" t="s">
        <v>178</v>
      </c>
      <c r="F35" s="152">
        <f>F33</f>
        <v>135.17782486727924</v>
      </c>
      <c r="G35" s="96">
        <v>1</v>
      </c>
      <c r="H35" s="96" t="s">
        <v>179</v>
      </c>
      <c r="I35" s="96" t="s">
        <v>287</v>
      </c>
      <c r="J35" s="96" t="str">
        <f>+IF(F35&gt;'Equipment Data'!$F$239,"yes","No")</f>
        <v>No</v>
      </c>
      <c r="K35" s="96">
        <v>0.67</v>
      </c>
      <c r="L35" s="152">
        <f>L33</f>
        <v>5.2903320497132817</v>
      </c>
      <c r="M35" s="156">
        <f>+IF(AND(D35="Vessel",E35="Vertical"),IF(F35&lt;'Equipment Data'!$F$239,10^('Equipment Data'!$B$239+'Equipment Data'!$C$239*LOG10(F35)+'Equipment Data'!$D$239*LOG10(F35)*LOG10(F35)),10^('Equipment Data'!$B$239+'Equipment Data'!$C$239*LOG10('Equipment Data'!$F$239)+'Equipment Data'!$D$239*LOG10('Equipment Data'!$F$239)*LOG10('Equipment Data'!$F$239))*(F35/'Equipment Data'!$F$239)^K35),"N/A")</f>
        <v>87254.635994275886</v>
      </c>
      <c r="N35" s="155">
        <f t="shared" si="8"/>
        <v>1</v>
      </c>
      <c r="O35" s="96">
        <f>+IF(I35="CS",'Equipment Data'!$C$247,IF(I35="SS Clad",'Equipment Data'!$C$248,IF(I35="SS",'Equipment Data'!$C$249,IF(I35="Ni Clad",'Equipment Data'!$C$250,IF(I35="Ni",'Equipment Data'!$C$251,IF(I35="Ti Clad",'Equipment Data'!$C$252,IF(I35="Ti",'Equipment Data'!$C$253,"N/A")))))))</f>
        <v>3.62</v>
      </c>
      <c r="P35" s="153">
        <f>+'Equipment Data'!$C$244+'Equipment Data'!$D$244*N35*O35</f>
        <v>8.8384</v>
      </c>
      <c r="Q35" s="153">
        <f t="shared" si="9"/>
        <v>771191.37477180804</v>
      </c>
      <c r="R35" s="97">
        <v>1</v>
      </c>
      <c r="S35" s="193">
        <f>+IF(Tabla25879012013530638490[[#This Row],[Equipment]]="","",Q35*R35/10^6)*X69</f>
        <v>1.1567870621577119</v>
      </c>
      <c r="T35" s="587">
        <f t="shared" ca="1" si="1"/>
        <v>1.8671392999741698</v>
      </c>
      <c r="U35" s="83"/>
      <c r="V35" s="311"/>
      <c r="W35" s="395"/>
      <c r="X35" s="395"/>
      <c r="Y35" s="395"/>
      <c r="Z35" s="395"/>
      <c r="AA35" s="395"/>
      <c r="AB35" s="96"/>
      <c r="AC35" s="395"/>
      <c r="AD35" s="395"/>
      <c r="AE35" s="395"/>
      <c r="AF35" s="395"/>
      <c r="AG35" s="395"/>
      <c r="AH35" s="395"/>
      <c r="AI35" s="395"/>
      <c r="AJ35" s="395"/>
      <c r="AK35" s="395"/>
      <c r="AL35" s="395"/>
      <c r="AM35" s="395"/>
      <c r="AN35" s="395"/>
      <c r="AO35" s="104"/>
      <c r="AP35" s="83"/>
      <c r="AQ35" s="215"/>
      <c r="AR35" s="371"/>
    </row>
    <row r="36" spans="1:44" ht="16.25" customHeight="1" x14ac:dyDescent="0.2">
      <c r="A36" s="83"/>
      <c r="B36" s="103"/>
      <c r="C36" s="363"/>
      <c r="D36" s="208"/>
      <c r="E36" s="208"/>
      <c r="F36" s="158"/>
      <c r="G36" s="158"/>
      <c r="H36" s="96" t="str">
        <f>IF(Tabla27889112113631648591[[#This Row],[Subtype]]="","",VLOOKUP(Tabla27889112113631648591[[#This Row],[Subtype]],'Unit-X00 Equipment'!$E$13:$H$107,4,FALSE))</f>
        <v/>
      </c>
      <c r="I36" s="96"/>
      <c r="J36" s="96"/>
      <c r="K36" s="96"/>
      <c r="L36" s="96"/>
      <c r="M36" s="156"/>
      <c r="N36" s="96"/>
      <c r="O36" s="96"/>
      <c r="P36" s="96"/>
      <c r="Q36" s="153"/>
      <c r="R36" s="97"/>
      <c r="S36" s="193" t="str">
        <f>+IF(Tabla25879012013530638490[[#This Row],[Equipment]]="","",Q36*R36/10^6)</f>
        <v/>
      </c>
      <c r="T36" s="587" t="e">
        <f t="shared" ca="1" si="1"/>
        <v>#VALUE!</v>
      </c>
      <c r="U36" s="83"/>
      <c r="V36" s="311"/>
      <c r="W36" s="874" t="s">
        <v>194</v>
      </c>
      <c r="X36" s="875"/>
      <c r="Y36" s="876"/>
      <c r="Z36" s="874" t="s">
        <v>200</v>
      </c>
      <c r="AA36" s="876"/>
      <c r="AB36" s="874" t="s">
        <v>201</v>
      </c>
      <c r="AC36" s="876"/>
      <c r="AD36" s="318" t="s">
        <v>202</v>
      </c>
      <c r="AE36" s="181"/>
      <c r="AF36" s="181"/>
      <c r="AG36" s="181"/>
      <c r="AH36" s="181"/>
      <c r="AI36" s="181"/>
      <c r="AJ36" s="181"/>
      <c r="AK36" s="181"/>
      <c r="AL36" s="181"/>
      <c r="AM36" s="181"/>
      <c r="AN36" s="181"/>
      <c r="AO36" s="104"/>
      <c r="AP36" s="83"/>
      <c r="AQ36" s="215"/>
      <c r="AR36" s="371"/>
    </row>
    <row r="37" spans="1:44" ht="16.25" customHeight="1" x14ac:dyDescent="0.2">
      <c r="A37" s="83"/>
      <c r="B37" s="103"/>
      <c r="C37" s="363"/>
      <c r="D37" s="208"/>
      <c r="E37" s="208"/>
      <c r="F37" s="158"/>
      <c r="G37" s="158"/>
      <c r="H37" s="395" t="str">
        <f>IF(Tabla27889112113631648591[[#This Row],[Subtype]]="","",VLOOKUP(Tabla27889112113631648591[[#This Row],[Subtype]],'Unit-X00 Equipment'!$E$13:$H$107,4,FALSE))</f>
        <v/>
      </c>
      <c r="I37" s="96"/>
      <c r="J37" s="96"/>
      <c r="K37" s="96"/>
      <c r="L37" s="96"/>
      <c r="M37" s="156"/>
      <c r="N37" s="96"/>
      <c r="O37" s="96"/>
      <c r="P37" s="96"/>
      <c r="Q37" s="153"/>
      <c r="R37" s="97"/>
      <c r="S37" s="193" t="str">
        <f>+IF(Tabla25879012013530638490[[#This Row],[Equipment]]="","",Q37*R37/10^6)</f>
        <v/>
      </c>
      <c r="T37" s="587" t="e">
        <f t="shared" ca="1" si="1"/>
        <v>#VALUE!</v>
      </c>
      <c r="U37" s="83"/>
      <c r="V37" s="311"/>
      <c r="W37" s="316" t="s">
        <v>203</v>
      </c>
      <c r="X37" s="316" t="s">
        <v>204</v>
      </c>
      <c r="Y37" s="316" t="s">
        <v>205</v>
      </c>
      <c r="Z37" s="641" t="s">
        <v>206</v>
      </c>
      <c r="AA37" s="641" t="s">
        <v>207</v>
      </c>
      <c r="AB37" s="641" t="s">
        <v>206</v>
      </c>
      <c r="AC37" s="641" t="s">
        <v>207</v>
      </c>
      <c r="AD37" s="166" t="s">
        <v>208</v>
      </c>
      <c r="AE37" s="395"/>
      <c r="AF37" s="395"/>
      <c r="AG37" s="395"/>
      <c r="AH37" s="395"/>
      <c r="AI37" s="395"/>
      <c r="AJ37" s="395"/>
      <c r="AK37" s="395"/>
      <c r="AL37" s="395"/>
      <c r="AM37" s="395"/>
      <c r="AN37" s="395"/>
      <c r="AO37" s="104"/>
      <c r="AP37" s="83"/>
      <c r="AQ37" s="215"/>
      <c r="AR37" s="371"/>
    </row>
    <row r="38" spans="1:44" ht="16.25" customHeight="1" x14ac:dyDescent="0.2">
      <c r="A38" s="83"/>
      <c r="B38" s="103"/>
      <c r="C38" s="363"/>
      <c r="D38" s="208"/>
      <c r="E38" s="208"/>
      <c r="F38" s="158"/>
      <c r="G38" s="158"/>
      <c r="H38" s="395" t="str">
        <f>IF(Tabla27889112113631648591[[#This Row],[Subtype]]="","",VLOOKUP(Tabla27889112113631648591[[#This Row],[Subtype]],'Unit-X00 Equipment'!$E$13:$H$107,4,FALSE))</f>
        <v/>
      </c>
      <c r="I38" s="96"/>
      <c r="J38" s="96"/>
      <c r="K38" s="96"/>
      <c r="L38" s="96"/>
      <c r="M38" s="156"/>
      <c r="N38" s="96"/>
      <c r="O38" s="96"/>
      <c r="P38" s="96"/>
      <c r="Q38" s="153"/>
      <c r="R38" s="97"/>
      <c r="S38" s="193" t="str">
        <f>+IF(Tabla25879012013530638490[[#This Row],[Equipment]]="","",Q38*R38/10^6)</f>
        <v/>
      </c>
      <c r="T38" s="587" t="e">
        <f t="shared" ca="1" si="1"/>
        <v>#VALUE!</v>
      </c>
      <c r="U38" s="83"/>
      <c r="V38" s="311"/>
      <c r="W38" s="316" t="s">
        <v>488</v>
      </c>
      <c r="X38" s="316">
        <v>1312742.6548925501</v>
      </c>
      <c r="Y38" s="309" t="s">
        <v>343</v>
      </c>
      <c r="Z38" s="669" t="s">
        <v>341</v>
      </c>
      <c r="AA38" s="673">
        <f t="shared" ref="AA38:AA45" si="10">IF(Z38="Ph. Ch.",$Y$53,IF(Z38="Liquid",$Y$52,$Y$50*Z38^$Y$51))</f>
        <v>1500</v>
      </c>
      <c r="AB38" s="670">
        <v>150</v>
      </c>
      <c r="AC38" s="674">
        <f t="shared" ref="AC38:AC45" si="11">IF(AB38="Ph. Ch.",$Y$53,IF(AB38="Liquid",$Y$52,$Y$50*AB38^$Y$51))</f>
        <v>1334.5162691711444</v>
      </c>
      <c r="AD38" s="675">
        <f t="shared" ref="AD38:AD45" si="12">1/(1/AA38+1/AC38)</f>
        <v>706.2137640656639</v>
      </c>
      <c r="AE38" s="395"/>
      <c r="AF38" s="395"/>
      <c r="AG38" s="395"/>
      <c r="AH38" s="395"/>
      <c r="AI38" s="395"/>
      <c r="AJ38" s="608"/>
      <c r="AK38" s="608"/>
      <c r="AL38" s="608"/>
      <c r="AM38" s="608"/>
      <c r="AN38" s="395"/>
      <c r="AO38" s="84"/>
      <c r="AP38" s="83"/>
      <c r="AQ38" s="215"/>
      <c r="AR38" s="371"/>
    </row>
    <row r="39" spans="1:44" ht="16.25" customHeight="1" x14ac:dyDescent="0.2">
      <c r="A39" s="83"/>
      <c r="B39" s="103"/>
      <c r="C39" s="92"/>
      <c r="D39" s="209"/>
      <c r="E39" s="209"/>
      <c r="F39" s="588"/>
      <c r="G39" s="588"/>
      <c r="H39" s="395" t="str">
        <f>IF(Tabla27889112113631648591[[#This Row],[Subtype]]="","",VLOOKUP(Tabla27889112113631648591[[#This Row],[Subtype]],'Unit-X00 Equipment'!$E$13:$H$107,4,FALSE))</f>
        <v/>
      </c>
      <c r="M39" s="235"/>
      <c r="Q39" s="236"/>
      <c r="R39" s="84"/>
      <c r="S39" s="193" t="str">
        <f>+IF(Tabla25879012013530638490[[#This Row],[Equipment]]="","",Q39*R39/10^6)</f>
        <v/>
      </c>
      <c r="T39" s="587" t="e">
        <f t="shared" ca="1" si="1"/>
        <v>#VALUE!</v>
      </c>
      <c r="U39" s="83"/>
      <c r="V39" s="311"/>
      <c r="W39" s="316" t="s">
        <v>471</v>
      </c>
      <c r="X39" s="316">
        <v>9654604.8319384102</v>
      </c>
      <c r="Y39" s="309" t="s">
        <v>343</v>
      </c>
      <c r="Z39" s="311" t="s">
        <v>341</v>
      </c>
      <c r="AA39" s="385">
        <f t="shared" si="10"/>
        <v>1500</v>
      </c>
      <c r="AB39" s="395">
        <v>150</v>
      </c>
      <c r="AC39" s="655">
        <f t="shared" si="11"/>
        <v>1334.5162691711444</v>
      </c>
      <c r="AD39" s="662">
        <f t="shared" si="12"/>
        <v>706.2137640656639</v>
      </c>
      <c r="AE39" s="395"/>
      <c r="AF39" s="606"/>
      <c r="AG39" s="606"/>
      <c r="AH39" s="606"/>
      <c r="AI39" s="606"/>
      <c r="AJ39" s="606"/>
      <c r="AK39" s="606"/>
      <c r="AL39" s="606"/>
      <c r="AM39" s="606"/>
      <c r="AN39" s="395"/>
      <c r="AO39" s="104"/>
      <c r="AP39" s="83"/>
      <c r="AQ39" s="215"/>
      <c r="AR39" s="371"/>
    </row>
    <row r="40" spans="1:44" ht="16.25" customHeight="1" x14ac:dyDescent="0.2">
      <c r="A40" s="83"/>
      <c r="B40" s="103"/>
      <c r="C40" s="92"/>
      <c r="D40" s="209"/>
      <c r="E40" s="209"/>
      <c r="F40" s="588"/>
      <c r="G40" s="588"/>
      <c r="H40" s="395" t="str">
        <f>IF(Tabla27889112113631648591[[#This Row],[Subtype]]="","",VLOOKUP(Tabla27889112113631648591[[#This Row],[Subtype]],'Unit-X00 Equipment'!$E$13:$H$107,4,FALSE))</f>
        <v/>
      </c>
      <c r="M40" s="235"/>
      <c r="Q40" s="236"/>
      <c r="R40" s="84"/>
      <c r="S40" s="193" t="str">
        <f>+IF(Tabla25879012013530638490[[#This Row],[Equipment]]="","",Q40*R40/10^6)</f>
        <v/>
      </c>
      <c r="T40" s="587" t="e">
        <f t="shared" ca="1" si="1"/>
        <v>#VALUE!</v>
      </c>
      <c r="U40" s="83"/>
      <c r="V40" s="311"/>
      <c r="W40" s="316" t="str">
        <f t="shared" ref="W40:W45" si="13">+C19</f>
        <v>E-601</v>
      </c>
      <c r="X40" s="316">
        <v>1906429.26010455</v>
      </c>
      <c r="Y40" s="309" t="s">
        <v>343</v>
      </c>
      <c r="Z40" s="311">
        <v>150</v>
      </c>
      <c r="AA40" s="385">
        <f t="shared" si="10"/>
        <v>1334.5162691711444</v>
      </c>
      <c r="AB40" s="395">
        <v>150</v>
      </c>
      <c r="AC40" s="655">
        <f t="shared" si="11"/>
        <v>1334.5162691711444</v>
      </c>
      <c r="AD40" s="662">
        <f t="shared" si="12"/>
        <v>667.25813458557218</v>
      </c>
      <c r="AE40" s="395"/>
      <c r="AF40" s="395"/>
      <c r="AG40" s="395"/>
      <c r="AH40" s="395"/>
      <c r="AI40" s="395"/>
      <c r="AJ40" s="395"/>
      <c r="AK40" s="395"/>
      <c r="AL40" s="395"/>
      <c r="AM40" s="395"/>
      <c r="AN40" s="395"/>
      <c r="AO40" s="104"/>
      <c r="AP40" s="83"/>
      <c r="AQ40" s="215"/>
      <c r="AR40" s="371"/>
    </row>
    <row r="41" spans="1:44" ht="16.25" customHeight="1" x14ac:dyDescent="0.2">
      <c r="A41" s="83"/>
      <c r="B41" s="103"/>
      <c r="C41" s="99"/>
      <c r="D41" s="208"/>
      <c r="E41" s="208"/>
      <c r="F41" s="158"/>
      <c r="G41" s="158"/>
      <c r="H41" s="395" t="str">
        <f>IF(Tabla27889112113631648591[[#This Row],[Subtype]]="","",VLOOKUP(Tabla27889112113631648591[[#This Row],[Subtype]],'Unit-X00 Equipment'!$E$13:$H$107,4,FALSE))</f>
        <v/>
      </c>
      <c r="I41" s="96"/>
      <c r="J41" s="96"/>
      <c r="K41" s="96"/>
      <c r="L41" s="96"/>
      <c r="M41" s="156"/>
      <c r="N41" s="96"/>
      <c r="O41" s="96"/>
      <c r="P41" s="152"/>
      <c r="Q41" s="153"/>
      <c r="R41" s="97"/>
      <c r="S41" s="193" t="str">
        <f>+IF(Tabla25879012013530638490[[#This Row],[Equipment]]="","",Q41*R41/10^6)</f>
        <v/>
      </c>
      <c r="T41" s="587" t="e">
        <f t="shared" ca="1" si="1"/>
        <v>#VALUE!</v>
      </c>
      <c r="U41" s="83"/>
      <c r="V41" s="311"/>
      <c r="W41" s="316" t="str">
        <f t="shared" si="13"/>
        <v>E-602</v>
      </c>
      <c r="X41" s="316">
        <v>12122075.421020299</v>
      </c>
      <c r="Y41" s="309" t="s">
        <v>343</v>
      </c>
      <c r="Z41" s="311">
        <v>150</v>
      </c>
      <c r="AA41" s="385">
        <f>IF(Z41="Ph. Ch.",$Y$53,IF(Z41="Liquid",$Y$52,$Y$50*Z41^$Y$51))</f>
        <v>1334.5162691711444</v>
      </c>
      <c r="AB41" s="395">
        <v>150</v>
      </c>
      <c r="AC41" s="655">
        <f>IF(AB41="Ph. Ch.",$Y$53,IF(AB41="Liquid",$Y$52,$Y$50*AB41^$Y$51))</f>
        <v>1334.5162691711444</v>
      </c>
      <c r="AD41" s="662">
        <f>1/(1/AA41+1/AC41)</f>
        <v>667.25813458557218</v>
      </c>
      <c r="AE41" s="395"/>
      <c r="AF41" s="395"/>
      <c r="AG41" s="395"/>
      <c r="AH41" s="395"/>
      <c r="AI41" s="395"/>
      <c r="AJ41" s="395"/>
      <c r="AK41" s="395"/>
      <c r="AL41" s="395"/>
      <c r="AM41" s="395"/>
      <c r="AN41" s="395"/>
      <c r="AO41" s="104"/>
      <c r="AP41" s="83"/>
      <c r="AQ41" s="215"/>
      <c r="AR41" s="371"/>
    </row>
    <row r="42" spans="1:44" ht="16.25" customHeight="1" x14ac:dyDescent="0.2">
      <c r="A42" s="83"/>
      <c r="B42" s="103"/>
      <c r="C42" s="99"/>
      <c r="D42" s="208"/>
      <c r="E42" s="208"/>
      <c r="F42" s="158"/>
      <c r="G42" s="158"/>
      <c r="H42" s="395" t="str">
        <f>IF(Tabla27889112113631648591[[#This Row],[Subtype]]="","",VLOOKUP(Tabla27889112113631648591[[#This Row],[Subtype]],'Unit-X00 Equipment'!$E$13:$H$107,4,FALSE))</f>
        <v/>
      </c>
      <c r="I42" s="96"/>
      <c r="J42" s="96"/>
      <c r="K42" s="96"/>
      <c r="L42" s="96"/>
      <c r="M42" s="156"/>
      <c r="N42" s="96"/>
      <c r="O42" s="96"/>
      <c r="P42" s="158"/>
      <c r="Q42" s="153"/>
      <c r="R42" s="97"/>
      <c r="S42" s="193" t="str">
        <f>+IF(Tabla25879012013530638490[[#This Row],[Equipment]]="","",Q42*R42/10^6)</f>
        <v/>
      </c>
      <c r="T42" s="587" t="e">
        <f t="shared" ca="1" si="1"/>
        <v>#VALUE!</v>
      </c>
      <c r="U42" s="83"/>
      <c r="V42" s="311"/>
      <c r="W42" s="316" t="str">
        <f t="shared" si="13"/>
        <v>E-603</v>
      </c>
      <c r="X42" s="316">
        <v>1010772.7994187101</v>
      </c>
      <c r="Y42" s="309" t="s">
        <v>343</v>
      </c>
      <c r="Z42" s="311">
        <v>150</v>
      </c>
      <c r="AA42" s="385">
        <f t="shared" si="10"/>
        <v>1334.5162691711444</v>
      </c>
      <c r="AB42" s="395">
        <v>150</v>
      </c>
      <c r="AC42" s="655">
        <f t="shared" si="11"/>
        <v>1334.5162691711444</v>
      </c>
      <c r="AD42" s="662">
        <f t="shared" si="12"/>
        <v>667.25813458557218</v>
      </c>
      <c r="AE42" s="395"/>
      <c r="AF42" s="395"/>
      <c r="AG42" s="395"/>
      <c r="AH42" s="395"/>
      <c r="AI42" s="395"/>
      <c r="AJ42" s="395"/>
      <c r="AK42" s="395"/>
      <c r="AL42" s="395"/>
      <c r="AM42" s="395"/>
      <c r="AN42" s="395"/>
      <c r="AO42" s="104"/>
      <c r="AP42" s="83"/>
      <c r="AQ42" s="215"/>
      <c r="AR42" s="371"/>
    </row>
    <row r="43" spans="1:44" ht="16.25" customHeight="1" x14ac:dyDescent="0.2">
      <c r="A43" s="83"/>
      <c r="B43" s="103"/>
      <c r="C43" s="363"/>
      <c r="D43" s="208"/>
      <c r="E43" s="208"/>
      <c r="F43" s="158"/>
      <c r="G43" s="158"/>
      <c r="H43" s="395" t="str">
        <f>IF(Tabla27889112113631648591[[#This Row],[Subtype]]="","",VLOOKUP(Tabla27889112113631648591[[#This Row],[Subtype]],'Unit-X00 Equipment'!$E$13:$H$107,4,FALSE))</f>
        <v/>
      </c>
      <c r="I43" s="96"/>
      <c r="J43" s="96"/>
      <c r="K43" s="96"/>
      <c r="L43" s="96"/>
      <c r="M43" s="283"/>
      <c r="N43" s="275"/>
      <c r="O43" s="275"/>
      <c r="P43" s="275"/>
      <c r="Q43" s="284"/>
      <c r="R43" s="98"/>
      <c r="S43" s="193" t="str">
        <f>+IF(Tabla25879012013530638490[[#This Row],[Equipment]]="","",Q43*R43/10^6)</f>
        <v/>
      </c>
      <c r="T43" s="587" t="e">
        <f t="shared" ca="1" si="1"/>
        <v>#VALUE!</v>
      </c>
      <c r="U43" s="83"/>
      <c r="V43" s="311"/>
      <c r="W43" s="316" t="str">
        <f t="shared" si="13"/>
        <v>E-604</v>
      </c>
      <c r="X43" s="316">
        <v>4772928.5612715296</v>
      </c>
      <c r="Y43" s="309" t="s">
        <v>489</v>
      </c>
      <c r="Z43" s="311" t="s">
        <v>211</v>
      </c>
      <c r="AA43" s="385">
        <f t="shared" si="10"/>
        <v>5000</v>
      </c>
      <c r="AB43" s="395">
        <v>150</v>
      </c>
      <c r="AC43" s="655">
        <f t="shared" si="11"/>
        <v>1334.5162691711444</v>
      </c>
      <c r="AD43" s="662">
        <f t="shared" si="12"/>
        <v>1053.3687281426483</v>
      </c>
      <c r="AE43" s="395"/>
      <c r="AF43" s="395"/>
      <c r="AG43" s="395"/>
      <c r="AH43" s="395"/>
      <c r="AI43" s="395"/>
      <c r="AJ43" s="395"/>
      <c r="AK43" s="395"/>
      <c r="AL43" s="395"/>
      <c r="AM43" s="395"/>
      <c r="AN43" s="395"/>
      <c r="AO43" s="104"/>
      <c r="AP43" s="83"/>
      <c r="AQ43" s="215"/>
      <c r="AR43" s="371"/>
    </row>
    <row r="44" spans="1:44" ht="16.25" customHeight="1" x14ac:dyDescent="0.2">
      <c r="A44" s="83"/>
      <c r="B44" s="103"/>
      <c r="C44" s="364"/>
      <c r="D44" s="918" t="s">
        <v>220</v>
      </c>
      <c r="E44" s="918"/>
      <c r="F44" s="918"/>
      <c r="G44" s="918"/>
      <c r="H44" s="918"/>
      <c r="I44" s="918"/>
      <c r="J44" s="918"/>
      <c r="K44" s="918"/>
      <c r="L44" s="918"/>
      <c r="M44" s="947"/>
      <c r="N44" s="947"/>
      <c r="O44" s="947"/>
      <c r="P44" s="947"/>
      <c r="Q44" s="947"/>
      <c r="R44" s="947"/>
      <c r="S44" s="180"/>
      <c r="T44" s="587"/>
      <c r="U44" s="83"/>
      <c r="V44" s="311"/>
      <c r="W44" s="316" t="str">
        <f t="shared" si="13"/>
        <v>E-605</v>
      </c>
      <c r="X44" s="316">
        <v>78407.968884647402</v>
      </c>
      <c r="Y44" s="309" t="s">
        <v>489</v>
      </c>
      <c r="Z44" s="311" t="s">
        <v>211</v>
      </c>
      <c r="AA44" s="385">
        <f t="shared" si="10"/>
        <v>5000</v>
      </c>
      <c r="AB44" s="395">
        <v>150</v>
      </c>
      <c r="AC44" s="655">
        <f t="shared" si="11"/>
        <v>1334.5162691711444</v>
      </c>
      <c r="AD44" s="662">
        <f t="shared" si="12"/>
        <v>1053.3687281426483</v>
      </c>
      <c r="AE44" s="395"/>
      <c r="AF44" s="395"/>
      <c r="AG44" s="395"/>
      <c r="AH44" s="395"/>
      <c r="AI44" s="395"/>
      <c r="AJ44" s="395"/>
      <c r="AK44" s="395"/>
      <c r="AL44" s="395"/>
      <c r="AM44" s="395"/>
      <c r="AN44" s="395"/>
      <c r="AO44" s="104"/>
      <c r="AP44" s="83"/>
      <c r="AQ44" s="215"/>
      <c r="AR44" s="371"/>
    </row>
    <row r="45" spans="1:44" ht="16.25" customHeight="1" x14ac:dyDescent="0.2">
      <c r="A45" s="83"/>
      <c r="B45" s="103"/>
      <c r="C45" s="421" t="s">
        <v>223</v>
      </c>
      <c r="D45" s="415" t="s">
        <v>224</v>
      </c>
      <c r="E45" s="415" t="s">
        <v>225</v>
      </c>
      <c r="F45" s="571" t="s">
        <v>226</v>
      </c>
      <c r="G45" s="571" t="s">
        <v>50</v>
      </c>
      <c r="H45" s="571" t="s">
        <v>227</v>
      </c>
      <c r="I45" s="415" t="s">
        <v>228</v>
      </c>
      <c r="J45" s="415" t="s">
        <v>75</v>
      </c>
      <c r="K45" s="415" t="s">
        <v>155</v>
      </c>
      <c r="L45" s="415" t="s">
        <v>157</v>
      </c>
      <c r="M45" s="422" t="s">
        <v>229</v>
      </c>
      <c r="N45" s="423" t="s">
        <v>230</v>
      </c>
      <c r="O45" s="419" t="s">
        <v>231</v>
      </c>
      <c r="P45" s="415" t="s">
        <v>151</v>
      </c>
      <c r="Q45" s="424" t="s">
        <v>148</v>
      </c>
      <c r="R45" s="420" t="s">
        <v>144</v>
      </c>
      <c r="S45" s="420" t="s">
        <v>232</v>
      </c>
      <c r="T45" s="587"/>
      <c r="U45" s="83"/>
      <c r="V45" s="311"/>
      <c r="W45" s="316" t="str">
        <f t="shared" si="13"/>
        <v>E-606</v>
      </c>
      <c r="X45" s="316">
        <v>911931.34084608802</v>
      </c>
      <c r="Y45" s="309" t="s">
        <v>343</v>
      </c>
      <c r="Z45" s="311">
        <f>+Z42</f>
        <v>150</v>
      </c>
      <c r="AA45" s="385">
        <f t="shared" si="10"/>
        <v>1334.5162691711444</v>
      </c>
      <c r="AB45" s="395" t="s">
        <v>341</v>
      </c>
      <c r="AC45" s="655">
        <f t="shared" si="11"/>
        <v>1500</v>
      </c>
      <c r="AD45" s="662">
        <f t="shared" si="12"/>
        <v>706.2137640656639</v>
      </c>
      <c r="AE45" s="395"/>
      <c r="AF45" s="395"/>
      <c r="AG45" s="395"/>
      <c r="AH45" s="395"/>
      <c r="AI45" s="395"/>
      <c r="AJ45" s="395"/>
      <c r="AK45" s="395"/>
      <c r="AL45" s="395"/>
      <c r="AM45" s="395"/>
      <c r="AN45" s="395"/>
      <c r="AO45" s="104"/>
      <c r="AP45" s="83"/>
      <c r="AQ45" s="215"/>
      <c r="AR45" s="371"/>
    </row>
    <row r="46" spans="1:44" ht="16.25" customHeight="1" x14ac:dyDescent="0.2">
      <c r="A46" s="83"/>
      <c r="B46" s="103"/>
      <c r="C46" s="273"/>
      <c r="D46" s="276" t="s">
        <v>307</v>
      </c>
      <c r="E46" s="277"/>
      <c r="F46" s="277" t="s">
        <v>53</v>
      </c>
      <c r="G46" s="277">
        <v>2020</v>
      </c>
      <c r="H46" s="277" t="s">
        <v>48</v>
      </c>
      <c r="I46" s="277" t="s">
        <v>490</v>
      </c>
      <c r="J46" s="244" t="s">
        <v>346</v>
      </c>
      <c r="K46" s="277">
        <v>1</v>
      </c>
      <c r="L46" s="277">
        <v>1</v>
      </c>
      <c r="M46" s="276">
        <v>1</v>
      </c>
      <c r="N46" s="277">
        <v>1</v>
      </c>
      <c r="O46" s="277">
        <f>+X67/10^6</f>
        <v>2.0000000000000002E-5</v>
      </c>
      <c r="P46" s="277">
        <v>1</v>
      </c>
      <c r="Q46" s="96">
        <f>+$X$66*$X$57*(1-$X$65)</f>
        <v>109544.40000000001</v>
      </c>
      <c r="R46" s="193">
        <f t="shared" ref="R46:R50" si="14">IF(ISBLANK(Q46),"",(P46/M46)^K46*O46*((Q46/P46)/(N46/M46))^L46)</f>
        <v>2.1908880000000002</v>
      </c>
      <c r="S46" s="193" cm="1">
        <f t="array" aca="1" ref="S46" ca="1">IF(ISBLANK(Q46),"",IF(R46&gt;0,R46*INDIRECT(ADDRESS(MATCH(G46,'Cost Conversion'!$B$3:$B$48,0)+2,4,1,1,"Cost conversion"))*INDIRECT(ADDRESS(MATCH(H46,'Cost Conversion'!$F$3:$F$22,0)+2,8,1,1,"Cost conversion"))/IF(F46="$",'Cost Conversion'!$L$2,1),0))</f>
        <v>2.2171172270631292</v>
      </c>
      <c r="T46" s="587"/>
      <c r="U46" s="83"/>
      <c r="V46" s="311"/>
      <c r="W46" s="316" t="s">
        <v>491</v>
      </c>
      <c r="X46" s="316">
        <v>940993.67009485303</v>
      </c>
      <c r="Y46" s="309" t="s">
        <v>343</v>
      </c>
      <c r="Z46" s="312">
        <v>110</v>
      </c>
      <c r="AA46" s="677">
        <f t="shared" ref="AA46" si="15">IF(Z46="Ph. Ch.",$Y$53,IF(Z46="Liquid",$Y$52,$Y$50*Z46^$Y$51))</f>
        <v>1074.0756499613794</v>
      </c>
      <c r="AB46" s="652">
        <v>150</v>
      </c>
      <c r="AC46" s="678">
        <f t="shared" ref="AC46" si="16">IF(AB46="Ph. Ch.",$Y$53,IF(AB46="Liquid",$Y$52,$Y$50*AB46^$Y$51))</f>
        <v>1334.5162691711444</v>
      </c>
      <c r="AD46" s="679">
        <f t="shared" ref="AD46" si="17">1/(1/AA46+1/AC46)</f>
        <v>595.10763023329991</v>
      </c>
      <c r="AE46" s="395"/>
      <c r="AF46" s="395"/>
      <c r="AG46" s="395"/>
      <c r="AH46" s="395"/>
      <c r="AI46" s="395"/>
      <c r="AJ46" s="395"/>
      <c r="AK46" s="395"/>
      <c r="AL46" s="395"/>
      <c r="AM46" s="395"/>
      <c r="AN46" s="395"/>
      <c r="AO46" s="104"/>
      <c r="AP46" s="83"/>
      <c r="AQ46" s="215"/>
      <c r="AR46" s="371"/>
    </row>
    <row r="47" spans="1:44" ht="16.25" customHeight="1" x14ac:dyDescent="0.2">
      <c r="A47" s="83"/>
      <c r="B47" s="103"/>
      <c r="C47" s="273"/>
      <c r="D47" s="273" t="s">
        <v>492</v>
      </c>
      <c r="E47" s="96"/>
      <c r="F47" s="96" t="s">
        <v>53</v>
      </c>
      <c r="G47" s="96">
        <v>2020</v>
      </c>
      <c r="H47" s="96" t="s">
        <v>48</v>
      </c>
      <c r="I47" s="118" t="s">
        <v>490</v>
      </c>
      <c r="J47" s="118" t="s">
        <v>346</v>
      </c>
      <c r="K47" s="96">
        <v>1</v>
      </c>
      <c r="L47" s="96">
        <v>1</v>
      </c>
      <c r="M47" s="273">
        <v>1</v>
      </c>
      <c r="N47" s="96">
        <v>1</v>
      </c>
      <c r="O47" s="96">
        <f>+O46</f>
        <v>2.0000000000000002E-5</v>
      </c>
      <c r="P47" s="96">
        <v>1</v>
      </c>
      <c r="Q47" s="96">
        <f>+$X$66*$Y$57*(1-$X$65)</f>
        <v>109544.40000000001</v>
      </c>
      <c r="R47" s="193">
        <f t="shared" si="14"/>
        <v>2.1908880000000002</v>
      </c>
      <c r="S47" s="193" cm="1">
        <f t="array" aca="1" ref="S47" ca="1">IF(ISBLANK(Q47),"",IF(R47&gt;0,R47*INDIRECT(ADDRESS(MATCH(G47,'Cost Conversion'!$B$3:$B$48,0)+2,4,1,1,"Cost conversion"))*INDIRECT(ADDRESS(MATCH(H47,'Cost Conversion'!$F$3:$F$22,0)+2,8,1,1,"Cost conversion"))/IF(F47="$",'Cost Conversion'!$L$2,1),0))</f>
        <v>2.2171172270631292</v>
      </c>
      <c r="T47" s="587"/>
      <c r="U47" s="83"/>
      <c r="V47" s="311"/>
      <c r="W47" s="395"/>
      <c r="X47" s="395"/>
      <c r="Y47" s="395"/>
      <c r="Z47" s="395"/>
      <c r="AA47" s="395"/>
      <c r="AB47" s="395"/>
      <c r="AC47" s="395"/>
      <c r="AD47" s="395"/>
      <c r="AE47" s="395"/>
      <c r="AF47" s="395"/>
      <c r="AG47" s="395"/>
      <c r="AH47" s="395"/>
      <c r="AI47" s="395"/>
      <c r="AJ47" s="395"/>
      <c r="AK47" s="395"/>
      <c r="AL47" s="395"/>
      <c r="AM47" s="395"/>
      <c r="AN47" s="395"/>
      <c r="AO47" s="104"/>
      <c r="AP47" s="83"/>
      <c r="AQ47" s="215"/>
      <c r="AR47" s="371"/>
    </row>
    <row r="48" spans="1:44" ht="16.25" customHeight="1" x14ac:dyDescent="0.2">
      <c r="A48" s="83"/>
      <c r="B48" s="103"/>
      <c r="C48" s="192"/>
      <c r="D48" s="273" t="s">
        <v>493</v>
      </c>
      <c r="E48" s="96"/>
      <c r="F48" s="96" t="s">
        <v>53</v>
      </c>
      <c r="G48" s="96">
        <v>2020</v>
      </c>
      <c r="H48" s="96" t="s">
        <v>48</v>
      </c>
      <c r="I48" s="96" t="s">
        <v>490</v>
      </c>
      <c r="J48" s="96" t="s">
        <v>346</v>
      </c>
      <c r="K48" s="96">
        <v>1</v>
      </c>
      <c r="L48" s="96">
        <v>1</v>
      </c>
      <c r="M48" s="273">
        <v>1</v>
      </c>
      <c r="N48" s="96">
        <v>1</v>
      </c>
      <c r="O48" s="96">
        <f>+O47</f>
        <v>2.0000000000000002E-5</v>
      </c>
      <c r="P48" s="96">
        <v>1</v>
      </c>
      <c r="Q48" s="96">
        <f>+$X$66*$Z$57*(1-$X$65)</f>
        <v>146431.80000000002</v>
      </c>
      <c r="R48" s="193">
        <f t="shared" si="14"/>
        <v>2.9286360000000005</v>
      </c>
      <c r="S48" s="193" cm="1">
        <f t="array" aca="1" ref="S48" ca="1">IF(ISBLANK(Q48),"",IF(R48&gt;0,R48*INDIRECT(ADDRESS(MATCH(G48,'Cost Conversion'!$B$3:$B$48,0)+2,4,1,1,"Cost conversion"))*INDIRECT(ADDRESS(MATCH(H48,'Cost Conversion'!$F$3:$F$22,0)+2,8,1,1,"Cost conversion"))/IF(F48="$",'Cost Conversion'!$L$2,1),0))</f>
        <v>2.9636975178088774</v>
      </c>
      <c r="T48" s="587"/>
      <c r="U48" s="83"/>
      <c r="V48" s="103"/>
      <c r="W48" s="395"/>
      <c r="X48" s="395"/>
      <c r="Y48" s="395"/>
      <c r="Z48" s="395"/>
      <c r="AA48" s="395"/>
      <c r="AB48" s="395"/>
      <c r="AC48" s="395"/>
      <c r="AD48" s="395"/>
      <c r="AE48" s="395"/>
      <c r="AF48" s="548"/>
      <c r="AG48" s="230" t="s">
        <v>252</v>
      </c>
      <c r="AH48" s="230" t="s">
        <v>2</v>
      </c>
      <c r="AI48" s="963" t="s">
        <v>82</v>
      </c>
      <c r="AJ48" s="964"/>
      <c r="AK48" s="964"/>
      <c r="AL48" s="964"/>
      <c r="AM48" s="964"/>
      <c r="AN48" s="965"/>
      <c r="AO48" s="104"/>
      <c r="AP48" s="83"/>
      <c r="AQ48" s="215"/>
      <c r="AR48" s="371"/>
    </row>
    <row r="49" spans="1:57" ht="16.25" customHeight="1" x14ac:dyDescent="0.2">
      <c r="A49" s="83"/>
      <c r="B49" s="103"/>
      <c r="C49" s="192"/>
      <c r="D49" s="273" t="s">
        <v>234</v>
      </c>
      <c r="E49" s="96"/>
      <c r="F49" s="96" t="s">
        <v>53</v>
      </c>
      <c r="G49" s="96">
        <v>2020</v>
      </c>
      <c r="H49" s="96" t="s">
        <v>48</v>
      </c>
      <c r="I49" s="96" t="s">
        <v>494</v>
      </c>
      <c r="J49" s="96" t="s">
        <v>179</v>
      </c>
      <c r="K49" s="96">
        <v>1</v>
      </c>
      <c r="L49" s="96">
        <v>1</v>
      </c>
      <c r="M49" s="273">
        <v>1</v>
      </c>
      <c r="N49" s="96">
        <v>1</v>
      </c>
      <c r="O49" s="96">
        <f>+X71/10^6</f>
        <v>2E-3</v>
      </c>
      <c r="P49" s="96">
        <v>1</v>
      </c>
      <c r="Q49" s="158">
        <f>X72</f>
        <v>41.188075661289474</v>
      </c>
      <c r="R49" s="193">
        <f t="shared" si="14"/>
        <v>8.2376151322578944E-2</v>
      </c>
      <c r="S49" s="193" cm="1">
        <f t="array" aca="1" ref="S49" ca="1">IF(ISBLANK(Q49),"",IF(R49&gt;0,R49*INDIRECT(ADDRESS(MATCH(G49,'Cost Conversion'!$B$3:$B$48,0)+2,4,1,1,"Cost conversion"))*INDIRECT(ADDRESS(MATCH(H49,'Cost Conversion'!$F$3:$F$22,0)+2,8,1,1,"Cost conversion"))/IF(F49="$",'Cost Conversion'!$L$2,1),0))</f>
        <v>8.3362355445120398E-2</v>
      </c>
      <c r="T49" s="587"/>
      <c r="U49" s="83"/>
      <c r="V49" s="103"/>
      <c r="W49" s="966" t="s">
        <v>250</v>
      </c>
      <c r="X49" s="967"/>
      <c r="Y49" s="316" t="s">
        <v>251</v>
      </c>
      <c r="Z49" s="395"/>
      <c r="AA49" s="395"/>
      <c r="AB49" s="395"/>
      <c r="AC49" s="395"/>
      <c r="AD49" s="395"/>
      <c r="AE49" s="395"/>
      <c r="AF49" s="548"/>
      <c r="AG49" s="609"/>
      <c r="AH49" s="610"/>
      <c r="AI49" s="948"/>
      <c r="AJ49" s="949"/>
      <c r="AK49" s="949"/>
      <c r="AL49" s="949"/>
      <c r="AM49" s="949"/>
      <c r="AN49" s="950"/>
      <c r="AO49" s="104"/>
      <c r="AP49" s="83"/>
      <c r="AQ49" s="215"/>
      <c r="AR49" s="371"/>
    </row>
    <row r="50" spans="1:57" ht="16.25" customHeight="1" x14ac:dyDescent="0.2">
      <c r="A50" s="83"/>
      <c r="B50" s="103"/>
      <c r="C50" s="192"/>
      <c r="D50" s="273"/>
      <c r="E50" s="96"/>
      <c r="F50" s="96"/>
      <c r="G50" s="96"/>
      <c r="H50" s="96"/>
      <c r="I50" s="96"/>
      <c r="J50" s="96"/>
      <c r="K50" s="96"/>
      <c r="L50" s="96"/>
      <c r="M50" s="274"/>
      <c r="N50" s="275"/>
      <c r="O50" s="275"/>
      <c r="P50" s="275"/>
      <c r="Q50" s="275"/>
      <c r="R50" s="193" t="str">
        <f t="shared" si="14"/>
        <v/>
      </c>
      <c r="S50" s="193" t="str" cm="1">
        <f t="array" aca="1" ref="S50" ca="1">IF(ISBLANK(Q50),"",IF(R50&gt;0,R50*INDIRECT(ADDRESS(MATCH(G50,'Cost Conversion'!$B$3:$B$48,0)+2,4,1,1,"Cost conversion"))*INDIRECT(ADDRESS(MATCH(H50,'Cost Conversion'!$F$3:$F$22,0)+2,8,1,1,"Cost conversion"))/IF(F50="$",'Cost Conversion'!$L$2,1),0))</f>
        <v/>
      </c>
      <c r="T50" s="587"/>
      <c r="U50" s="83"/>
      <c r="V50" s="103"/>
      <c r="W50" s="968" t="s">
        <v>255</v>
      </c>
      <c r="X50" s="969"/>
      <c r="Y50" s="661">
        <v>40</v>
      </c>
      <c r="Z50" s="395"/>
      <c r="AA50" s="395"/>
      <c r="AB50" s="395"/>
      <c r="AC50" s="395"/>
      <c r="AD50" s="395"/>
      <c r="AE50" s="395"/>
      <c r="AF50" s="548"/>
      <c r="AG50" s="611"/>
      <c r="AH50" s="498"/>
      <c r="AI50" s="951"/>
      <c r="AJ50" s="952"/>
      <c r="AK50" s="952"/>
      <c r="AL50" s="952"/>
      <c r="AM50" s="952"/>
      <c r="AN50" s="953"/>
      <c r="AO50" s="104"/>
      <c r="AP50" s="83"/>
      <c r="AQ50" s="215"/>
      <c r="AR50" s="371"/>
    </row>
    <row r="51" spans="1:57" ht="16.25" customHeight="1" x14ac:dyDescent="0.2">
      <c r="A51" s="83"/>
      <c r="B51" s="103"/>
      <c r="C51" s="200"/>
      <c r="D51" s="274"/>
      <c r="E51" s="275"/>
      <c r="F51" s="275"/>
      <c r="G51" s="275"/>
      <c r="H51" s="275"/>
      <c r="I51" s="275"/>
      <c r="J51" s="275"/>
      <c r="K51" s="275"/>
      <c r="L51" s="98"/>
      <c r="M51" s="425" t="s">
        <v>272</v>
      </c>
      <c r="N51" s="418" t="s">
        <v>226</v>
      </c>
      <c r="O51" s="570" t="s">
        <v>50</v>
      </c>
      <c r="P51" s="943" t="s">
        <v>47</v>
      </c>
      <c r="Q51" s="944"/>
      <c r="R51" s="420" t="s">
        <v>273</v>
      </c>
      <c r="S51" s="426" t="s">
        <v>274</v>
      </c>
      <c r="T51" s="587"/>
      <c r="U51" s="83"/>
      <c r="V51" s="103"/>
      <c r="W51" s="892" t="s">
        <v>261</v>
      </c>
      <c r="X51" s="894"/>
      <c r="Y51" s="661">
        <v>0.7</v>
      </c>
      <c r="Z51" s="395"/>
      <c r="AA51" s="395"/>
      <c r="AB51" s="395"/>
      <c r="AC51" s="395"/>
      <c r="AD51" s="395"/>
      <c r="AE51" s="395"/>
      <c r="AF51" s="548"/>
      <c r="AG51" s="611"/>
      <c r="AH51" s="498"/>
      <c r="AI51" s="951"/>
      <c r="AJ51" s="952"/>
      <c r="AK51" s="952"/>
      <c r="AL51" s="952"/>
      <c r="AM51" s="952"/>
      <c r="AN51" s="953"/>
      <c r="AO51" s="104"/>
      <c r="AP51" s="83"/>
      <c r="AQ51" s="215"/>
      <c r="AR51" s="371"/>
    </row>
    <row r="52" spans="1:57" ht="16.25" customHeight="1" x14ac:dyDescent="0.2">
      <c r="A52" s="83"/>
      <c r="B52" s="103"/>
      <c r="C52" s="577"/>
      <c r="D52" s="365"/>
      <c r="E52" s="365"/>
      <c r="F52" s="365"/>
      <c r="G52" s="365"/>
      <c r="H52" s="365"/>
      <c r="I52" s="365"/>
      <c r="J52" s="365"/>
      <c r="K52" s="365"/>
      <c r="L52" s="573"/>
      <c r="M52" s="502" t="s">
        <v>276</v>
      </c>
      <c r="N52" s="409" t="s">
        <v>236</v>
      </c>
      <c r="O52" s="475">
        <v>2001</v>
      </c>
      <c r="P52" s="871" t="s">
        <v>237</v>
      </c>
      <c r="Q52" s="873"/>
      <c r="R52" s="427">
        <f>+IF(SUM(S13:S43)&gt;0,IF(G3="Equipment",SUM(S13:S43),"NaN"),"")</f>
        <v>88.308339738046342</v>
      </c>
      <c r="S52" s="428" cm="1">
        <f t="array" aca="1" ref="S52" ca="1">+IF(R52="","",R52*INDIRECT(ADDRESS(MATCH(O52,'Cost Conversion'!$B$3:$B$48,0)+2,4,1,1,"Cost conversion"))*INDIRECT(ADDRESS(MATCH(P52,'Cost Conversion'!$F$3:$F$22,0)+2,8,1,1,"Cost conversion"))/IF(N52="$",'Cost Conversion'!$L$2,1))</f>
        <v>142.53614777885315</v>
      </c>
      <c r="T52" s="587"/>
      <c r="U52" s="83"/>
      <c r="V52" s="103"/>
      <c r="W52" s="892" t="s">
        <v>265</v>
      </c>
      <c r="X52" s="894"/>
      <c r="Y52" s="661">
        <v>1500</v>
      </c>
      <c r="Z52" s="395"/>
      <c r="AA52" s="395"/>
      <c r="AB52" s="395"/>
      <c r="AC52" s="395"/>
      <c r="AD52" s="395"/>
      <c r="AE52" s="395"/>
      <c r="AF52" s="548"/>
      <c r="AG52" s="611"/>
      <c r="AH52" s="498"/>
      <c r="AI52" s="951"/>
      <c r="AJ52" s="952"/>
      <c r="AK52" s="952"/>
      <c r="AL52" s="952"/>
      <c r="AM52" s="952"/>
      <c r="AN52" s="953"/>
      <c r="AO52" s="104"/>
      <c r="AP52" s="83"/>
      <c r="AQ52" s="215"/>
      <c r="AR52" s="371"/>
    </row>
    <row r="53" spans="1:57" ht="16.25" customHeight="1" x14ac:dyDescent="0.2">
      <c r="A53" s="83"/>
      <c r="B53" s="103"/>
      <c r="C53" s="574"/>
      <c r="D53" s="575"/>
      <c r="E53" s="575"/>
      <c r="F53" s="575"/>
      <c r="G53" s="575"/>
      <c r="H53" s="575"/>
      <c r="I53" s="575"/>
      <c r="J53" s="575"/>
      <c r="K53" s="575"/>
      <c r="L53" s="576"/>
      <c r="M53" s="409" t="s">
        <v>278</v>
      </c>
      <c r="N53" s="127"/>
      <c r="O53" s="133"/>
      <c r="P53" s="871"/>
      <c r="Q53" s="873"/>
      <c r="R53" s="427" t="s">
        <v>187</v>
      </c>
      <c r="S53" s="428">
        <f ca="1">+IF(SUM(S46:S50)&gt;0,SUM(S46:S50),"")</f>
        <v>7.4812943273802563</v>
      </c>
      <c r="T53" s="587"/>
      <c r="U53" s="83"/>
      <c r="V53" s="103"/>
      <c r="W53" s="945" t="s">
        <v>269</v>
      </c>
      <c r="X53" s="946"/>
      <c r="Y53" s="533">
        <v>5000</v>
      </c>
      <c r="Z53" s="395"/>
      <c r="AA53" s="395"/>
      <c r="AB53" s="395"/>
      <c r="AC53" s="395"/>
      <c r="AD53" s="395"/>
      <c r="AE53" s="395"/>
      <c r="AF53" s="548"/>
      <c r="AG53" s="612"/>
      <c r="AH53" s="613"/>
      <c r="AI53" s="954"/>
      <c r="AJ53" s="955"/>
      <c r="AK53" s="955"/>
      <c r="AL53" s="955"/>
      <c r="AM53" s="955"/>
      <c r="AN53" s="956"/>
      <c r="AO53" s="104"/>
      <c r="AP53" s="83"/>
      <c r="AQ53" s="215"/>
      <c r="AR53" s="371"/>
    </row>
    <row r="54" spans="1:57" ht="16.25" customHeight="1" x14ac:dyDescent="0.2">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15"/>
      <c r="AR54" s="371"/>
    </row>
    <row r="55" spans="1:57" ht="16.25" customHeight="1" x14ac:dyDescent="0.2">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15"/>
      <c r="AR55" s="371"/>
    </row>
    <row r="56" spans="1:57" ht="16.25" customHeight="1" x14ac:dyDescent="0.2">
      <c r="A56" s="83"/>
      <c r="B56" s="917" t="str">
        <f>+"BEC Distribution: "&amp;E6</f>
        <v>BEC Distribution: Synthesis loop</v>
      </c>
      <c r="C56" s="918"/>
      <c r="D56" s="918"/>
      <c r="E56" s="918"/>
      <c r="F56" s="918"/>
      <c r="G56" s="919"/>
      <c r="H56" s="917" t="str">
        <f>+"Estimate Benchmark : "&amp;E6</f>
        <v>Estimate Benchmark : Synthesis loop</v>
      </c>
      <c r="I56" s="918"/>
      <c r="J56" s="918"/>
      <c r="K56" s="918"/>
      <c r="L56" s="918"/>
      <c r="M56" s="918"/>
      <c r="N56" s="919"/>
      <c r="O56" s="83"/>
      <c r="P56" s="83"/>
      <c r="Q56" s="83"/>
      <c r="R56" s="83"/>
      <c r="S56" s="83"/>
      <c r="T56" s="83"/>
      <c r="U56" s="83"/>
      <c r="V56" s="83"/>
      <c r="W56" s="83"/>
      <c r="X56" s="318" t="s">
        <v>495</v>
      </c>
      <c r="Y56" s="318" t="s">
        <v>496</v>
      </c>
      <c r="Z56" s="318" t="s">
        <v>497</v>
      </c>
      <c r="AA56" s="83"/>
      <c r="AB56" s="877" t="s">
        <v>423</v>
      </c>
      <c r="AC56" s="878"/>
      <c r="AD56" s="878"/>
      <c r="AE56" s="878"/>
      <c r="AF56" s="878"/>
      <c r="AG56" s="878"/>
      <c r="AH56" s="878"/>
      <c r="AI56" s="878"/>
      <c r="AJ56" s="878"/>
      <c r="AK56" s="879"/>
      <c r="AL56" s="83"/>
      <c r="AM56" s="83"/>
      <c r="AN56" s="83"/>
      <c r="AO56" s="83"/>
      <c r="AP56" s="83"/>
      <c r="AQ56" s="215"/>
      <c r="AR56" s="371"/>
    </row>
    <row r="57" spans="1:57" ht="16.25" customHeight="1" x14ac:dyDescent="0.2">
      <c r="A57" s="83"/>
      <c r="B57" s="100"/>
      <c r="C57" s="101"/>
      <c r="D57" s="101"/>
      <c r="E57" s="101"/>
      <c r="F57" s="101"/>
      <c r="G57" s="102"/>
      <c r="H57" s="100"/>
      <c r="I57" s="101"/>
      <c r="J57" s="101"/>
      <c r="K57" s="101"/>
      <c r="L57" s="101"/>
      <c r="M57" s="101"/>
      <c r="N57" s="102"/>
      <c r="O57" s="161"/>
      <c r="P57" s="376"/>
      <c r="Q57" s="376"/>
      <c r="R57" s="215"/>
      <c r="S57" s="372"/>
      <c r="T57" s="215"/>
      <c r="U57" s="215"/>
      <c r="V57" s="215"/>
      <c r="W57" s="700" t="s">
        <v>498</v>
      </c>
      <c r="X57" s="700">
        <v>88.2</v>
      </c>
      <c r="Y57" s="700">
        <v>88.2</v>
      </c>
      <c r="Z57" s="700">
        <v>117.9</v>
      </c>
      <c r="AA57" s="215"/>
      <c r="AB57" s="316" t="s">
        <v>303</v>
      </c>
      <c r="AC57" s="316" t="s">
        <v>320</v>
      </c>
      <c r="AD57" s="316" t="s">
        <v>321</v>
      </c>
      <c r="AE57" s="316" t="s">
        <v>322</v>
      </c>
      <c r="AF57" s="316" t="s">
        <v>323</v>
      </c>
      <c r="AG57" s="316" t="s">
        <v>324</v>
      </c>
      <c r="AH57" s="316" t="s">
        <v>325</v>
      </c>
      <c r="AI57" s="249" t="s">
        <v>326</v>
      </c>
      <c r="AJ57" s="651" t="s">
        <v>327</v>
      </c>
      <c r="AK57" s="671" t="s">
        <v>328</v>
      </c>
      <c r="AL57" s="215"/>
      <c r="AM57" s="215"/>
      <c r="AN57" s="215"/>
      <c r="AO57" s="215"/>
      <c r="AP57" s="215"/>
      <c r="AQ57" s="215"/>
      <c r="AR57" s="371"/>
      <c r="AS57" s="372"/>
      <c r="AT57" s="372"/>
      <c r="AU57" s="372"/>
      <c r="AV57" s="372"/>
      <c r="AW57" s="372"/>
      <c r="AX57" s="372"/>
      <c r="AY57" s="372"/>
      <c r="AZ57" s="372"/>
      <c r="BA57" s="372"/>
      <c r="BB57" s="372"/>
      <c r="BC57" s="372"/>
      <c r="BD57" s="372"/>
      <c r="BE57" s="372"/>
    </row>
    <row r="58" spans="1:57" ht="16.25" customHeight="1" x14ac:dyDescent="0.2">
      <c r="A58" s="83"/>
      <c r="B58" s="103"/>
      <c r="C58" s="83"/>
      <c r="D58" s="83"/>
      <c r="E58" s="83"/>
      <c r="F58" s="83"/>
      <c r="G58" s="104"/>
      <c r="H58" s="103"/>
      <c r="I58" s="83"/>
      <c r="J58" s="83"/>
      <c r="K58" s="83"/>
      <c r="L58" s="83"/>
      <c r="M58" s="83"/>
      <c r="N58" s="104"/>
      <c r="O58" s="164"/>
      <c r="P58" s="376"/>
      <c r="Q58" s="376"/>
      <c r="R58" s="215"/>
      <c r="S58" s="372"/>
      <c r="T58" s="215"/>
      <c r="U58" s="215"/>
      <c r="V58" s="215"/>
      <c r="W58" s="700" t="s">
        <v>499</v>
      </c>
      <c r="X58" s="700">
        <v>3</v>
      </c>
      <c r="Y58" s="700">
        <v>3</v>
      </c>
      <c r="Z58" s="700">
        <v>3</v>
      </c>
      <c r="AA58" s="215"/>
      <c r="AB58" s="316" t="s">
        <v>500</v>
      </c>
      <c r="AC58" s="648">
        <f>8321.28751835817/3600</f>
        <v>2.3114687550994915</v>
      </c>
      <c r="AD58" s="648">
        <f>113.140031240415/3600</f>
        <v>3.1427786455670834E-2</v>
      </c>
      <c r="AE58" s="648">
        <v>660.37307252521498</v>
      </c>
      <c r="AF58" s="648">
        <v>66.189992464398699</v>
      </c>
      <c r="AG58" s="249">
        <f>+(AH58*4/PI())^0.5</f>
        <v>5.1595971558409159</v>
      </c>
      <c r="AH58" s="648">
        <f>+AC58/(0.035*(AE58/AF58)^0.5)</f>
        <v>20.90843229040534</v>
      </c>
      <c r="AI58" s="648">
        <f>+AH58*(4*AH58/PI())^0.5</f>
        <v>107.87908777866777</v>
      </c>
      <c r="AJ58" s="648">
        <f>600*AD58</f>
        <v>18.856671873402501</v>
      </c>
      <c r="AK58" s="671">
        <v>150</v>
      </c>
      <c r="AL58" s="215"/>
      <c r="AM58" s="215"/>
      <c r="AN58" s="215"/>
      <c r="AO58" s="215"/>
      <c r="AP58" s="215"/>
      <c r="AQ58" s="215"/>
      <c r="AR58" s="371"/>
      <c r="AS58" s="372"/>
      <c r="AT58" s="372"/>
      <c r="AU58" s="372"/>
      <c r="AV58" s="372"/>
      <c r="AW58" s="372"/>
      <c r="AX58" s="372"/>
      <c r="AY58" s="372"/>
      <c r="AZ58" s="372"/>
      <c r="BA58" s="372"/>
      <c r="BB58" s="372"/>
      <c r="BC58" s="372"/>
      <c r="BD58" s="372"/>
      <c r="BE58" s="372"/>
    </row>
    <row r="59" spans="1:57" ht="16.25" customHeight="1" x14ac:dyDescent="0.2">
      <c r="A59" s="83"/>
      <c r="B59" s="103"/>
      <c r="C59" s="83"/>
      <c r="D59" s="83"/>
      <c r="E59" s="83"/>
      <c r="F59" s="83"/>
      <c r="G59" s="104"/>
      <c r="H59" s="103"/>
      <c r="I59" s="83"/>
      <c r="J59" s="83"/>
      <c r="K59" s="83"/>
      <c r="L59" s="83"/>
      <c r="M59" s="83"/>
      <c r="N59" s="104"/>
      <c r="O59" s="160"/>
      <c r="P59" s="215"/>
      <c r="Q59" s="215"/>
      <c r="R59" s="215"/>
      <c r="S59" s="215"/>
      <c r="T59" s="215"/>
      <c r="U59" s="372"/>
      <c r="V59" s="372"/>
      <c r="W59" s="458" t="s">
        <v>501</v>
      </c>
      <c r="X59" s="542">
        <v>3.34517736670667</v>
      </c>
      <c r="Y59" s="542">
        <v>3.34517736670667</v>
      </c>
      <c r="Z59" s="542">
        <v>3.68497226115579</v>
      </c>
      <c r="AA59" s="372"/>
      <c r="AB59" s="86" t="s">
        <v>502</v>
      </c>
      <c r="AC59" s="648">
        <f>8333.16202857895/3600</f>
        <v>2.3147672301608195</v>
      </c>
      <c r="AD59" s="648">
        <f>113.332884788841/3600</f>
        <v>3.1481356885789166E-2</v>
      </c>
      <c r="AE59" s="648">
        <v>600.28564763960105</v>
      </c>
      <c r="AF59" s="648">
        <v>66.3118106454708</v>
      </c>
      <c r="AG59" s="249">
        <f>+(AH59*4/PI())^0.5</f>
        <v>5.2903320497132817</v>
      </c>
      <c r="AH59" s="648">
        <f>+AC59/(0.035*(AE59/AF59)^0.5)</f>
        <v>21.981420002192152</v>
      </c>
      <c r="AI59" s="648">
        <f>+AH59*(4*AH59/PI())^0.5</f>
        <v>116.28901073580573</v>
      </c>
      <c r="AJ59" s="648">
        <f>600*AD59</f>
        <v>18.888814131473499</v>
      </c>
      <c r="AK59" s="671">
        <v>150</v>
      </c>
      <c r="AL59" s="215"/>
      <c r="AM59" s="215"/>
      <c r="AN59" s="215"/>
      <c r="AO59" s="215"/>
      <c r="AP59" s="215"/>
      <c r="AQ59" s="215"/>
      <c r="AR59" s="371"/>
      <c r="AS59" s="372"/>
      <c r="AT59" s="372"/>
      <c r="AU59" s="372"/>
      <c r="AV59" s="372"/>
      <c r="AW59" s="372"/>
      <c r="AX59" s="372"/>
      <c r="AY59" s="372"/>
      <c r="AZ59" s="372"/>
      <c r="BA59" s="372"/>
      <c r="BB59" s="372"/>
      <c r="BC59" s="372"/>
      <c r="BD59" s="372"/>
      <c r="BE59" s="372"/>
    </row>
    <row r="60" spans="1:57" ht="16.25" customHeight="1" x14ac:dyDescent="0.2">
      <c r="A60" s="83"/>
      <c r="B60" s="103"/>
      <c r="C60" s="83"/>
      <c r="D60" s="83"/>
      <c r="E60" s="83"/>
      <c r="F60" s="83"/>
      <c r="G60" s="104"/>
      <c r="H60" s="103"/>
      <c r="I60" s="83"/>
      <c r="J60" s="83"/>
      <c r="K60" s="83"/>
      <c r="L60" s="83"/>
      <c r="M60" s="83"/>
      <c r="N60" s="104"/>
      <c r="O60" s="83"/>
      <c r="P60" s="215"/>
      <c r="Q60" s="215"/>
      <c r="R60" s="215"/>
      <c r="S60" s="215"/>
      <c r="T60" s="215"/>
      <c r="U60" s="372"/>
      <c r="V60" s="372"/>
      <c r="W60" s="458" t="s">
        <v>503</v>
      </c>
      <c r="X60" s="542">
        <v>10.035532098236001</v>
      </c>
      <c r="Y60" s="542">
        <v>10.035532098236001</v>
      </c>
      <c r="Z60" s="542">
        <v>11.054916781392</v>
      </c>
      <c r="AA60" s="372"/>
      <c r="AB60" s="372"/>
      <c r="AC60" s="215"/>
      <c r="AD60" s="215"/>
      <c r="AE60" s="215"/>
      <c r="AF60" s="215"/>
      <c r="AG60" s="215"/>
      <c r="AH60" s="215"/>
      <c r="AI60" s="215"/>
      <c r="AJ60" s="215"/>
      <c r="AK60" s="215"/>
      <c r="AL60" s="215"/>
      <c r="AM60" s="215"/>
      <c r="AN60" s="215"/>
      <c r="AO60" s="215"/>
      <c r="AP60" s="215"/>
      <c r="AQ60" s="215"/>
      <c r="AR60" s="371"/>
      <c r="AS60" s="372"/>
      <c r="AT60" s="372"/>
      <c r="AU60" s="372"/>
      <c r="AV60" s="372"/>
      <c r="AW60" s="372"/>
      <c r="AX60" s="372"/>
      <c r="AY60" s="372"/>
      <c r="AZ60" s="372"/>
      <c r="BA60" s="372"/>
      <c r="BB60" s="372"/>
      <c r="BC60" s="372"/>
      <c r="BD60" s="372"/>
      <c r="BE60" s="372"/>
    </row>
    <row r="61" spans="1:57" ht="16.25" customHeight="1" x14ac:dyDescent="0.2">
      <c r="A61" s="83"/>
      <c r="B61" s="103"/>
      <c r="C61" s="83"/>
      <c r="D61" s="83"/>
      <c r="E61" s="83"/>
      <c r="F61" s="83"/>
      <c r="G61" s="104"/>
      <c r="H61" s="103"/>
      <c r="I61" s="83"/>
      <c r="J61" s="83"/>
      <c r="K61" s="83"/>
      <c r="L61" s="83"/>
      <c r="M61" s="83"/>
      <c r="N61" s="104"/>
      <c r="O61" s="83"/>
      <c r="P61" s="215"/>
      <c r="Q61" s="215"/>
      <c r="R61" s="215"/>
      <c r="S61" s="215"/>
      <c r="T61" s="215"/>
      <c r="U61" s="372"/>
      <c r="V61" s="372"/>
      <c r="W61" s="458" t="s">
        <v>504</v>
      </c>
      <c r="X61" s="542">
        <f>X62*X62*PI()/4*X63</f>
        <v>101.03602272560751</v>
      </c>
      <c r="Y61" s="542">
        <f t="shared" ref="Y61:Z61" si="18">Y62*Y62*PI()/4*Y63</f>
        <v>101.03602272560751</v>
      </c>
      <c r="Z61" s="542">
        <f t="shared" si="18"/>
        <v>133.41603021007444</v>
      </c>
      <c r="AA61" s="372"/>
      <c r="AB61" s="372"/>
      <c r="AC61" s="215"/>
      <c r="AD61" s="215"/>
      <c r="AE61" s="215"/>
      <c r="AF61" s="215"/>
      <c r="AG61" s="215"/>
      <c r="AH61" s="215"/>
      <c r="AI61" s="215"/>
      <c r="AJ61" s="215"/>
      <c r="AK61" s="215"/>
      <c r="AL61" s="215"/>
      <c r="AM61" s="215"/>
      <c r="AN61" s="215"/>
      <c r="AO61" s="215"/>
      <c r="AP61" s="215"/>
      <c r="AQ61" s="215"/>
      <c r="AR61" s="371"/>
      <c r="AS61" s="372"/>
      <c r="AT61" s="372"/>
      <c r="AU61" s="372"/>
      <c r="AV61" s="372"/>
      <c r="AW61" s="372"/>
      <c r="AX61" s="372"/>
      <c r="AY61" s="372"/>
      <c r="AZ61" s="372"/>
      <c r="BA61" s="372"/>
      <c r="BB61" s="372"/>
      <c r="BC61" s="372"/>
      <c r="BD61" s="372"/>
      <c r="BE61" s="372"/>
    </row>
    <row r="62" spans="1:57" ht="16.25" customHeight="1" x14ac:dyDescent="0.2">
      <c r="A62" s="83"/>
      <c r="B62" s="103"/>
      <c r="C62" s="83"/>
      <c r="D62" s="83"/>
      <c r="E62" s="83"/>
      <c r="F62" s="83"/>
      <c r="G62" s="104"/>
      <c r="H62" s="103"/>
      <c r="I62" s="83"/>
      <c r="J62" s="83"/>
      <c r="K62" s="83"/>
      <c r="L62" s="83"/>
      <c r="M62" s="83"/>
      <c r="N62" s="104"/>
      <c r="O62" s="83"/>
      <c r="P62" s="215"/>
      <c r="Q62" s="215"/>
      <c r="R62" s="215"/>
      <c r="S62" s="215"/>
      <c r="T62" s="376"/>
      <c r="U62" s="372"/>
      <c r="V62" s="372"/>
      <c r="W62" s="458" t="s">
        <v>505</v>
      </c>
      <c r="X62" s="542">
        <f>X59+2*$X$70</f>
        <v>3.5451773667066702</v>
      </c>
      <c r="Y62" s="542">
        <f t="shared" ref="Y62:Z62" si="19">Y59+2*$X$70</f>
        <v>3.5451773667066702</v>
      </c>
      <c r="Z62" s="542">
        <f t="shared" si="19"/>
        <v>3.8849722611557902</v>
      </c>
      <c r="AA62" s="372"/>
      <c r="AB62" s="372"/>
      <c r="AC62" s="215"/>
      <c r="AD62" s="215"/>
      <c r="AE62" s="215"/>
      <c r="AF62" s="215"/>
      <c r="AG62" s="215"/>
      <c r="AH62" s="215"/>
      <c r="AI62" s="215"/>
      <c r="AJ62" s="215"/>
      <c r="AK62" s="215"/>
      <c r="AL62" s="215"/>
      <c r="AM62" s="215"/>
      <c r="AN62" s="215"/>
      <c r="AO62" s="215"/>
      <c r="AP62" s="215"/>
      <c r="AQ62" s="215"/>
      <c r="AR62" s="371"/>
      <c r="AS62" s="372"/>
      <c r="AT62" s="372"/>
      <c r="AU62" s="372"/>
      <c r="AV62" s="372"/>
      <c r="AW62" s="372"/>
      <c r="AX62" s="372"/>
      <c r="AY62" s="372"/>
      <c r="AZ62" s="372"/>
      <c r="BA62" s="372"/>
      <c r="BB62" s="372"/>
      <c r="BC62" s="372"/>
      <c r="BD62" s="372"/>
      <c r="BE62" s="372"/>
    </row>
    <row r="63" spans="1:57" ht="16.25" customHeight="1" x14ac:dyDescent="0.2">
      <c r="A63" s="83"/>
      <c r="B63" s="103"/>
      <c r="C63" s="83"/>
      <c r="D63" s="83"/>
      <c r="E63" s="83"/>
      <c r="F63" s="83"/>
      <c r="G63" s="104"/>
      <c r="H63" s="103"/>
      <c r="I63" s="83"/>
      <c r="J63" s="83"/>
      <c r="K63" s="83"/>
      <c r="L63" s="83"/>
      <c r="M63" s="83"/>
      <c r="N63" s="104"/>
      <c r="O63" s="83"/>
      <c r="P63" s="215"/>
      <c r="Q63" s="215"/>
      <c r="R63" s="215"/>
      <c r="S63" s="215"/>
      <c r="T63" s="376"/>
      <c r="U63" s="372"/>
      <c r="V63" s="372"/>
      <c r="W63" s="458" t="s">
        <v>506</v>
      </c>
      <c r="X63" s="542">
        <f>X60+2*$X$70</f>
        <v>10.235532098236</v>
      </c>
      <c r="Y63" s="542">
        <f t="shared" ref="Y63:Z63" si="20">Y60+2*$X$70</f>
        <v>10.235532098236</v>
      </c>
      <c r="Z63" s="542">
        <f t="shared" si="20"/>
        <v>11.254916781392</v>
      </c>
      <c r="AA63" s="372"/>
      <c r="AB63" s="372"/>
      <c r="AC63" s="215"/>
      <c r="AD63" s="215"/>
      <c r="AE63" s="215"/>
      <c r="AF63" s="215"/>
      <c r="AG63" s="215"/>
      <c r="AH63" s="215"/>
      <c r="AI63" s="215"/>
      <c r="AJ63" s="215"/>
      <c r="AK63" s="215"/>
      <c r="AL63" s="215"/>
      <c r="AM63" s="215"/>
      <c r="AN63" s="215"/>
      <c r="AO63" s="215"/>
      <c r="AP63" s="215"/>
      <c r="AQ63" s="215"/>
      <c r="AR63" s="371"/>
      <c r="AS63" s="372"/>
      <c r="AT63" s="372"/>
      <c r="AU63" s="372"/>
      <c r="AV63" s="372"/>
      <c r="AW63" s="372"/>
      <c r="AX63" s="372"/>
      <c r="AY63" s="372"/>
      <c r="AZ63" s="372"/>
      <c r="BA63" s="372"/>
      <c r="BB63" s="372"/>
      <c r="BC63" s="372"/>
      <c r="BD63" s="372"/>
      <c r="BE63" s="372"/>
    </row>
    <row r="64" spans="1:57" ht="16.25" customHeight="1" x14ac:dyDescent="0.2">
      <c r="A64" s="83"/>
      <c r="B64" s="103"/>
      <c r="C64" s="83"/>
      <c r="D64" s="83"/>
      <c r="E64" s="83"/>
      <c r="F64" s="83"/>
      <c r="G64" s="104"/>
      <c r="H64" s="103"/>
      <c r="I64" s="83"/>
      <c r="J64" s="83"/>
      <c r="K64" s="83"/>
      <c r="L64" s="83"/>
      <c r="M64" s="83"/>
      <c r="N64" s="104"/>
      <c r="O64" s="83"/>
      <c r="P64" s="215"/>
      <c r="Q64" s="215"/>
      <c r="R64" s="215"/>
      <c r="S64" s="215"/>
      <c r="T64" s="215"/>
      <c r="U64" s="372"/>
      <c r="V64" s="372"/>
      <c r="W64" s="819" t="s">
        <v>454</v>
      </c>
      <c r="X64" s="820">
        <v>1.5</v>
      </c>
      <c r="Y64" s="821">
        <v>1.5</v>
      </c>
      <c r="Z64" s="822">
        <v>1.5</v>
      </c>
      <c r="AA64" s="372"/>
      <c r="AB64" s="372"/>
      <c r="AC64" s="215"/>
      <c r="AD64" s="215"/>
      <c r="AE64" s="215"/>
      <c r="AF64" s="215"/>
      <c r="AG64" s="215"/>
      <c r="AH64" s="215"/>
      <c r="AI64" s="215"/>
      <c r="AJ64" s="215"/>
      <c r="AK64" s="215"/>
      <c r="AL64" s="215"/>
      <c r="AM64" s="215"/>
      <c r="AN64" s="215"/>
      <c r="AO64" s="215"/>
      <c r="AP64" s="215"/>
      <c r="AQ64" s="215"/>
      <c r="AR64" s="371"/>
      <c r="AS64" s="372"/>
      <c r="AT64" s="372"/>
      <c r="AU64" s="372"/>
      <c r="AV64" s="372"/>
      <c r="AW64" s="372"/>
      <c r="AX64" s="372"/>
      <c r="AY64" s="372"/>
      <c r="AZ64" s="372"/>
      <c r="BA64" s="372"/>
      <c r="BB64" s="372"/>
      <c r="BC64" s="372"/>
      <c r="BD64" s="372"/>
      <c r="BE64" s="372"/>
    </row>
    <row r="65" spans="1:57" ht="16.25" customHeight="1" x14ac:dyDescent="0.2">
      <c r="A65" s="83"/>
      <c r="B65" s="103"/>
      <c r="C65" s="83"/>
      <c r="D65" s="83"/>
      <c r="E65" s="83"/>
      <c r="F65" s="83"/>
      <c r="G65" s="104"/>
      <c r="H65" s="103"/>
      <c r="I65" s="83"/>
      <c r="J65" s="83"/>
      <c r="K65" s="83"/>
      <c r="L65" s="83"/>
      <c r="M65" s="83"/>
      <c r="N65" s="104"/>
      <c r="O65" s="83"/>
      <c r="P65" s="215"/>
      <c r="Q65" s="215"/>
      <c r="R65" s="215"/>
      <c r="S65" s="215"/>
      <c r="T65" s="215"/>
      <c r="U65" s="372"/>
      <c r="V65" s="372"/>
      <c r="W65" s="458" t="s">
        <v>311</v>
      </c>
      <c r="X65" s="823">
        <v>0.46</v>
      </c>
      <c r="Y65" s="824" t="s">
        <v>187</v>
      </c>
      <c r="Z65" s="372"/>
      <c r="AA65" s="372"/>
      <c r="AB65" s="372"/>
      <c r="AC65" s="215"/>
      <c r="AD65" s="215"/>
      <c r="AE65" s="215"/>
      <c r="AF65" s="215"/>
      <c r="AG65" s="215"/>
      <c r="AH65" s="215"/>
      <c r="AI65" s="215"/>
      <c r="AJ65" s="215"/>
      <c r="AK65" s="215"/>
      <c r="AL65" s="215"/>
      <c r="AM65" s="215"/>
      <c r="AN65" s="215"/>
      <c r="AO65" s="215"/>
      <c r="AP65" s="215"/>
      <c r="AQ65" s="215"/>
      <c r="AR65" s="371"/>
      <c r="AS65" s="372"/>
      <c r="AT65" s="372"/>
      <c r="AU65" s="372"/>
      <c r="AV65" s="372"/>
      <c r="AW65" s="372"/>
      <c r="AX65" s="372"/>
      <c r="AY65" s="372"/>
      <c r="AZ65" s="372"/>
      <c r="BA65" s="372"/>
      <c r="BB65" s="372"/>
      <c r="BC65" s="372"/>
      <c r="BD65" s="372"/>
      <c r="BE65" s="372"/>
    </row>
    <row r="66" spans="1:57" ht="16.25" customHeight="1" x14ac:dyDescent="0.2">
      <c r="A66" s="83"/>
      <c r="B66" s="103"/>
      <c r="C66" s="83"/>
      <c r="D66" s="83"/>
      <c r="E66" s="83"/>
      <c r="F66" s="83"/>
      <c r="G66" s="104"/>
      <c r="H66" s="103"/>
      <c r="I66" s="83"/>
      <c r="J66" s="83"/>
      <c r="K66" s="83"/>
      <c r="L66" s="83"/>
      <c r="M66" s="83"/>
      <c r="N66" s="104"/>
      <c r="O66" s="83"/>
      <c r="P66" s="215"/>
      <c r="Q66" s="215"/>
      <c r="R66" s="215"/>
      <c r="S66" s="215"/>
      <c r="T66" s="215"/>
      <c r="U66" s="372"/>
      <c r="V66" s="372"/>
      <c r="W66" s="458" t="s">
        <v>507</v>
      </c>
      <c r="X66" s="542">
        <v>2300</v>
      </c>
      <c r="Y66" s="542" t="s">
        <v>268</v>
      </c>
      <c r="Z66" s="372"/>
      <c r="AA66" s="372"/>
      <c r="AB66" s="372"/>
      <c r="AC66" s="215"/>
      <c r="AD66" s="215"/>
      <c r="AE66" s="215"/>
      <c r="AF66" s="215"/>
      <c r="AG66" s="215"/>
      <c r="AH66" s="215"/>
      <c r="AI66" s="215"/>
      <c r="AJ66" s="215"/>
      <c r="AK66" s="215"/>
      <c r="AL66" s="215"/>
      <c r="AM66" s="215"/>
      <c r="AN66" s="215"/>
      <c r="AO66" s="215"/>
      <c r="AP66" s="215"/>
      <c r="AQ66" s="215"/>
      <c r="AR66" s="371"/>
      <c r="AS66" s="372"/>
      <c r="AT66" s="372"/>
      <c r="AU66" s="372"/>
      <c r="AV66" s="372"/>
      <c r="AW66" s="372"/>
      <c r="AX66" s="372"/>
      <c r="AY66" s="372"/>
      <c r="AZ66" s="372"/>
      <c r="BA66" s="372"/>
      <c r="BB66" s="372"/>
      <c r="BC66" s="372"/>
      <c r="BD66" s="372"/>
      <c r="BE66" s="372"/>
    </row>
    <row r="67" spans="1:57" ht="16.25" customHeight="1" x14ac:dyDescent="0.2">
      <c r="A67" s="83"/>
      <c r="B67" s="103"/>
      <c r="C67" s="83"/>
      <c r="D67" s="83"/>
      <c r="E67" s="83"/>
      <c r="F67" s="83"/>
      <c r="G67" s="104"/>
      <c r="H67" s="103"/>
      <c r="I67" s="83"/>
      <c r="J67" s="83"/>
      <c r="K67" s="83"/>
      <c r="L67" s="83"/>
      <c r="M67" s="83"/>
      <c r="N67" s="104"/>
      <c r="O67" s="83"/>
      <c r="P67" s="215"/>
      <c r="Q67" s="215"/>
      <c r="R67" s="215"/>
      <c r="S67" s="215"/>
      <c r="T67" s="215"/>
      <c r="U67" s="372"/>
      <c r="V67" s="372"/>
      <c r="W67" s="458" t="s">
        <v>508</v>
      </c>
      <c r="X67" s="542">
        <v>20</v>
      </c>
      <c r="Y67" s="542" t="s">
        <v>509</v>
      </c>
      <c r="Z67" s="372"/>
      <c r="AA67" s="372"/>
      <c r="AB67" s="372"/>
      <c r="AC67" s="215"/>
      <c r="AD67" s="215"/>
      <c r="AE67" s="215"/>
      <c r="AF67" s="215"/>
      <c r="AG67" s="215"/>
      <c r="AH67" s="215"/>
      <c r="AI67" s="215"/>
      <c r="AJ67" s="215"/>
      <c r="AK67" s="215"/>
      <c r="AL67" s="215"/>
      <c r="AM67" s="215"/>
      <c r="AN67" s="215"/>
      <c r="AO67" s="215"/>
      <c r="AP67" s="215"/>
      <c r="AQ67" s="215"/>
      <c r="AR67" s="371"/>
      <c r="AS67" s="372"/>
      <c r="AT67" s="372"/>
      <c r="AU67" s="372"/>
      <c r="AV67" s="372"/>
      <c r="AW67" s="372"/>
      <c r="AX67" s="372"/>
      <c r="AY67" s="372"/>
      <c r="AZ67" s="372"/>
      <c r="BA67" s="372"/>
      <c r="BB67" s="372"/>
      <c r="BC67" s="372"/>
      <c r="BD67" s="372"/>
      <c r="BE67" s="372"/>
    </row>
    <row r="68" spans="1:57" ht="16.25" customHeight="1" x14ac:dyDescent="0.2">
      <c r="A68" s="83"/>
      <c r="B68" s="103"/>
      <c r="C68" s="83"/>
      <c r="D68" s="83"/>
      <c r="E68" s="83"/>
      <c r="F68" s="83"/>
      <c r="G68" s="104"/>
      <c r="H68" s="103"/>
      <c r="I68" s="83"/>
      <c r="J68" s="83"/>
      <c r="K68" s="83"/>
      <c r="L68" s="83"/>
      <c r="M68" s="83"/>
      <c r="N68" s="104"/>
      <c r="O68" s="161"/>
      <c r="P68" s="376"/>
      <c r="Q68" s="376"/>
      <c r="R68" s="376"/>
      <c r="S68" s="376"/>
      <c r="T68" s="376"/>
      <c r="U68" s="825"/>
      <c r="V68" s="826"/>
      <c r="W68" s="458" t="s">
        <v>510</v>
      </c>
      <c r="X68" s="542">
        <v>1</v>
      </c>
      <c r="Y68" s="542" t="s">
        <v>187</v>
      </c>
      <c r="Z68" s="372"/>
      <c r="AA68" s="372"/>
      <c r="AB68" s="372"/>
      <c r="AC68" s="215"/>
      <c r="AD68" s="215"/>
      <c r="AE68" s="215"/>
      <c r="AF68" s="215"/>
      <c r="AG68" s="215"/>
      <c r="AH68" s="215"/>
      <c r="AI68" s="215"/>
      <c r="AJ68" s="215"/>
      <c r="AK68" s="215"/>
      <c r="AL68" s="215"/>
      <c r="AM68" s="215"/>
      <c r="AN68" s="215"/>
      <c r="AO68" s="215"/>
      <c r="AP68" s="215"/>
      <c r="AQ68" s="215"/>
      <c r="AR68" s="371"/>
      <c r="AS68" s="372"/>
      <c r="AT68" s="372"/>
      <c r="AU68" s="372"/>
      <c r="AV68" s="372"/>
      <c r="AW68" s="372"/>
      <c r="AX68" s="372"/>
      <c r="AY68" s="372"/>
      <c r="AZ68" s="372"/>
      <c r="BA68" s="372"/>
      <c r="BB68" s="372"/>
      <c r="BC68" s="372"/>
      <c r="BD68" s="372"/>
      <c r="BE68" s="372"/>
    </row>
    <row r="69" spans="1:57" ht="16.25" customHeight="1" x14ac:dyDescent="0.2">
      <c r="A69" s="83"/>
      <c r="B69" s="103"/>
      <c r="C69" s="83"/>
      <c r="D69" s="83"/>
      <c r="E69" s="83"/>
      <c r="F69" s="83"/>
      <c r="G69" s="104"/>
      <c r="H69" s="103"/>
      <c r="I69" s="83"/>
      <c r="J69" s="83"/>
      <c r="K69" s="83"/>
      <c r="L69" s="83"/>
      <c r="M69" s="83"/>
      <c r="N69" s="104"/>
      <c r="O69" s="161"/>
      <c r="P69" s="376"/>
      <c r="Q69" s="376"/>
      <c r="R69" s="376"/>
      <c r="S69" s="376"/>
      <c r="T69" s="376"/>
      <c r="U69" s="827"/>
      <c r="V69" s="827"/>
      <c r="W69" s="458" t="s">
        <v>318</v>
      </c>
      <c r="X69" s="542">
        <v>1.5</v>
      </c>
      <c r="Y69" s="542" t="s">
        <v>187</v>
      </c>
      <c r="Z69" s="372"/>
      <c r="AA69" s="372"/>
      <c r="AB69" s="372"/>
      <c r="AC69" s="215"/>
      <c r="AD69" s="215"/>
      <c r="AE69" s="215"/>
      <c r="AF69" s="215"/>
      <c r="AG69" s="215"/>
      <c r="AH69" s="215"/>
      <c r="AI69" s="215"/>
      <c r="AJ69" s="215"/>
      <c r="AK69" s="215"/>
      <c r="AL69" s="215"/>
      <c r="AM69" s="215"/>
      <c r="AN69" s="215"/>
      <c r="AO69" s="215"/>
      <c r="AP69" s="215"/>
      <c r="AQ69" s="215"/>
      <c r="AR69" s="371"/>
      <c r="AS69" s="372"/>
      <c r="AT69" s="372"/>
      <c r="AU69" s="372"/>
      <c r="AV69" s="372"/>
      <c r="AW69" s="372"/>
      <c r="AX69" s="372"/>
      <c r="AY69" s="372"/>
      <c r="AZ69" s="372"/>
      <c r="BA69" s="372"/>
      <c r="BB69" s="372"/>
      <c r="BC69" s="372"/>
      <c r="BD69" s="372"/>
      <c r="BE69" s="372"/>
    </row>
    <row r="70" spans="1:57" ht="16.25" customHeight="1" x14ac:dyDescent="0.2">
      <c r="A70" s="83"/>
      <c r="B70" s="103"/>
      <c r="C70" s="83"/>
      <c r="D70" s="83"/>
      <c r="E70" s="83"/>
      <c r="F70" s="83"/>
      <c r="G70" s="104"/>
      <c r="H70" s="103"/>
      <c r="I70" s="83"/>
      <c r="J70" s="83"/>
      <c r="K70" s="83"/>
      <c r="L70" s="83"/>
      <c r="M70" s="83"/>
      <c r="N70" s="104"/>
      <c r="O70" s="161"/>
      <c r="P70" s="374"/>
      <c r="Q70" s="376"/>
      <c r="R70" s="377"/>
      <c r="S70" s="377"/>
      <c r="T70" s="377"/>
      <c r="U70" s="825"/>
      <c r="V70" s="825"/>
      <c r="W70" s="458" t="s">
        <v>235</v>
      </c>
      <c r="X70" s="542">
        <v>0.1</v>
      </c>
      <c r="Y70" s="542" t="s">
        <v>244</v>
      </c>
      <c r="Z70" s="372"/>
      <c r="AA70" s="372"/>
      <c r="AB70" s="372"/>
      <c r="AC70" s="215"/>
      <c r="AD70" s="215"/>
      <c r="AE70" s="215"/>
      <c r="AF70" s="215"/>
      <c r="AG70" s="215"/>
      <c r="AH70" s="215"/>
      <c r="AI70" s="215"/>
      <c r="AJ70" s="215"/>
      <c r="AK70" s="215"/>
      <c r="AL70" s="215"/>
      <c r="AM70" s="215"/>
      <c r="AN70" s="215"/>
      <c r="AO70" s="215"/>
      <c r="AP70" s="215"/>
      <c r="AQ70" s="215"/>
      <c r="AR70" s="371"/>
      <c r="AS70" s="372"/>
      <c r="AT70" s="372"/>
      <c r="AU70" s="372"/>
      <c r="AV70" s="372"/>
      <c r="AW70" s="372"/>
      <c r="AX70" s="372"/>
      <c r="AY70" s="372"/>
      <c r="AZ70" s="372"/>
      <c r="BA70" s="372"/>
      <c r="BB70" s="372"/>
      <c r="BC70" s="372"/>
      <c r="BD70" s="372"/>
      <c r="BE70" s="372"/>
    </row>
    <row r="71" spans="1:57" ht="16.25" customHeight="1" x14ac:dyDescent="0.2">
      <c r="A71" s="83"/>
      <c r="B71" s="103"/>
      <c r="C71" s="83"/>
      <c r="D71" s="83"/>
      <c r="E71" s="83"/>
      <c r="F71" s="83"/>
      <c r="G71" s="104"/>
      <c r="H71" s="103"/>
      <c r="I71" s="83"/>
      <c r="J71" s="83"/>
      <c r="K71" s="83"/>
      <c r="L71" s="83"/>
      <c r="M71" s="83"/>
      <c r="N71" s="104"/>
      <c r="O71" s="83"/>
      <c r="P71" s="215"/>
      <c r="Q71" s="215"/>
      <c r="R71" s="215"/>
      <c r="S71" s="215"/>
      <c r="T71" s="215"/>
      <c r="U71" s="372"/>
      <c r="V71" s="372"/>
      <c r="W71" s="458" t="s">
        <v>511</v>
      </c>
      <c r="X71" s="542">
        <v>2000</v>
      </c>
      <c r="Y71" s="542" t="s">
        <v>512</v>
      </c>
      <c r="Z71" s="372"/>
      <c r="AA71" s="372"/>
      <c r="AB71" s="372"/>
      <c r="AC71" s="215"/>
      <c r="AD71" s="215"/>
      <c r="AE71" s="215"/>
      <c r="AF71" s="215"/>
      <c r="AG71" s="215"/>
      <c r="AH71" s="215"/>
      <c r="AI71" s="215"/>
      <c r="AJ71" s="215"/>
      <c r="AK71" s="215"/>
      <c r="AL71" s="215"/>
      <c r="AM71" s="215"/>
      <c r="AN71" s="215"/>
      <c r="AO71" s="215"/>
      <c r="AP71" s="215"/>
      <c r="AQ71" s="215"/>
      <c r="AR71" s="371"/>
      <c r="AS71" s="372"/>
      <c r="AT71" s="372"/>
      <c r="AU71" s="372"/>
      <c r="AV71" s="372"/>
      <c r="AW71" s="372"/>
      <c r="AX71" s="372"/>
      <c r="AY71" s="372"/>
      <c r="AZ71" s="372"/>
      <c r="BA71" s="372"/>
      <c r="BB71" s="372"/>
      <c r="BC71" s="372"/>
      <c r="BD71" s="372"/>
      <c r="BE71" s="372"/>
    </row>
    <row r="72" spans="1:57" ht="16.25" customHeight="1" x14ac:dyDescent="0.2">
      <c r="A72" s="83"/>
      <c r="B72" s="103"/>
      <c r="C72" s="83"/>
      <c r="D72" s="83"/>
      <c r="E72" s="83"/>
      <c r="F72" s="83"/>
      <c r="G72" s="104"/>
      <c r="H72" s="103"/>
      <c r="I72" s="83"/>
      <c r="J72" s="83"/>
      <c r="K72" s="83"/>
      <c r="L72" s="83"/>
      <c r="M72" s="83"/>
      <c r="N72" s="104"/>
      <c r="O72" s="162"/>
      <c r="P72" s="371"/>
      <c r="Q72" s="371"/>
      <c r="R72" s="371"/>
      <c r="S72" s="371"/>
      <c r="T72" s="215"/>
      <c r="U72" s="372"/>
      <c r="V72" s="372"/>
      <c r="W72" s="458" t="s">
        <v>513</v>
      </c>
      <c r="X72" s="542">
        <f>SUM(X61:Z61)-SUM(X57:Z57)</f>
        <v>41.188075661289474</v>
      </c>
      <c r="Y72" s="542" t="s">
        <v>179</v>
      </c>
      <c r="Z72" s="372"/>
      <c r="AA72" s="372"/>
      <c r="AB72" s="372"/>
      <c r="AC72" s="215"/>
      <c r="AD72" s="215"/>
      <c r="AE72" s="215"/>
      <c r="AF72" s="215"/>
      <c r="AG72" s="215"/>
      <c r="AH72" s="215"/>
      <c r="AI72" s="215"/>
      <c r="AJ72" s="215"/>
      <c r="AK72" s="215"/>
      <c r="AL72" s="215"/>
      <c r="AM72" s="215"/>
      <c r="AN72" s="215"/>
      <c r="AO72" s="215"/>
      <c r="AP72" s="215"/>
      <c r="AQ72" s="215"/>
      <c r="AR72" s="371"/>
      <c r="AS72" s="372"/>
      <c r="AT72" s="372"/>
      <c r="AU72" s="372"/>
      <c r="AV72" s="372"/>
      <c r="AW72" s="372"/>
      <c r="AX72" s="372"/>
      <c r="AY72" s="372"/>
      <c r="AZ72" s="372"/>
      <c r="BA72" s="372"/>
      <c r="BB72" s="372"/>
      <c r="BC72" s="372"/>
      <c r="BD72" s="372"/>
      <c r="BE72" s="372"/>
    </row>
    <row r="73" spans="1:57" ht="16.25" customHeight="1" x14ac:dyDescent="0.2">
      <c r="A73" s="83"/>
      <c r="B73" s="103"/>
      <c r="C73" s="83"/>
      <c r="D73" s="83"/>
      <c r="E73" s="83"/>
      <c r="F73" s="83"/>
      <c r="G73" s="104"/>
      <c r="H73" s="103"/>
      <c r="I73" s="83"/>
      <c r="J73" s="83"/>
      <c r="K73" s="83"/>
      <c r="L73" s="83"/>
      <c r="M73" s="83"/>
      <c r="N73" s="104"/>
      <c r="O73" s="162"/>
      <c r="P73" s="371"/>
      <c r="Q73" s="371"/>
      <c r="R73" s="371"/>
      <c r="S73" s="371"/>
      <c r="T73" s="215"/>
      <c r="U73" s="372"/>
      <c r="V73" s="372"/>
      <c r="W73" s="372"/>
      <c r="X73" s="372"/>
      <c r="Y73" s="372"/>
      <c r="Z73" s="372"/>
      <c r="AA73" s="372"/>
      <c r="AB73" s="372"/>
      <c r="AC73" s="215"/>
      <c r="AD73" s="215"/>
      <c r="AE73" s="215"/>
      <c r="AF73" s="215"/>
      <c r="AG73" s="215"/>
      <c r="AH73" s="215"/>
      <c r="AI73" s="215"/>
      <c r="AJ73" s="215"/>
      <c r="AK73" s="215"/>
      <c r="AL73" s="215"/>
      <c r="AM73" s="215"/>
      <c r="AN73" s="215"/>
      <c r="AO73" s="215"/>
      <c r="AP73" s="215"/>
      <c r="AQ73" s="215"/>
      <c r="AR73" s="371"/>
      <c r="AS73" s="372"/>
      <c r="AT73" s="372"/>
      <c r="AU73" s="372"/>
      <c r="AV73" s="372"/>
      <c r="AW73" s="372"/>
      <c r="AX73" s="372"/>
      <c r="AY73" s="372"/>
      <c r="AZ73" s="372"/>
      <c r="BA73" s="372"/>
      <c r="BB73" s="372"/>
      <c r="BC73" s="372"/>
      <c r="BD73" s="372"/>
      <c r="BE73" s="372"/>
    </row>
    <row r="74" spans="1:57" ht="16.25" customHeight="1" x14ac:dyDescent="0.2">
      <c r="A74" s="83"/>
      <c r="B74" s="103"/>
      <c r="C74" s="83"/>
      <c r="D74" s="83"/>
      <c r="E74" s="83"/>
      <c r="F74" s="83"/>
      <c r="G74" s="104"/>
      <c r="H74" s="103"/>
      <c r="I74" s="83"/>
      <c r="J74" s="83"/>
      <c r="K74" s="83"/>
      <c r="L74" s="83"/>
      <c r="M74" s="83"/>
      <c r="N74" s="104"/>
      <c r="O74" s="161"/>
      <c r="P74" s="376"/>
      <c r="Q74" s="376"/>
      <c r="R74" s="376"/>
      <c r="S74" s="376"/>
      <c r="T74" s="215"/>
      <c r="U74" s="372"/>
      <c r="V74" s="372"/>
      <c r="W74" s="372"/>
      <c r="X74" s="372"/>
      <c r="Y74" s="372"/>
      <c r="Z74" s="372"/>
      <c r="AA74" s="372"/>
      <c r="AB74" s="372"/>
      <c r="AC74" s="215"/>
      <c r="AD74" s="215"/>
      <c r="AE74" s="215"/>
      <c r="AF74" s="215"/>
      <c r="AG74" s="215"/>
      <c r="AH74" s="215"/>
      <c r="AI74" s="215"/>
      <c r="AJ74" s="215"/>
      <c r="AK74" s="215"/>
      <c r="AL74" s="215"/>
      <c r="AM74" s="215"/>
      <c r="AN74" s="215"/>
      <c r="AO74" s="215"/>
      <c r="AP74" s="215"/>
      <c r="AQ74" s="215"/>
      <c r="AR74" s="371"/>
      <c r="AS74" s="372"/>
      <c r="AT74" s="372"/>
      <c r="AU74" s="372"/>
      <c r="AV74" s="372"/>
      <c r="AW74" s="372"/>
      <c r="AX74" s="372"/>
      <c r="AY74" s="372"/>
      <c r="AZ74" s="372"/>
      <c r="BA74" s="372"/>
      <c r="BB74" s="372"/>
      <c r="BC74" s="372"/>
      <c r="BD74" s="372"/>
      <c r="BE74" s="372"/>
    </row>
    <row r="75" spans="1:57" ht="16.25" customHeight="1" x14ac:dyDescent="0.2">
      <c r="A75" s="83"/>
      <c r="B75" s="103"/>
      <c r="C75" s="83"/>
      <c r="D75" s="83"/>
      <c r="E75" s="83"/>
      <c r="F75" s="83"/>
      <c r="G75" s="104"/>
      <c r="H75" s="103"/>
      <c r="I75" s="83"/>
      <c r="J75" s="83"/>
      <c r="K75" s="83"/>
      <c r="L75" s="83"/>
      <c r="M75" s="83"/>
      <c r="N75" s="104"/>
      <c r="O75" s="163"/>
      <c r="P75" s="373"/>
      <c r="Q75" s="377"/>
      <c r="R75" s="376"/>
      <c r="S75" s="376"/>
      <c r="T75" s="215"/>
      <c r="U75" s="372"/>
      <c r="V75" s="372"/>
      <c r="W75" s="372"/>
      <c r="X75" s="372"/>
      <c r="Y75" s="372"/>
      <c r="Z75" s="372"/>
      <c r="AA75" s="372"/>
      <c r="AB75" s="372"/>
      <c r="AC75" s="215"/>
      <c r="AD75" s="215"/>
      <c r="AE75" s="215"/>
      <c r="AF75" s="215"/>
      <c r="AG75" s="215"/>
      <c r="AH75" s="215"/>
      <c r="AI75" s="215"/>
      <c r="AJ75" s="215"/>
      <c r="AK75" s="215"/>
      <c r="AL75" s="215"/>
      <c r="AM75" s="215"/>
      <c r="AN75" s="215"/>
      <c r="AO75" s="215"/>
      <c r="AP75" s="215"/>
      <c r="AQ75" s="215"/>
      <c r="AR75" s="371"/>
      <c r="AS75" s="372"/>
      <c r="AT75" s="372"/>
      <c r="AU75" s="372"/>
      <c r="AV75" s="372"/>
      <c r="AW75" s="372"/>
      <c r="AX75" s="372"/>
      <c r="AY75" s="372"/>
      <c r="AZ75" s="372"/>
      <c r="BA75" s="372"/>
      <c r="BB75" s="372"/>
      <c r="BC75" s="372"/>
      <c r="BD75" s="372"/>
      <c r="BE75" s="372"/>
    </row>
    <row r="76" spans="1:57" ht="16.25" customHeight="1" x14ac:dyDescent="0.2">
      <c r="A76" s="83"/>
      <c r="B76" s="103"/>
      <c r="C76" s="83"/>
      <c r="D76" s="83"/>
      <c r="E76" s="83"/>
      <c r="F76" s="83"/>
      <c r="G76" s="104"/>
      <c r="H76" s="103"/>
      <c r="I76" s="83"/>
      <c r="J76" s="83"/>
      <c r="K76" s="83"/>
      <c r="L76" s="83"/>
      <c r="M76" s="83"/>
      <c r="N76" s="104"/>
      <c r="O76" s="162"/>
      <c r="P76" s="371"/>
      <c r="Q76" s="371"/>
      <c r="R76" s="371"/>
      <c r="S76" s="371"/>
      <c r="T76" s="215"/>
      <c r="U76" s="372"/>
      <c r="V76" s="372"/>
      <c r="W76" s="372"/>
      <c r="X76" s="372"/>
      <c r="Y76" s="372"/>
      <c r="Z76" s="372"/>
      <c r="AA76" s="372"/>
      <c r="AB76" s="372"/>
      <c r="AC76" s="215"/>
      <c r="AD76" s="215"/>
      <c r="AE76" s="215"/>
      <c r="AF76" s="215"/>
      <c r="AG76" s="215"/>
      <c r="AH76" s="215"/>
      <c r="AI76" s="215"/>
      <c r="AJ76" s="215"/>
      <c r="AK76" s="215"/>
      <c r="AL76" s="215"/>
      <c r="AM76" s="215"/>
      <c r="AN76" s="215"/>
      <c r="AO76" s="215"/>
      <c r="AP76" s="215"/>
      <c r="AQ76" s="215"/>
      <c r="AR76" s="371"/>
      <c r="AS76" s="372"/>
      <c r="AT76" s="372"/>
      <c r="AU76" s="372"/>
      <c r="AV76" s="372"/>
      <c r="AW76" s="372"/>
      <c r="AX76" s="372"/>
      <c r="AY76" s="372"/>
      <c r="AZ76" s="372"/>
      <c r="BA76" s="372"/>
      <c r="BB76" s="372"/>
      <c r="BC76" s="372"/>
      <c r="BD76" s="372"/>
      <c r="BE76" s="372"/>
    </row>
    <row r="77" spans="1:57" ht="16.25" customHeight="1" x14ac:dyDescent="0.2">
      <c r="A77" s="83"/>
      <c r="B77" s="103"/>
      <c r="C77" s="83"/>
      <c r="D77" s="83"/>
      <c r="E77" s="83"/>
      <c r="F77" s="83"/>
      <c r="G77" s="104"/>
      <c r="H77" s="103"/>
      <c r="I77" s="83"/>
      <c r="J77" s="83"/>
      <c r="K77" s="83"/>
      <c r="L77" s="83"/>
      <c r="M77" s="83"/>
      <c r="N77" s="104"/>
      <c r="O77" s="162"/>
      <c r="P77" s="371"/>
      <c r="Q77" s="371"/>
      <c r="R77" s="371"/>
      <c r="S77" s="371"/>
      <c r="T77" s="215"/>
      <c r="U77" s="215"/>
      <c r="V77" s="215"/>
      <c r="W77" s="215"/>
      <c r="X77" s="215"/>
      <c r="Y77" s="215"/>
      <c r="Z77" s="215"/>
      <c r="AA77" s="215"/>
      <c r="AB77" s="215"/>
      <c r="AC77" s="215"/>
      <c r="AD77" s="215"/>
      <c r="AE77" s="215"/>
      <c r="AF77" s="215"/>
      <c r="AG77" s="215"/>
      <c r="AH77" s="215"/>
      <c r="AI77" s="215"/>
      <c r="AJ77" s="215"/>
      <c r="AK77" s="215"/>
      <c r="AL77" s="215"/>
      <c r="AM77" s="215"/>
      <c r="AN77" s="215"/>
      <c r="AO77" s="215"/>
      <c r="AP77" s="215"/>
      <c r="AQ77" s="215"/>
      <c r="AR77" s="371"/>
      <c r="AS77" s="372"/>
      <c r="AT77" s="372"/>
      <c r="AU77" s="372"/>
      <c r="AV77" s="372"/>
      <c r="AW77" s="372"/>
      <c r="AX77" s="372"/>
      <c r="AY77" s="372"/>
      <c r="AZ77" s="372"/>
      <c r="BA77" s="372"/>
      <c r="BB77" s="372"/>
      <c r="BC77" s="372"/>
      <c r="BD77" s="372"/>
      <c r="BE77" s="372"/>
    </row>
    <row r="78" spans="1:57" ht="16.25" customHeight="1" x14ac:dyDescent="0.2">
      <c r="A78" s="83"/>
      <c r="B78" s="103"/>
      <c r="C78" s="83"/>
      <c r="D78" s="83"/>
      <c r="E78" s="83"/>
      <c r="F78" s="83"/>
      <c r="G78" s="104"/>
      <c r="H78" s="103"/>
      <c r="I78" s="83"/>
      <c r="J78" s="83"/>
      <c r="K78" s="83"/>
      <c r="L78" s="83"/>
      <c r="M78" s="83"/>
      <c r="N78" s="104"/>
      <c r="O78" s="162"/>
      <c r="P78" s="371"/>
      <c r="Q78" s="371"/>
      <c r="R78" s="371"/>
      <c r="S78" s="371"/>
      <c r="T78" s="215"/>
      <c r="U78" s="215"/>
      <c r="V78" s="215"/>
      <c r="W78" s="215"/>
      <c r="X78" s="215"/>
      <c r="Y78" s="215"/>
      <c r="Z78" s="215"/>
      <c r="AA78" s="215"/>
      <c r="AB78" s="215"/>
      <c r="AC78" s="215"/>
      <c r="AD78" s="215"/>
      <c r="AE78" s="215"/>
      <c r="AF78" s="215"/>
      <c r="AG78" s="215"/>
      <c r="AH78" s="215"/>
      <c r="AI78" s="215"/>
      <c r="AJ78" s="215"/>
      <c r="AK78" s="215"/>
      <c r="AL78" s="215"/>
      <c r="AM78" s="215"/>
      <c r="AN78" s="215"/>
      <c r="AO78" s="215"/>
      <c r="AP78" s="215"/>
      <c r="AQ78" s="215"/>
      <c r="AR78" s="371"/>
      <c r="AS78" s="372"/>
      <c r="AT78" s="372"/>
      <c r="AU78" s="372"/>
      <c r="AV78" s="372"/>
      <c r="AW78" s="372"/>
      <c r="AX78" s="372"/>
      <c r="AY78" s="372"/>
      <c r="AZ78" s="372"/>
      <c r="BA78" s="372"/>
      <c r="BB78" s="372"/>
      <c r="BC78" s="372"/>
      <c r="BD78" s="372"/>
      <c r="BE78" s="372"/>
    </row>
    <row r="79" spans="1:57" ht="16.25" customHeight="1" x14ac:dyDescent="0.2">
      <c r="A79" s="83"/>
      <c r="B79" s="103"/>
      <c r="C79" s="83"/>
      <c r="D79" s="83"/>
      <c r="E79" s="83"/>
      <c r="F79" s="83"/>
      <c r="G79" s="104"/>
      <c r="H79" s="103"/>
      <c r="I79" s="83"/>
      <c r="J79" s="83"/>
      <c r="K79" s="83"/>
      <c r="L79" s="83"/>
      <c r="M79" s="83"/>
      <c r="N79" s="104"/>
      <c r="O79" s="162"/>
      <c r="P79" s="371"/>
      <c r="Q79" s="371"/>
      <c r="R79" s="371"/>
      <c r="S79" s="371"/>
      <c r="T79" s="215"/>
      <c r="U79" s="215"/>
      <c r="V79" s="215"/>
      <c r="W79" s="215"/>
      <c r="X79" s="215"/>
      <c r="Y79" s="215"/>
      <c r="Z79" s="215"/>
      <c r="AA79" s="215"/>
      <c r="AB79" s="215"/>
      <c r="AC79" s="215"/>
      <c r="AD79" s="215"/>
      <c r="AE79" s="215"/>
      <c r="AF79" s="215"/>
      <c r="AG79" s="215"/>
      <c r="AH79" s="215"/>
      <c r="AI79" s="215"/>
      <c r="AJ79" s="215"/>
      <c r="AK79" s="215"/>
      <c r="AL79" s="215"/>
      <c r="AM79" s="215"/>
      <c r="AN79" s="215"/>
      <c r="AO79" s="215"/>
      <c r="AP79" s="215"/>
      <c r="AQ79" s="215"/>
      <c r="AR79" s="371"/>
      <c r="AS79" s="372"/>
      <c r="AT79" s="372"/>
      <c r="AU79" s="372"/>
      <c r="AV79" s="372"/>
      <c r="AW79" s="372"/>
      <c r="AX79" s="372"/>
      <c r="AY79" s="372"/>
      <c r="AZ79" s="372"/>
      <c r="BA79" s="372"/>
      <c r="BB79" s="372"/>
      <c r="BC79" s="372"/>
      <c r="BD79" s="372"/>
      <c r="BE79" s="372"/>
    </row>
    <row r="80" spans="1:57" ht="16.25" customHeight="1" x14ac:dyDescent="0.2">
      <c r="A80" s="83"/>
      <c r="B80" s="933" t="s">
        <v>281</v>
      </c>
      <c r="C80" s="934"/>
      <c r="D80" s="934"/>
      <c r="E80" s="934"/>
      <c r="F80" s="934"/>
      <c r="G80" s="935"/>
      <c r="H80" s="116" t="s">
        <v>252</v>
      </c>
      <c r="I80" s="117" t="s">
        <v>2</v>
      </c>
      <c r="J80" s="939" t="s">
        <v>82</v>
      </c>
      <c r="K80" s="940"/>
      <c r="L80" s="940"/>
      <c r="M80" s="940"/>
      <c r="N80" s="941"/>
      <c r="O80" s="162"/>
      <c r="P80" s="371"/>
      <c r="Q80" s="371"/>
      <c r="R80" s="371"/>
      <c r="S80" s="371"/>
      <c r="T80" s="215"/>
      <c r="U80" s="215"/>
      <c r="V80" s="215"/>
      <c r="W80" s="215"/>
      <c r="X80" s="215"/>
      <c r="Y80" s="215"/>
      <c r="Z80" s="215"/>
      <c r="AA80" s="215"/>
      <c r="AB80" s="215"/>
      <c r="AC80" s="215"/>
      <c r="AD80" s="215"/>
      <c r="AE80" s="215"/>
      <c r="AF80" s="215"/>
      <c r="AG80" s="215"/>
      <c r="AH80" s="215"/>
      <c r="AI80" s="215"/>
      <c r="AJ80" s="215"/>
      <c r="AK80" s="215"/>
      <c r="AL80" s="215"/>
      <c r="AM80" s="215"/>
      <c r="AN80" s="215"/>
      <c r="AO80" s="215"/>
      <c r="AP80" s="215"/>
      <c r="AQ80" s="215"/>
      <c r="AR80" s="371"/>
      <c r="AS80" s="372"/>
      <c r="AT80" s="372"/>
      <c r="AU80" s="372"/>
      <c r="AV80" s="372"/>
      <c r="AW80" s="372"/>
      <c r="AX80" s="372"/>
      <c r="AY80" s="372"/>
      <c r="AZ80" s="372"/>
      <c r="BA80" s="372"/>
      <c r="BB80" s="372"/>
      <c r="BC80" s="372"/>
      <c r="BD80" s="372"/>
      <c r="BE80" s="372"/>
    </row>
    <row r="81" spans="1:57" ht="16.25" customHeight="1" x14ac:dyDescent="0.2">
      <c r="A81" s="83"/>
      <c r="B81" s="936"/>
      <c r="C81" s="937"/>
      <c r="D81" s="937"/>
      <c r="E81" s="937"/>
      <c r="F81" s="937"/>
      <c r="G81" s="938"/>
      <c r="H81" s="493"/>
      <c r="I81" s="110"/>
      <c r="J81" s="988"/>
      <c r="K81" s="989"/>
      <c r="L81" s="989"/>
      <c r="M81" s="989"/>
      <c r="N81" s="990"/>
      <c r="O81" s="83"/>
      <c r="P81" s="215"/>
      <c r="Q81" s="215"/>
      <c r="R81" s="215"/>
      <c r="S81" s="215"/>
      <c r="T81" s="215"/>
      <c r="U81" s="215"/>
      <c r="V81" s="215"/>
      <c r="W81" s="215"/>
      <c r="X81" s="215"/>
      <c r="Y81" s="215"/>
      <c r="Z81" s="215"/>
      <c r="AA81" s="215"/>
      <c r="AB81" s="215"/>
      <c r="AC81" s="215"/>
      <c r="AD81" s="215"/>
      <c r="AE81" s="215"/>
      <c r="AF81" s="215"/>
      <c r="AG81" s="215"/>
      <c r="AH81" s="215"/>
      <c r="AI81" s="215"/>
      <c r="AJ81" s="215"/>
      <c r="AK81" s="215"/>
      <c r="AL81" s="215"/>
      <c r="AM81" s="215"/>
      <c r="AN81" s="215"/>
      <c r="AO81" s="215"/>
      <c r="AP81" s="215"/>
      <c r="AQ81" s="215"/>
      <c r="AR81" s="371"/>
      <c r="AS81" s="372"/>
      <c r="AT81" s="372"/>
      <c r="AU81" s="372"/>
      <c r="AV81" s="372"/>
      <c r="AW81" s="372"/>
      <c r="AX81" s="372"/>
      <c r="AY81" s="372"/>
      <c r="AZ81" s="372"/>
      <c r="BA81" s="372"/>
      <c r="BB81" s="372"/>
      <c r="BC81" s="372"/>
      <c r="BD81" s="372"/>
      <c r="BE81" s="372"/>
    </row>
    <row r="82" spans="1:57" ht="16.25" customHeight="1" x14ac:dyDescent="0.2">
      <c r="A82" s="83"/>
      <c r="B82" s="83"/>
      <c r="C82" s="83"/>
      <c r="D82" s="83"/>
      <c r="E82" s="83"/>
      <c r="F82" s="83"/>
      <c r="G82" s="83"/>
      <c r="H82" s="83"/>
      <c r="I82" s="83"/>
      <c r="J82" s="83"/>
      <c r="K82" s="83"/>
      <c r="L82" s="83"/>
      <c r="M82" s="162"/>
      <c r="N82" s="165"/>
      <c r="O82" s="83"/>
      <c r="P82" s="215"/>
      <c r="Q82" s="215"/>
      <c r="R82" s="215"/>
      <c r="S82" s="215"/>
      <c r="T82" s="215"/>
      <c r="U82" s="215"/>
      <c r="V82" s="215"/>
      <c r="W82" s="215"/>
      <c r="X82" s="215"/>
      <c r="Y82" s="215"/>
      <c r="Z82" s="215"/>
      <c r="AA82" s="215"/>
      <c r="AB82" s="215"/>
      <c r="AC82" s="215"/>
      <c r="AD82" s="215"/>
      <c r="AE82" s="215"/>
      <c r="AF82" s="215"/>
      <c r="AG82" s="215"/>
      <c r="AH82" s="215"/>
      <c r="AI82" s="215"/>
      <c r="AJ82" s="215"/>
      <c r="AK82" s="215"/>
      <c r="AL82" s="215"/>
      <c r="AM82" s="215"/>
      <c r="AN82" s="215"/>
      <c r="AO82" s="215"/>
      <c r="AP82" s="215"/>
      <c r="AQ82" s="215"/>
      <c r="AR82" s="371"/>
      <c r="AS82" s="372"/>
      <c r="AT82" s="372"/>
      <c r="AU82" s="372"/>
      <c r="AV82" s="372"/>
      <c r="AW82" s="372"/>
      <c r="AX82" s="372"/>
      <c r="AY82" s="372"/>
      <c r="AZ82" s="372"/>
      <c r="BA82" s="372"/>
      <c r="BB82" s="372"/>
      <c r="BC82" s="372"/>
      <c r="BD82" s="372"/>
      <c r="BE82" s="372"/>
    </row>
    <row r="83" spans="1:57" x14ac:dyDescent="0.2">
      <c r="A83" s="83"/>
      <c r="B83" s="83"/>
      <c r="C83" s="83"/>
      <c r="D83" s="83"/>
      <c r="E83" s="83"/>
      <c r="F83" s="83"/>
      <c r="G83" s="83"/>
      <c r="H83" s="83"/>
      <c r="I83" s="83"/>
      <c r="J83" s="83"/>
      <c r="K83" s="83"/>
      <c r="L83" s="83"/>
      <c r="M83" s="162"/>
      <c r="N83" s="165"/>
      <c r="O83" s="83"/>
      <c r="P83" s="215"/>
      <c r="Q83" s="215"/>
      <c r="R83" s="215"/>
      <c r="S83" s="215"/>
      <c r="T83" s="215"/>
      <c r="U83" s="215"/>
      <c r="V83" s="215"/>
      <c r="W83" s="215"/>
      <c r="X83" s="215"/>
      <c r="Y83" s="215"/>
      <c r="Z83" s="215"/>
      <c r="AA83" s="215"/>
      <c r="AB83" s="215"/>
      <c r="AC83" s="215"/>
      <c r="AD83" s="215"/>
      <c r="AE83" s="215"/>
      <c r="AF83" s="215"/>
      <c r="AG83" s="215"/>
      <c r="AH83" s="215"/>
      <c r="AI83" s="215"/>
      <c r="AJ83" s="215"/>
      <c r="AK83" s="215"/>
      <c r="AL83" s="215"/>
      <c r="AM83" s="215"/>
      <c r="AN83" s="215"/>
      <c r="AO83" s="215"/>
      <c r="AP83" s="215"/>
      <c r="AQ83" s="215"/>
      <c r="AR83" s="371"/>
      <c r="AS83" s="372"/>
      <c r="AT83" s="372"/>
      <c r="AU83" s="372"/>
      <c r="AV83" s="372"/>
      <c r="AW83" s="372"/>
      <c r="AX83" s="372"/>
      <c r="AY83" s="372"/>
      <c r="AZ83" s="372"/>
      <c r="BA83" s="372"/>
      <c r="BB83" s="372"/>
      <c r="BC83" s="372"/>
      <c r="BD83" s="372"/>
      <c r="BE83" s="372"/>
    </row>
    <row r="84" spans="1:57" x14ac:dyDescent="0.2">
      <c r="P84" s="372"/>
      <c r="Q84" s="372"/>
      <c r="R84" s="372"/>
      <c r="S84" s="372"/>
      <c r="T84" s="372"/>
      <c r="U84" s="372"/>
      <c r="V84" s="372"/>
      <c r="W84" s="372"/>
      <c r="X84" s="372"/>
      <c r="Y84" s="372"/>
      <c r="Z84" s="372"/>
      <c r="AA84" s="372"/>
      <c r="AB84" s="372"/>
      <c r="AC84" s="372"/>
      <c r="AD84" s="372"/>
      <c r="AE84" s="372"/>
      <c r="AF84" s="372"/>
      <c r="AG84" s="372"/>
      <c r="AH84" s="372"/>
      <c r="AI84" s="372"/>
      <c r="AJ84" s="372"/>
      <c r="AK84" s="372"/>
      <c r="AL84" s="372"/>
      <c r="AM84" s="372"/>
      <c r="AN84" s="372"/>
      <c r="AO84" s="372"/>
      <c r="AP84" s="372"/>
      <c r="AS84" s="372"/>
      <c r="AT84" s="372"/>
      <c r="AU84" s="372"/>
      <c r="AV84" s="372"/>
      <c r="AW84" s="372"/>
      <c r="AX84" s="372"/>
      <c r="AY84" s="372"/>
      <c r="AZ84" s="372"/>
      <c r="BA84" s="372"/>
      <c r="BB84" s="372"/>
      <c r="BC84" s="372"/>
      <c r="BD84" s="372"/>
      <c r="BE84" s="372"/>
    </row>
    <row r="85" spans="1:57" x14ac:dyDescent="0.2">
      <c r="P85" s="372"/>
      <c r="Q85" s="372"/>
      <c r="R85" s="372"/>
      <c r="S85" s="372"/>
      <c r="T85" s="372"/>
      <c r="U85" s="372"/>
      <c r="V85" s="372"/>
      <c r="W85" s="372"/>
      <c r="X85" s="372"/>
      <c r="Y85" s="372"/>
      <c r="Z85" s="372"/>
      <c r="AA85" s="372"/>
      <c r="AB85" s="372"/>
      <c r="AC85" s="372"/>
      <c r="AD85" s="372"/>
      <c r="AE85" s="372"/>
      <c r="AF85" s="372"/>
      <c r="AG85" s="372"/>
      <c r="AH85" s="372"/>
      <c r="AI85" s="372"/>
      <c r="AJ85" s="372"/>
      <c r="AK85" s="372"/>
      <c r="AL85" s="372"/>
      <c r="AM85" s="372"/>
      <c r="AN85" s="372"/>
      <c r="AO85" s="372"/>
      <c r="AP85" s="372"/>
      <c r="AS85" s="372"/>
      <c r="AT85" s="372"/>
      <c r="AU85" s="372"/>
      <c r="AV85" s="372"/>
      <c r="AW85" s="372"/>
      <c r="AX85" s="372"/>
      <c r="AY85" s="372"/>
      <c r="AZ85" s="372"/>
      <c r="BA85" s="372"/>
      <c r="BB85" s="372"/>
      <c r="BC85" s="372"/>
      <c r="BD85" s="372"/>
      <c r="BE85" s="372"/>
    </row>
    <row r="86" spans="1:57" x14ac:dyDescent="0.2">
      <c r="P86" s="372"/>
      <c r="Q86" s="372"/>
      <c r="R86" s="372"/>
      <c r="S86" s="372"/>
      <c r="T86" s="372"/>
      <c r="U86" s="372"/>
      <c r="V86" s="372"/>
      <c r="W86" s="372"/>
      <c r="X86" s="372"/>
      <c r="Y86" s="372"/>
      <c r="Z86" s="372"/>
      <c r="AA86" s="372"/>
      <c r="AB86" s="372"/>
      <c r="AC86" s="372"/>
      <c r="AD86" s="372"/>
      <c r="AE86" s="372"/>
      <c r="AF86" s="372"/>
      <c r="AG86" s="372"/>
      <c r="AH86" s="372"/>
      <c r="AI86" s="372"/>
      <c r="AJ86" s="372"/>
      <c r="AK86" s="372"/>
      <c r="AL86" s="372"/>
      <c r="AM86" s="372"/>
      <c r="AN86" s="372"/>
      <c r="AO86" s="372"/>
      <c r="AP86" s="372"/>
      <c r="AS86" s="372"/>
      <c r="AT86" s="372"/>
      <c r="AU86" s="372"/>
      <c r="AV86" s="372"/>
      <c r="AW86" s="372"/>
      <c r="AX86" s="372"/>
      <c r="AY86" s="372"/>
      <c r="AZ86" s="372"/>
      <c r="BA86" s="372"/>
      <c r="BB86" s="372"/>
      <c r="BC86" s="372"/>
      <c r="BD86" s="372"/>
      <c r="BE86" s="372"/>
    </row>
    <row r="87" spans="1:57" x14ac:dyDescent="0.2">
      <c r="P87" s="372"/>
      <c r="Q87" s="372"/>
      <c r="R87" s="372"/>
      <c r="S87" s="372"/>
      <c r="T87" s="372"/>
      <c r="U87" s="372"/>
      <c r="V87" s="372"/>
      <c r="W87" s="372"/>
      <c r="X87" s="372"/>
      <c r="Y87" s="372"/>
      <c r="Z87" s="372"/>
      <c r="AA87" s="372"/>
      <c r="AB87" s="372"/>
      <c r="AC87" s="372"/>
      <c r="AD87" s="372"/>
      <c r="AE87" s="372"/>
      <c r="AF87" s="372"/>
      <c r="AG87" s="372"/>
      <c r="AH87" s="372"/>
      <c r="AI87" s="372"/>
      <c r="AJ87" s="372"/>
      <c r="AK87" s="372"/>
      <c r="AL87" s="372"/>
      <c r="AM87" s="372"/>
      <c r="AN87" s="372"/>
      <c r="AO87" s="372"/>
      <c r="AP87" s="372"/>
      <c r="AS87" s="372"/>
      <c r="AT87" s="372"/>
      <c r="AU87" s="372"/>
      <c r="AV87" s="372"/>
      <c r="AW87" s="372"/>
      <c r="AX87" s="372"/>
      <c r="AY87" s="372"/>
      <c r="AZ87" s="372"/>
      <c r="BA87" s="372"/>
      <c r="BB87" s="372"/>
      <c r="BC87" s="372"/>
      <c r="BD87" s="372"/>
      <c r="BE87" s="372"/>
    </row>
    <row r="88" spans="1:57" x14ac:dyDescent="0.2">
      <c r="P88" s="372"/>
      <c r="Q88" s="372"/>
      <c r="R88" s="372"/>
      <c r="S88" s="372"/>
      <c r="T88" s="372"/>
      <c r="U88" s="372"/>
      <c r="V88" s="372"/>
      <c r="W88" s="372"/>
      <c r="X88" s="372"/>
      <c r="Y88" s="372"/>
      <c r="Z88" s="372"/>
      <c r="AA88" s="372"/>
      <c r="AB88" s="372"/>
      <c r="AC88" s="372"/>
      <c r="AD88" s="372"/>
      <c r="AE88" s="372"/>
      <c r="AF88" s="372"/>
      <c r="AG88" s="372"/>
      <c r="AH88" s="372"/>
      <c r="AI88" s="372"/>
      <c r="AJ88" s="372"/>
      <c r="AK88" s="372"/>
      <c r="AL88" s="372"/>
      <c r="AM88" s="372"/>
      <c r="AN88" s="372"/>
      <c r="AO88" s="372"/>
      <c r="AP88" s="372"/>
      <c r="AS88" s="372"/>
      <c r="AT88" s="372"/>
      <c r="AU88" s="372"/>
      <c r="AV88" s="372"/>
      <c r="AW88" s="372"/>
      <c r="AX88" s="372"/>
      <c r="AY88" s="372"/>
      <c r="AZ88" s="372"/>
      <c r="BA88" s="372"/>
      <c r="BB88" s="372"/>
      <c r="BC88" s="372"/>
      <c r="BD88" s="372"/>
      <c r="BE88" s="372"/>
    </row>
    <row r="89" spans="1:57" x14ac:dyDescent="0.2">
      <c r="P89" s="372"/>
      <c r="Q89" s="372"/>
      <c r="R89" s="372"/>
      <c r="S89" s="372"/>
      <c r="T89" s="372"/>
      <c r="U89" s="372"/>
      <c r="V89" s="372"/>
      <c r="W89" s="372"/>
      <c r="X89" s="372"/>
      <c r="Y89" s="372"/>
      <c r="Z89" s="372"/>
      <c r="AA89" s="372"/>
      <c r="AB89" s="372"/>
      <c r="AC89" s="372"/>
      <c r="AD89" s="372"/>
      <c r="AE89" s="372"/>
      <c r="AF89" s="372"/>
      <c r="AG89" s="372"/>
      <c r="AH89" s="372"/>
      <c r="AI89" s="372"/>
      <c r="AJ89" s="372"/>
      <c r="AK89" s="372"/>
      <c r="AL89" s="372"/>
      <c r="AM89" s="372"/>
      <c r="AN89" s="372"/>
      <c r="AO89" s="372"/>
      <c r="AP89" s="372"/>
      <c r="AS89" s="372"/>
      <c r="AT89" s="372"/>
      <c r="AU89" s="372"/>
      <c r="AV89" s="372"/>
      <c r="AW89" s="372"/>
      <c r="AX89" s="372"/>
      <c r="AY89" s="372"/>
      <c r="AZ89" s="372"/>
      <c r="BA89" s="372"/>
      <c r="BB89" s="372"/>
      <c r="BC89" s="372"/>
      <c r="BD89" s="372"/>
      <c r="BE89" s="372"/>
    </row>
    <row r="90" spans="1:57" x14ac:dyDescent="0.2">
      <c r="P90" s="372"/>
      <c r="Q90" s="372"/>
      <c r="R90" s="372"/>
      <c r="S90" s="372"/>
      <c r="T90" s="372"/>
      <c r="U90" s="372"/>
      <c r="V90" s="372"/>
      <c r="W90" s="372"/>
      <c r="X90" s="372"/>
      <c r="Y90" s="372"/>
      <c r="Z90" s="372"/>
      <c r="AA90" s="372"/>
      <c r="AB90" s="372"/>
      <c r="AC90" s="372"/>
      <c r="AD90" s="372"/>
      <c r="AE90" s="372"/>
      <c r="AF90" s="372"/>
      <c r="AG90" s="372"/>
      <c r="AH90" s="372"/>
      <c r="AI90" s="372"/>
      <c r="AJ90" s="372"/>
      <c r="AK90" s="372"/>
      <c r="AL90" s="372"/>
      <c r="AM90" s="372"/>
      <c r="AN90" s="372"/>
      <c r="AO90" s="372"/>
      <c r="AP90" s="372"/>
      <c r="AS90" s="372"/>
      <c r="AT90" s="372"/>
      <c r="AU90" s="372"/>
      <c r="AV90" s="372"/>
      <c r="AW90" s="372"/>
      <c r="AX90" s="372"/>
      <c r="AY90" s="372"/>
      <c r="AZ90" s="372"/>
      <c r="BA90" s="372"/>
      <c r="BB90" s="372"/>
      <c r="BC90" s="372"/>
      <c r="BD90" s="372"/>
      <c r="BE90" s="372"/>
    </row>
    <row r="91" spans="1:57" x14ac:dyDescent="0.2">
      <c r="P91" s="372"/>
      <c r="Q91" s="372"/>
      <c r="R91" s="372"/>
      <c r="S91" s="372"/>
      <c r="T91" s="372"/>
      <c r="U91" s="372"/>
      <c r="V91" s="372"/>
      <c r="W91" s="372"/>
      <c r="X91" s="372"/>
      <c r="Y91" s="372"/>
      <c r="Z91" s="372"/>
      <c r="AA91" s="372"/>
      <c r="AB91" s="372"/>
      <c r="AC91" s="372"/>
      <c r="AD91" s="372"/>
      <c r="AE91" s="372"/>
      <c r="AF91" s="372"/>
      <c r="AG91" s="372"/>
      <c r="AH91" s="372"/>
      <c r="AI91" s="372"/>
      <c r="AJ91" s="372"/>
      <c r="AK91" s="372"/>
      <c r="AL91" s="372"/>
      <c r="AM91" s="372"/>
      <c r="AN91" s="372"/>
      <c r="AO91" s="372"/>
      <c r="AP91" s="372"/>
      <c r="AS91" s="372"/>
      <c r="AT91" s="372"/>
      <c r="AU91" s="372"/>
      <c r="AV91" s="372"/>
      <c r="AW91" s="372"/>
      <c r="AX91" s="372"/>
      <c r="AY91" s="372"/>
      <c r="AZ91" s="372"/>
      <c r="BA91" s="372"/>
      <c r="BB91" s="372"/>
      <c r="BC91" s="372"/>
      <c r="BD91" s="372"/>
      <c r="BE91" s="372"/>
    </row>
    <row r="92" spans="1:57" x14ac:dyDescent="0.2">
      <c r="P92" s="372"/>
      <c r="Q92" s="372"/>
      <c r="R92" s="372"/>
      <c r="S92" s="372"/>
      <c r="T92" s="372"/>
      <c r="U92" s="372"/>
      <c r="V92" s="372"/>
      <c r="W92" s="372"/>
      <c r="X92" s="372"/>
      <c r="Y92" s="372"/>
      <c r="Z92" s="372"/>
      <c r="AA92" s="372"/>
      <c r="AB92" s="372"/>
      <c r="AC92" s="372"/>
      <c r="AD92" s="372"/>
      <c r="AE92" s="372"/>
      <c r="AF92" s="372"/>
      <c r="AG92" s="372"/>
      <c r="AH92" s="372"/>
      <c r="AI92" s="372"/>
      <c r="AJ92" s="372"/>
      <c r="AK92" s="372"/>
      <c r="AL92" s="372"/>
      <c r="AM92" s="372"/>
      <c r="AN92" s="372"/>
      <c r="AO92" s="372"/>
      <c r="AP92" s="372"/>
      <c r="AS92" s="372"/>
      <c r="AT92" s="372"/>
      <c r="AU92" s="372"/>
      <c r="AV92" s="372"/>
      <c r="AW92" s="372"/>
      <c r="AX92" s="372"/>
      <c r="AY92" s="372"/>
      <c r="AZ92" s="372"/>
      <c r="BA92" s="372"/>
      <c r="BB92" s="372"/>
      <c r="BC92" s="372"/>
      <c r="BD92" s="372"/>
      <c r="BE92" s="372"/>
    </row>
    <row r="93" spans="1:57" x14ac:dyDescent="0.2">
      <c r="P93" s="372"/>
      <c r="Q93" s="372"/>
      <c r="R93" s="372"/>
      <c r="S93" s="372"/>
      <c r="T93" s="372"/>
      <c r="U93" s="372"/>
      <c r="V93" s="372"/>
      <c r="W93" s="372"/>
      <c r="X93" s="372"/>
      <c r="Y93" s="372"/>
      <c r="Z93" s="372"/>
      <c r="AA93" s="372"/>
      <c r="AB93" s="372"/>
      <c r="AC93" s="372"/>
      <c r="AD93" s="372"/>
      <c r="AE93" s="372"/>
      <c r="AF93" s="372"/>
      <c r="AG93" s="372"/>
      <c r="AH93" s="372"/>
      <c r="AI93" s="372"/>
      <c r="AJ93" s="372"/>
      <c r="AK93" s="372"/>
      <c r="AL93" s="372"/>
      <c r="AM93" s="372"/>
      <c r="AN93" s="372"/>
      <c r="AO93" s="372"/>
      <c r="AP93" s="372"/>
      <c r="AS93" s="372"/>
      <c r="AT93" s="372"/>
      <c r="AU93" s="372"/>
      <c r="AV93" s="372"/>
      <c r="AW93" s="372"/>
      <c r="AX93" s="372"/>
      <c r="AY93" s="372"/>
      <c r="AZ93" s="372"/>
      <c r="BA93" s="372"/>
      <c r="BB93" s="372"/>
      <c r="BC93" s="372"/>
      <c r="BD93" s="372"/>
      <c r="BE93" s="372"/>
    </row>
    <row r="94" spans="1:57" x14ac:dyDescent="0.2">
      <c r="P94" s="372"/>
      <c r="Q94" s="372"/>
      <c r="R94" s="372"/>
      <c r="S94" s="372"/>
      <c r="T94" s="372"/>
      <c r="U94" s="372"/>
      <c r="V94" s="372"/>
      <c r="W94" s="372"/>
      <c r="X94" s="372"/>
      <c r="Y94" s="372"/>
      <c r="Z94" s="372"/>
      <c r="AA94" s="372"/>
      <c r="AB94" s="372"/>
      <c r="AC94" s="372"/>
      <c r="AD94" s="372"/>
      <c r="AE94" s="372"/>
      <c r="AF94" s="372"/>
      <c r="AG94" s="372"/>
      <c r="AH94" s="372"/>
      <c r="AI94" s="372"/>
      <c r="AJ94" s="372"/>
      <c r="AK94" s="372"/>
      <c r="AL94" s="372"/>
      <c r="AM94" s="372"/>
      <c r="AN94" s="372"/>
      <c r="AO94" s="372"/>
      <c r="AP94" s="372"/>
      <c r="AS94" s="372"/>
      <c r="AT94" s="372"/>
      <c r="AU94" s="372"/>
      <c r="AV94" s="372"/>
      <c r="AW94" s="372"/>
      <c r="AX94" s="372"/>
      <c r="AY94" s="372"/>
      <c r="AZ94" s="372"/>
      <c r="BA94" s="372"/>
      <c r="BB94" s="372"/>
      <c r="BC94" s="372"/>
      <c r="BD94" s="372"/>
      <c r="BE94" s="372"/>
    </row>
    <row r="95" spans="1:57" x14ac:dyDescent="0.2">
      <c r="P95" s="372"/>
      <c r="Q95" s="372"/>
      <c r="R95" s="372"/>
      <c r="S95" s="372"/>
      <c r="T95" s="372"/>
      <c r="U95" s="372"/>
      <c r="V95" s="372"/>
      <c r="W95" s="372"/>
      <c r="X95" s="372"/>
      <c r="Y95" s="372"/>
      <c r="Z95" s="372"/>
      <c r="AA95" s="372"/>
      <c r="AB95" s="372"/>
      <c r="AC95" s="372"/>
      <c r="AD95" s="372"/>
      <c r="AE95" s="372"/>
      <c r="AF95" s="372"/>
      <c r="AG95" s="372"/>
      <c r="AH95" s="372"/>
      <c r="AI95" s="372"/>
      <c r="AJ95" s="372"/>
      <c r="AK95" s="372"/>
      <c r="AL95" s="372"/>
      <c r="AM95" s="372"/>
      <c r="AN95" s="372"/>
      <c r="AO95" s="372"/>
      <c r="AP95" s="372"/>
      <c r="AS95" s="372"/>
      <c r="AT95" s="372"/>
      <c r="AU95" s="372"/>
      <c r="AV95" s="372"/>
      <c r="AW95" s="372"/>
      <c r="AX95" s="372"/>
      <c r="AY95" s="372"/>
      <c r="AZ95" s="372"/>
      <c r="BA95" s="372"/>
      <c r="BB95" s="372"/>
      <c r="BC95" s="372"/>
      <c r="BD95" s="372"/>
      <c r="BE95" s="372"/>
    </row>
    <row r="96" spans="1:57" x14ac:dyDescent="0.2">
      <c r="P96" s="372"/>
      <c r="Q96" s="372"/>
      <c r="R96" s="372"/>
      <c r="S96" s="372"/>
      <c r="T96" s="372"/>
      <c r="U96" s="372"/>
      <c r="V96" s="372"/>
      <c r="W96" s="372"/>
      <c r="X96" s="372"/>
      <c r="Y96" s="372"/>
      <c r="Z96" s="372"/>
      <c r="AA96" s="372"/>
      <c r="AB96" s="372"/>
      <c r="AC96" s="372"/>
      <c r="AD96" s="372"/>
      <c r="AE96" s="372"/>
      <c r="AF96" s="372"/>
      <c r="AG96" s="372"/>
      <c r="AH96" s="372"/>
      <c r="AI96" s="372"/>
      <c r="AJ96" s="372"/>
      <c r="AK96" s="372"/>
      <c r="AL96" s="372"/>
      <c r="AM96" s="372"/>
      <c r="AN96" s="372"/>
      <c r="AO96" s="372"/>
      <c r="AP96" s="372"/>
      <c r="AS96" s="372"/>
      <c r="AT96" s="372"/>
      <c r="AU96" s="372"/>
      <c r="AV96" s="372"/>
      <c r="AW96" s="372"/>
      <c r="AX96" s="372"/>
      <c r="AY96" s="372"/>
      <c r="AZ96" s="372"/>
      <c r="BA96" s="372"/>
      <c r="BB96" s="372"/>
      <c r="BC96" s="372"/>
      <c r="BD96" s="372"/>
      <c r="BE96" s="372"/>
    </row>
    <row r="97" spans="16:57" x14ac:dyDescent="0.2">
      <c r="P97" s="372"/>
      <c r="Q97" s="372"/>
      <c r="R97" s="372"/>
      <c r="S97" s="372"/>
      <c r="T97" s="372"/>
      <c r="U97" s="372"/>
      <c r="V97" s="372"/>
      <c r="W97" s="372"/>
      <c r="X97" s="372"/>
      <c r="Y97" s="372"/>
      <c r="Z97" s="372"/>
      <c r="AA97" s="372"/>
      <c r="AB97" s="372"/>
      <c r="AC97" s="372"/>
      <c r="AD97" s="372"/>
      <c r="AE97" s="372"/>
      <c r="AF97" s="372"/>
      <c r="AG97" s="372"/>
      <c r="AH97" s="372"/>
      <c r="AI97" s="372"/>
      <c r="AJ97" s="372"/>
      <c r="AK97" s="372"/>
      <c r="AL97" s="372"/>
      <c r="AM97" s="372"/>
      <c r="AN97" s="372"/>
      <c r="AO97" s="372"/>
      <c r="AP97" s="372"/>
      <c r="AS97" s="372"/>
      <c r="AT97" s="372"/>
      <c r="AU97" s="372"/>
      <c r="AV97" s="372"/>
      <c r="AW97" s="372"/>
      <c r="AX97" s="372"/>
      <c r="AY97" s="372"/>
      <c r="AZ97" s="372"/>
      <c r="BA97" s="372"/>
      <c r="BB97" s="372"/>
      <c r="BC97" s="372"/>
      <c r="BD97" s="372"/>
      <c r="BE97" s="372"/>
    </row>
    <row r="98" spans="16:57" x14ac:dyDescent="0.2">
      <c r="P98" s="372"/>
      <c r="Q98" s="372"/>
      <c r="R98" s="372"/>
      <c r="S98" s="372"/>
      <c r="T98" s="372"/>
      <c r="U98" s="372"/>
      <c r="V98" s="372"/>
      <c r="W98" s="372"/>
      <c r="X98" s="372"/>
      <c r="Y98" s="372"/>
      <c r="Z98" s="372"/>
      <c r="AA98" s="372"/>
      <c r="AB98" s="372"/>
      <c r="AC98" s="372"/>
      <c r="AD98" s="372"/>
      <c r="AE98" s="372"/>
      <c r="AF98" s="372"/>
      <c r="AG98" s="372"/>
      <c r="AH98" s="372"/>
      <c r="AI98" s="372"/>
      <c r="AJ98" s="372"/>
      <c r="AK98" s="372"/>
      <c r="AL98" s="372"/>
      <c r="AM98" s="372"/>
      <c r="AN98" s="372"/>
      <c r="AO98" s="372"/>
      <c r="AP98" s="372"/>
      <c r="AS98" s="372"/>
      <c r="AT98" s="372"/>
      <c r="AU98" s="372"/>
      <c r="AV98" s="372"/>
      <c r="AW98" s="372"/>
      <c r="AX98" s="372"/>
      <c r="AY98" s="372"/>
      <c r="AZ98" s="372"/>
      <c r="BA98" s="372"/>
      <c r="BB98" s="372"/>
      <c r="BC98" s="372"/>
      <c r="BD98" s="372"/>
      <c r="BE98" s="372"/>
    </row>
    <row r="99" spans="16:57" x14ac:dyDescent="0.2">
      <c r="P99" s="372"/>
      <c r="Q99" s="372"/>
      <c r="R99" s="372"/>
      <c r="S99" s="372"/>
      <c r="T99" s="372"/>
      <c r="U99" s="372"/>
      <c r="V99" s="372"/>
      <c r="W99" s="372"/>
      <c r="X99" s="372"/>
      <c r="Y99" s="372"/>
      <c r="Z99" s="372"/>
      <c r="AA99" s="372"/>
      <c r="AB99" s="372"/>
      <c r="AC99" s="372"/>
      <c r="AD99" s="372"/>
      <c r="AE99" s="372"/>
      <c r="AF99" s="372"/>
      <c r="AG99" s="372"/>
      <c r="AH99" s="372"/>
      <c r="AI99" s="372"/>
      <c r="AJ99" s="372"/>
      <c r="AK99" s="372"/>
      <c r="AL99" s="372"/>
      <c r="AM99" s="372"/>
      <c r="AN99" s="372"/>
      <c r="AO99" s="372"/>
      <c r="AP99" s="372"/>
      <c r="AS99" s="372"/>
      <c r="AT99" s="372"/>
      <c r="AU99" s="372"/>
      <c r="AV99" s="372"/>
      <c r="AW99" s="372"/>
      <c r="AX99" s="372"/>
      <c r="AY99" s="372"/>
      <c r="AZ99" s="372"/>
      <c r="BA99" s="372"/>
      <c r="BB99" s="372"/>
      <c r="BC99" s="372"/>
      <c r="BD99" s="372"/>
      <c r="BE99" s="372"/>
    </row>
    <row r="100" spans="16:57" x14ac:dyDescent="0.2">
      <c r="P100" s="372"/>
      <c r="Q100" s="372"/>
      <c r="R100" s="372"/>
      <c r="S100" s="372"/>
      <c r="T100" s="372"/>
      <c r="U100" s="372"/>
      <c r="V100" s="372"/>
      <c r="W100" s="372"/>
      <c r="X100" s="372"/>
      <c r="Y100" s="372"/>
      <c r="Z100" s="372"/>
      <c r="AA100" s="372"/>
      <c r="AB100" s="372"/>
      <c r="AC100" s="372"/>
      <c r="AD100" s="372"/>
      <c r="AE100" s="372"/>
      <c r="AF100" s="372"/>
      <c r="AG100" s="372"/>
      <c r="AH100" s="372"/>
      <c r="AI100" s="372"/>
      <c r="AJ100" s="372"/>
      <c r="AK100" s="372"/>
      <c r="AL100" s="372"/>
      <c r="AM100" s="372"/>
      <c r="AN100" s="372"/>
      <c r="AO100" s="372"/>
      <c r="AP100" s="372"/>
      <c r="AS100" s="372"/>
      <c r="AT100" s="372"/>
      <c r="AU100" s="372"/>
      <c r="AV100" s="372"/>
      <c r="AW100" s="372"/>
      <c r="AX100" s="372"/>
      <c r="AY100" s="372"/>
      <c r="AZ100" s="372"/>
      <c r="BA100" s="372"/>
      <c r="BB100" s="372"/>
      <c r="BC100" s="372"/>
      <c r="BD100" s="372"/>
      <c r="BE100" s="372"/>
    </row>
  </sheetData>
  <mergeCells count="37">
    <mergeCell ref="AI49:AN53"/>
    <mergeCell ref="P53:Q53"/>
    <mergeCell ref="B56:G56"/>
    <mergeCell ref="H56:N56"/>
    <mergeCell ref="B80:G81"/>
    <mergeCell ref="J80:N80"/>
    <mergeCell ref="J81:N81"/>
    <mergeCell ref="AB56:AK56"/>
    <mergeCell ref="W49:X49"/>
    <mergeCell ref="W50:X50"/>
    <mergeCell ref="W51:X51"/>
    <mergeCell ref="W52:X52"/>
    <mergeCell ref="W53:X53"/>
    <mergeCell ref="P51:Q51"/>
    <mergeCell ref="P52:Q52"/>
    <mergeCell ref="W36:Y36"/>
    <mergeCell ref="Z36:AA36"/>
    <mergeCell ref="AB36:AC36"/>
    <mergeCell ref="D11:L11"/>
    <mergeCell ref="M11:R11"/>
    <mergeCell ref="W34:AN34"/>
    <mergeCell ref="D44:R44"/>
    <mergeCell ref="AI48:AN48"/>
    <mergeCell ref="C3:F3"/>
    <mergeCell ref="G3:H3"/>
    <mergeCell ref="J3:M3"/>
    <mergeCell ref="O3:S3"/>
    <mergeCell ref="W3:AN3"/>
    <mergeCell ref="D5:E5"/>
    <mergeCell ref="G5:H5"/>
    <mergeCell ref="J5:K9"/>
    <mergeCell ref="O5:S5"/>
    <mergeCell ref="C6:C7"/>
    <mergeCell ref="O6:S9"/>
    <mergeCell ref="C8:C9"/>
    <mergeCell ref="D8:D9"/>
    <mergeCell ref="E8:E9"/>
  </mergeCells>
  <phoneticPr fontId="15" type="noConversion"/>
  <dataValidations count="10">
    <dataValidation type="list" allowBlank="1" showInputMessage="1" showErrorMessage="1" sqref="D13:D20 D22:D43" xr:uid="{B2B969E9-18C6-4972-83A0-BFF1D0DBA614}">
      <formula1>Equipment</formula1>
    </dataValidation>
    <dataValidation type="list" allowBlank="1" showInputMessage="1" showErrorMessage="1" sqref="E13:E20 E22:E43" xr:uid="{ECA6C644-A022-45FD-BFE8-98BE50901A8F}">
      <formula1>INDIRECT(SUBSTITUTE($D13," ",""))</formula1>
    </dataValidation>
    <dataValidation type="list" allowBlank="1" showInputMessage="1" showErrorMessage="1" sqref="E8:E9" xr:uid="{E055FFA1-2134-45F2-9D6D-94785403F241}">
      <formula1>Case</formula1>
    </dataValidation>
    <dataValidation type="list" allowBlank="1" showInputMessage="1" showErrorMessage="1" sqref="E21" xr:uid="{69090F97-DB31-4BD8-AA75-CD7340001A40}">
      <formula1>INDIRECT(SUBSTITUTE($D22," ",""))</formula1>
    </dataValidation>
    <dataValidation type="list" allowBlank="1" showInputMessage="1" showErrorMessage="1" sqref="I13:I43" xr:uid="{86752BD6-6A41-4920-8555-4388A0B3A34D}">
      <formula1>INDIRECT(IF($D13="Heat Exchanger",SUBSTITUTE($D13," ","")&amp;"_"&amp;SUBSTITUTE(SUBSTITUTE($E13,",","")," ","")&amp;"_Material",SUBSTITUTE($D13," ","")&amp;"_Material"))</formula1>
    </dataValidation>
    <dataValidation type="list" allowBlank="1" showInputMessage="1" showErrorMessage="1" sqref="H46:H51" xr:uid="{BA88A189-4710-4C3E-AF66-D7D459F8CB45}">
      <formula1>Location</formula1>
    </dataValidation>
    <dataValidation type="list" allowBlank="1" showInputMessage="1" showErrorMessage="1" sqref="G46:G51" xr:uid="{0D73D8A4-7794-4AA6-B9C8-13D01CC929E0}">
      <formula1>Year</formula1>
    </dataValidation>
    <dataValidation type="list" allowBlank="1" showInputMessage="1" showErrorMessage="1" sqref="F46:F51" xr:uid="{9F8ACD5A-E76A-4D59-ADD8-DF4CC7AEC609}">
      <formula1>Currency</formula1>
    </dataValidation>
    <dataValidation type="list" allowBlank="1" showInputMessage="1" showErrorMessage="1" sqref="B54" xr:uid="{38B8D08A-C505-49D9-8E77-E929B3F916AF}">
      <formula1>Construction</formula1>
    </dataValidation>
    <dataValidation type="list" allowBlank="1" showInputMessage="1" showErrorMessage="1" sqref="B53" xr:uid="{0BACBDBF-4200-4A30-9E4D-D321A60E226A}">
      <formula1>Lifetime</formula1>
    </dataValidation>
  </dataValidations>
  <pageMargins left="0.7" right="0.7" top="0.75" bottom="0.75" header="0.3" footer="0.3"/>
  <pageSetup paperSize="9" orientation="portrait" verticalDpi="1200" r:id="rId1"/>
  <ignoredErrors>
    <ignoredError sqref="T19: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72385" r:id="rId4" name="Button 1">
              <controlPr defaultSize="0" print="0" autoFill="0" autoPict="0" macro="[0]!Plant">
                <anchor moveWithCells="1" sizeWithCells="1">
                  <from>
                    <xdr:col>2</xdr:col>
                    <xdr:colOff>63500</xdr:colOff>
                    <xdr:row>7</xdr:row>
                    <xdr:rowOff>25400</xdr:rowOff>
                  </from>
                  <to>
                    <xdr:col>2</xdr:col>
                    <xdr:colOff>1320800</xdr:colOff>
                    <xdr:row>8</xdr:row>
                    <xdr:rowOff>177800</xdr:rowOff>
                  </to>
                </anchor>
              </controlPr>
            </control>
          </mc:Choice>
        </mc:AlternateContent>
      </controls>
    </mc:Choice>
  </mc:AlternateContent>
  <tableParts count="3">
    <tablePart r:id="rId5"/>
    <tablePart r:id="rId6"/>
    <tablePart r:id="rId7"/>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A7A3B-DE8E-4838-8266-941784EB4D24}">
  <sheetPr codeName="Hoja37"/>
  <dimension ref="A1:BE100"/>
  <sheetViews>
    <sheetView showGridLines="0" topLeftCell="A10" zoomScale="75" zoomScaleNormal="25" workbookViewId="0">
      <selection activeCell="H32" sqref="H32"/>
    </sheetView>
  </sheetViews>
  <sheetFormatPr baseColWidth="10" defaultColWidth="11.1640625" defaultRowHeight="15" x14ac:dyDescent="0.2"/>
  <cols>
    <col min="1" max="2" width="3.33203125" customWidth="1"/>
    <col min="3" max="19" width="19.6640625" customWidth="1"/>
    <col min="20" max="22" width="4" customWidth="1"/>
    <col min="23" max="40" width="12.83203125" customWidth="1"/>
    <col min="41" max="41" width="3.1640625" customWidth="1"/>
    <col min="43" max="43" width="11.1640625" style="372"/>
    <col min="44" max="44" width="11.1640625" style="372" customWidth="1"/>
  </cols>
  <sheetData>
    <row r="1" spans="1:44" ht="16.25" customHeight="1" x14ac:dyDescent="0.2">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15"/>
      <c r="AR1" s="371"/>
    </row>
    <row r="2" spans="1:44" ht="16.25" customHeight="1" x14ac:dyDescent="0.2">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15"/>
      <c r="AR2" s="371"/>
    </row>
    <row r="3" spans="1:44" ht="16.25" customHeight="1" x14ac:dyDescent="0.2">
      <c r="A3" s="83"/>
      <c r="B3" s="103"/>
      <c r="C3" s="917" t="s">
        <v>140</v>
      </c>
      <c r="D3" s="918"/>
      <c r="E3" s="918"/>
      <c r="F3" s="918"/>
      <c r="G3" s="917" t="s">
        <v>141</v>
      </c>
      <c r="H3" s="919"/>
      <c r="J3" s="917" t="s">
        <v>142</v>
      </c>
      <c r="K3" s="918"/>
      <c r="L3" s="918"/>
      <c r="M3" s="919"/>
      <c r="N3" s="186"/>
      <c r="O3" s="917" t="str">
        <f>+E6</f>
        <v>Refrigeration &amp; Storage</v>
      </c>
      <c r="P3" s="918"/>
      <c r="Q3" s="918"/>
      <c r="R3" s="918"/>
      <c r="S3" s="919"/>
      <c r="T3" s="104"/>
      <c r="U3" s="104"/>
      <c r="V3" s="83"/>
      <c r="W3" s="970" t="str">
        <f>+E6&amp;" Diagram"</f>
        <v>Refrigeration &amp; Storage Diagram</v>
      </c>
      <c r="X3" s="971"/>
      <c r="Y3" s="971"/>
      <c r="Z3" s="971"/>
      <c r="AA3" s="971"/>
      <c r="AB3" s="971"/>
      <c r="AC3" s="971"/>
      <c r="AD3" s="971"/>
      <c r="AE3" s="971"/>
      <c r="AF3" s="971"/>
      <c r="AG3" s="971"/>
      <c r="AH3" s="971"/>
      <c r="AI3" s="971"/>
      <c r="AJ3" s="971"/>
      <c r="AK3" s="971"/>
      <c r="AL3" s="971"/>
      <c r="AM3" s="971"/>
      <c r="AN3" s="972"/>
      <c r="AO3" s="104"/>
      <c r="AP3" s="83"/>
      <c r="AQ3" s="215"/>
      <c r="AR3" s="371"/>
    </row>
    <row r="4" spans="1:44" ht="16.25" customHeight="1" x14ac:dyDescent="0.2">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15"/>
      <c r="AR4" s="371"/>
    </row>
    <row r="5" spans="1:44" ht="16.25" customHeight="1" x14ac:dyDescent="0.2">
      <c r="A5" s="83"/>
      <c r="B5" s="103"/>
      <c r="C5" s="83"/>
      <c r="D5" s="920" t="s">
        <v>143</v>
      </c>
      <c r="E5" s="921"/>
      <c r="F5" s="83"/>
      <c r="G5" s="920" t="s">
        <v>40</v>
      </c>
      <c r="H5" s="921"/>
      <c r="J5" s="973"/>
      <c r="K5" s="974"/>
      <c r="L5" s="190" t="s">
        <v>144</v>
      </c>
      <c r="M5" s="191" t="s">
        <v>145</v>
      </c>
      <c r="N5" s="394"/>
      <c r="O5" s="833" t="s">
        <v>82</v>
      </c>
      <c r="P5" s="834"/>
      <c r="Q5" s="834"/>
      <c r="R5" s="834"/>
      <c r="S5" s="835"/>
      <c r="T5" s="104"/>
      <c r="U5" s="104"/>
      <c r="V5" s="83"/>
      <c r="W5" s="83"/>
      <c r="X5" s="83"/>
      <c r="Y5" s="83"/>
      <c r="Z5" s="83"/>
      <c r="AA5" s="83"/>
      <c r="AB5" s="83"/>
      <c r="AC5" s="83"/>
      <c r="AD5" s="83"/>
      <c r="AE5" s="83"/>
      <c r="AF5" s="83"/>
      <c r="AG5" s="83"/>
      <c r="AH5" s="83"/>
      <c r="AI5" s="83"/>
      <c r="AJ5" s="83"/>
      <c r="AK5" s="83"/>
      <c r="AL5" s="83"/>
      <c r="AM5" s="83"/>
      <c r="AN5" s="83"/>
      <c r="AO5" s="104"/>
      <c r="AP5" s="83"/>
      <c r="AQ5" s="215"/>
      <c r="AR5" s="371"/>
    </row>
    <row r="6" spans="1:44" ht="16.25" customHeight="1" x14ac:dyDescent="0.2">
      <c r="A6" s="83"/>
      <c r="B6" s="103"/>
      <c r="C6" s="979" t="s">
        <v>146</v>
      </c>
      <c r="D6" s="242" t="s">
        <v>147</v>
      </c>
      <c r="E6" s="409" t="str">
        <f>+'Plant Overview'!V43</f>
        <v>Refrigeration &amp; Storage</v>
      </c>
      <c r="F6" s="83"/>
      <c r="G6" s="85"/>
      <c r="H6" s="324" t="s">
        <v>43</v>
      </c>
      <c r="J6" s="975"/>
      <c r="K6" s="976"/>
      <c r="L6" s="169" t="s">
        <v>148</v>
      </c>
      <c r="M6" s="86" t="s">
        <v>149</v>
      </c>
      <c r="N6" s="394"/>
      <c r="O6" s="836"/>
      <c r="P6" s="882"/>
      <c r="Q6" s="882"/>
      <c r="R6" s="882"/>
      <c r="S6" s="883"/>
      <c r="T6" s="104"/>
      <c r="U6" s="104"/>
      <c r="V6" s="83"/>
      <c r="W6" s="83"/>
      <c r="X6" s="83"/>
      <c r="Y6" s="83"/>
      <c r="Z6" s="83"/>
      <c r="AA6" s="83"/>
      <c r="AB6" s="83"/>
      <c r="AC6" s="83"/>
      <c r="AD6" s="83"/>
      <c r="AE6" s="83"/>
      <c r="AF6" s="83"/>
      <c r="AG6" s="83"/>
      <c r="AH6" s="83"/>
      <c r="AI6" s="83"/>
      <c r="AJ6" s="83"/>
      <c r="AK6" s="83"/>
      <c r="AL6" s="83"/>
      <c r="AM6" s="83"/>
      <c r="AN6" s="83"/>
      <c r="AO6" s="104"/>
      <c r="AP6" s="83"/>
      <c r="AQ6" s="215"/>
      <c r="AR6" s="371"/>
    </row>
    <row r="7" spans="1:44" ht="16.25" customHeight="1" x14ac:dyDescent="0.2">
      <c r="A7" s="83"/>
      <c r="B7" s="103"/>
      <c r="C7" s="980"/>
      <c r="D7" s="242" t="s">
        <v>150</v>
      </c>
      <c r="E7" s="409" t="str">
        <f>+'Plant Overview'!W43</f>
        <v>U-700</v>
      </c>
      <c r="F7" s="83"/>
      <c r="G7" s="95"/>
      <c r="H7" s="324" t="s">
        <v>49</v>
      </c>
      <c r="J7" s="975"/>
      <c r="K7" s="976"/>
      <c r="L7" s="190" t="s">
        <v>151</v>
      </c>
      <c r="M7" s="191" t="s">
        <v>152</v>
      </c>
      <c r="N7" s="394"/>
      <c r="O7" s="884"/>
      <c r="P7" s="885"/>
      <c r="Q7" s="885"/>
      <c r="R7" s="885"/>
      <c r="S7" s="886"/>
      <c r="T7" s="104"/>
      <c r="U7" s="104"/>
      <c r="V7" s="83"/>
      <c r="W7" s="83"/>
      <c r="X7" s="83"/>
      <c r="Y7" s="83"/>
      <c r="Z7" s="83"/>
      <c r="AA7" s="83"/>
      <c r="AB7" s="83"/>
      <c r="AC7" s="83"/>
      <c r="AD7" s="83"/>
      <c r="AE7" s="83"/>
      <c r="AF7" s="83"/>
      <c r="AG7" s="83"/>
      <c r="AH7" s="83"/>
      <c r="AI7" s="83"/>
      <c r="AJ7" s="83"/>
      <c r="AK7" s="83"/>
      <c r="AL7" s="83"/>
      <c r="AM7" s="83"/>
      <c r="AN7" s="83"/>
      <c r="AO7" s="104"/>
      <c r="AP7" s="83"/>
      <c r="AQ7" s="215"/>
      <c r="AR7" s="371"/>
    </row>
    <row r="8" spans="1:44" ht="16.25" customHeight="1" x14ac:dyDescent="0.2">
      <c r="A8" s="83"/>
      <c r="B8" s="103"/>
      <c r="C8" s="880"/>
      <c r="D8" s="981" t="s">
        <v>153</v>
      </c>
      <c r="E8" s="983" t="s">
        <v>398</v>
      </c>
      <c r="F8" s="83"/>
      <c r="G8" s="94"/>
      <c r="H8" s="98" t="s">
        <v>51</v>
      </c>
      <c r="J8" s="975"/>
      <c r="K8" s="976"/>
      <c r="L8" s="190" t="s">
        <v>155</v>
      </c>
      <c r="M8" s="191" t="s">
        <v>156</v>
      </c>
      <c r="N8" s="394"/>
      <c r="O8" s="884"/>
      <c r="P8" s="885"/>
      <c r="Q8" s="885"/>
      <c r="R8" s="885"/>
      <c r="S8" s="886"/>
      <c r="T8" s="104"/>
      <c r="U8" s="104"/>
      <c r="V8" s="83"/>
      <c r="W8" s="83"/>
      <c r="X8" s="83"/>
      <c r="Y8" s="83"/>
      <c r="Z8" s="83"/>
      <c r="AA8" s="83"/>
      <c r="AB8" s="83"/>
      <c r="AC8" s="83"/>
      <c r="AD8" s="83"/>
      <c r="AE8" s="83"/>
      <c r="AF8" s="83"/>
      <c r="AG8" s="83"/>
      <c r="AH8" s="83"/>
      <c r="AI8" s="83"/>
      <c r="AJ8" s="83"/>
      <c r="AK8" s="83"/>
      <c r="AL8" s="83"/>
      <c r="AM8" s="83"/>
      <c r="AN8" s="83"/>
      <c r="AO8" s="104"/>
      <c r="AP8" s="83"/>
      <c r="AQ8" s="215"/>
      <c r="AR8" s="371"/>
    </row>
    <row r="9" spans="1:44" ht="16.25" customHeight="1" x14ac:dyDescent="0.2">
      <c r="A9" s="83"/>
      <c r="B9" s="103"/>
      <c r="C9" s="881"/>
      <c r="D9" s="982"/>
      <c r="E9" s="984"/>
      <c r="F9" s="83"/>
      <c r="G9" s="108"/>
      <c r="H9" s="310" t="s">
        <v>54</v>
      </c>
      <c r="J9" s="977"/>
      <c r="K9" s="978"/>
      <c r="L9" s="190" t="s">
        <v>157</v>
      </c>
      <c r="M9" s="191" t="s">
        <v>158</v>
      </c>
      <c r="N9" s="394"/>
      <c r="O9" s="887"/>
      <c r="P9" s="888"/>
      <c r="Q9" s="888"/>
      <c r="R9" s="888"/>
      <c r="S9" s="889"/>
      <c r="T9" s="104"/>
      <c r="U9" s="104"/>
      <c r="V9" s="83"/>
      <c r="W9" s="83"/>
      <c r="X9" s="83"/>
      <c r="Y9" s="83"/>
      <c r="Z9" s="83"/>
      <c r="AA9" s="83"/>
      <c r="AB9" s="83"/>
      <c r="AC9" s="83"/>
      <c r="AD9" s="83"/>
      <c r="AE9" s="83"/>
      <c r="AF9" s="83"/>
      <c r="AG9" s="83"/>
      <c r="AH9" s="83"/>
      <c r="AI9" s="83"/>
      <c r="AJ9" s="83"/>
      <c r="AK9" s="83"/>
      <c r="AL9" s="83"/>
      <c r="AM9" s="83"/>
      <c r="AN9" s="83"/>
      <c r="AO9" s="104"/>
      <c r="AP9" s="83"/>
      <c r="AQ9" s="215"/>
      <c r="AR9" s="371"/>
    </row>
    <row r="10" spans="1:44" ht="16.25" customHeight="1" x14ac:dyDescent="0.2">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15"/>
      <c r="AR10" s="371"/>
    </row>
    <row r="11" spans="1:44" ht="16.25" customHeight="1" x14ac:dyDescent="0.2">
      <c r="A11" s="83"/>
      <c r="B11" s="103"/>
      <c r="C11" s="83"/>
      <c r="D11" s="917" t="s">
        <v>159</v>
      </c>
      <c r="E11" s="918"/>
      <c r="F11" s="918"/>
      <c r="G11" s="918"/>
      <c r="H11" s="918"/>
      <c r="I11" s="918"/>
      <c r="J11" s="918"/>
      <c r="K11" s="918"/>
      <c r="L11" s="919"/>
      <c r="M11" s="917" t="s">
        <v>160</v>
      </c>
      <c r="N11" s="918"/>
      <c r="O11" s="918"/>
      <c r="P11" s="918"/>
      <c r="Q11" s="918"/>
      <c r="R11" s="919"/>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15"/>
      <c r="AR11" s="371"/>
    </row>
    <row r="12" spans="1:44" ht="16.25" customHeight="1" x14ac:dyDescent="0.2">
      <c r="A12" s="83"/>
      <c r="B12" s="103"/>
      <c r="C12" s="416" t="s">
        <v>161</v>
      </c>
      <c r="D12" s="572" t="s">
        <v>141</v>
      </c>
      <c r="E12" s="572" t="s">
        <v>162</v>
      </c>
      <c r="F12" s="417" t="s">
        <v>163</v>
      </c>
      <c r="G12" s="417" t="s">
        <v>164</v>
      </c>
      <c r="H12" s="418" t="s">
        <v>75</v>
      </c>
      <c r="I12" s="572" t="s">
        <v>165</v>
      </c>
      <c r="J12" s="569" t="s">
        <v>166</v>
      </c>
      <c r="K12" s="417" t="s">
        <v>167</v>
      </c>
      <c r="L12" s="417" t="s">
        <v>168</v>
      </c>
      <c r="M12" s="420" t="s">
        <v>169</v>
      </c>
      <c r="N12" s="420" t="s">
        <v>170</v>
      </c>
      <c r="O12" s="420" t="s">
        <v>171</v>
      </c>
      <c r="P12" s="420" t="s">
        <v>172</v>
      </c>
      <c r="Q12" s="420" t="s">
        <v>173</v>
      </c>
      <c r="R12" s="419" t="s">
        <v>174</v>
      </c>
      <c r="S12" s="420" t="s">
        <v>175</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15"/>
      <c r="AR12" s="371"/>
    </row>
    <row r="13" spans="1:44" ht="16.25" customHeight="1" x14ac:dyDescent="0.2">
      <c r="A13" s="83"/>
      <c r="B13" s="103"/>
      <c r="C13" s="182" t="s">
        <v>514</v>
      </c>
      <c r="D13" s="208" t="s">
        <v>420</v>
      </c>
      <c r="E13" s="208" t="s">
        <v>363</v>
      </c>
      <c r="F13" s="96">
        <v>1332</v>
      </c>
      <c r="G13" s="96" t="s">
        <v>187</v>
      </c>
      <c r="H13" s="96" t="s">
        <v>186</v>
      </c>
      <c r="I13" s="96" t="s">
        <v>410</v>
      </c>
      <c r="J13" s="96" t="str">
        <f>+IF(F13&gt;'Equipment Data'!$M$210,"yes","No")</f>
        <v>No</v>
      </c>
      <c r="K13" s="96">
        <v>0.67</v>
      </c>
      <c r="L13" s="96" t="s">
        <v>187</v>
      </c>
      <c r="M13" s="156">
        <f>+IF(AND(D13="Turbine",E13="Axial"),IF(F13&lt;'Equipment Data'!$M$210,10^('Equipment Data'!$C$210+'Equipment Data'!$D$210*LOG10(F13)+'Equipment Data'!$E$210*LOG10(F13)*LOG10(F13)),10^('Equipment Data'!$C$210+'Equipment Data'!$D$210*LOG10('Equipment Data'!$M$210)+'Equipment Data'!$E$210*LOG10('Equipment Data'!$M$210)*LOG10('Equipment Data'!$M$210))*(F13/'Equipment Data'!$M$210)^K13),"N/A")</f>
        <v>295077.74078764906</v>
      </c>
      <c r="N13" s="96" t="s">
        <v>187</v>
      </c>
      <c r="O13" s="96" t="s">
        <v>187</v>
      </c>
      <c r="P13" s="96">
        <f>+IF(I13="Cl",'Equipment Data'!$F$210,IF(I13="CS",'Equipment Data'!$G$210,IF(I13="Cu",'Equipment Data'!$H$210,IF(I13="SS",'Equipment Data'!$I$210,IF(I13="Ni",'Equipment Data'!$J$210,IF(I13="Ti",'Equipment Data'!$K$210,"N/A"))))))</f>
        <v>6.13</v>
      </c>
      <c r="Q13" s="153">
        <f>+M13*P13</f>
        <v>1808826.5510282887</v>
      </c>
      <c r="R13" s="151">
        <v>1</v>
      </c>
      <c r="S13" s="199">
        <f>+IF(Tabla25879012013530638490105[[#This Row],[Equipment]]="","",Q13*R13/10^6)</f>
        <v>1.8088265510282886</v>
      </c>
      <c r="T13" s="587">
        <f ca="1">+S13*$S$52/$R$52</f>
        <v>2.9195789361285227</v>
      </c>
      <c r="U13" s="104"/>
      <c r="V13" s="83"/>
      <c r="W13" s="83"/>
      <c r="X13" s="83"/>
      <c r="Y13" s="83"/>
      <c r="Z13" s="83"/>
      <c r="AA13" s="83"/>
      <c r="AB13" s="83"/>
      <c r="AC13" s="83"/>
      <c r="AD13" s="83"/>
      <c r="AE13" s="83"/>
      <c r="AF13" s="83"/>
      <c r="AG13" s="83"/>
      <c r="AH13" s="83"/>
      <c r="AI13" s="83"/>
      <c r="AJ13" s="83"/>
      <c r="AK13" s="83"/>
      <c r="AL13" s="83"/>
      <c r="AM13" s="83"/>
      <c r="AN13" s="83"/>
      <c r="AO13" s="104"/>
      <c r="AP13" s="83"/>
      <c r="AQ13" s="215"/>
      <c r="AR13" s="371"/>
    </row>
    <row r="14" spans="1:44" ht="16.25" customHeight="1" x14ac:dyDescent="0.2">
      <c r="A14" s="83"/>
      <c r="B14" s="103"/>
      <c r="C14" s="99" t="s">
        <v>515</v>
      </c>
      <c r="D14" s="208" t="s">
        <v>189</v>
      </c>
      <c r="E14" s="208" t="s">
        <v>190</v>
      </c>
      <c r="F14" s="96">
        <v>386.1</v>
      </c>
      <c r="G14" s="96" t="s">
        <v>187</v>
      </c>
      <c r="H14" s="96" t="s">
        <v>186</v>
      </c>
      <c r="I14" s="96" t="s">
        <v>410</v>
      </c>
      <c r="J14" s="96" t="str">
        <f>+IF(F14&gt;'Equipment Data'!$J$19,"yes","No")</f>
        <v>No</v>
      </c>
      <c r="K14" s="96">
        <v>0.67</v>
      </c>
      <c r="L14" s="96" t="s">
        <v>187</v>
      </c>
      <c r="M14" s="156">
        <f>+IF(AND(D14="Compressor",E14="Centrifugal"),IF(F14&lt;'Equipment Data'!$J$19,10^('Equipment Data'!$C$19+'Equipment Data'!$D$19*LOG10(F14)+'Equipment Data'!$E$19*LOG10(F14)*LOG10(F14)),10^('Equipment Data'!$C$19+'Equipment Data'!$D$19*LOG10('Equipment Data'!$J$19)+'Equipment Data'!$E$19*LOG10('Equipment Data'!$J$19)*LOG10('Equipment Data'!$J$19))*(F14/'Equipment Data'!$J$19)^K14),"N/A")</f>
        <v>132092.78017310065</v>
      </c>
      <c r="N14" s="96" t="s">
        <v>187</v>
      </c>
      <c r="O14" s="158" t="s">
        <v>187</v>
      </c>
      <c r="P14" s="152">
        <f>+IF(I14="CS",'Equipment Data'!$F$19,IF(I14="SS",'Equipment Data'!$G$19,IF(I14="Ni",'Equipment Data'!$H$19,"N/A")))</f>
        <v>5.75</v>
      </c>
      <c r="Q14" s="153">
        <f t="shared" ref="Q14:Q16" si="0">+M14*P14</f>
        <v>759533.48599532875</v>
      </c>
      <c r="R14" s="97">
        <v>1</v>
      </c>
      <c r="S14" s="193">
        <f>+IF(Tabla25879012013530638490105[[#This Row],[Equipment]]="","",Q14*R14/10^6)</f>
        <v>0.75953348599532877</v>
      </c>
      <c r="T14" s="587">
        <f t="shared" ref="T14:T43" ca="1" si="1">+S14*$S$52/$R$52</f>
        <v>1.225942844401309</v>
      </c>
      <c r="U14" s="104"/>
      <c r="V14" s="83"/>
      <c r="W14" s="83"/>
      <c r="X14" s="83"/>
      <c r="Y14" s="83"/>
      <c r="Z14" s="83"/>
      <c r="AA14" s="83"/>
      <c r="AB14" s="83"/>
      <c r="AC14" s="83"/>
      <c r="AD14" s="83"/>
      <c r="AE14" s="83"/>
      <c r="AF14" s="83"/>
      <c r="AG14" s="83"/>
      <c r="AH14" s="83"/>
      <c r="AI14" s="83"/>
      <c r="AJ14" s="83"/>
      <c r="AK14" s="83"/>
      <c r="AL14" s="83"/>
      <c r="AM14" s="83"/>
      <c r="AN14" s="83"/>
      <c r="AO14" s="104"/>
      <c r="AP14" s="83"/>
      <c r="AQ14" s="215"/>
      <c r="AR14" s="371"/>
    </row>
    <row r="15" spans="1:44" ht="16.25" customHeight="1" x14ac:dyDescent="0.2">
      <c r="A15" s="83"/>
      <c r="B15" s="103"/>
      <c r="C15" s="99" t="s">
        <v>516</v>
      </c>
      <c r="D15" s="208" t="s">
        <v>189</v>
      </c>
      <c r="E15" s="208" t="s">
        <v>190</v>
      </c>
      <c r="F15" s="96">
        <v>11030</v>
      </c>
      <c r="G15" s="96" t="s">
        <v>187</v>
      </c>
      <c r="H15" s="96" t="s">
        <v>186</v>
      </c>
      <c r="I15" s="96" t="s">
        <v>410</v>
      </c>
      <c r="J15" s="96" t="str">
        <f>+IF(F15&gt;'Equipment Data'!$J$19,"yes","No")</f>
        <v>yes</v>
      </c>
      <c r="K15" s="96">
        <v>0.67</v>
      </c>
      <c r="L15" s="96" t="s">
        <v>187</v>
      </c>
      <c r="M15" s="156">
        <f>+IF(AND(D15="Compressor",E15="Centrifugal"),IF(F15&lt;'Equipment Data'!$J$19,10^('Equipment Data'!$C$19+'Equipment Data'!$D$19*LOG10(F15)+'Equipment Data'!$E$19*LOG10(F15)*LOG10(F15)),10^('Equipment Data'!$C$19+'Equipment Data'!$D$19*LOG10('Equipment Data'!$J$19)+'Equipment Data'!$E$19*LOG10('Equipment Data'!$J$19)*LOG10('Equipment Data'!$J$19))*(F15/'Equipment Data'!$J$19)^K15),"N/A")</f>
        <v>1433999.1060591931</v>
      </c>
      <c r="N15" s="96" t="s">
        <v>187</v>
      </c>
      <c r="O15" s="158" t="s">
        <v>187</v>
      </c>
      <c r="P15" s="152">
        <f>+IF(I15="CS",'Equipment Data'!$F$19,IF(I15="SS",'Equipment Data'!$G$19,IF(I15="Ni",'Equipment Data'!$H$19,"N/A")))</f>
        <v>5.75</v>
      </c>
      <c r="Q15" s="153">
        <f t="shared" si="0"/>
        <v>8245494.8598403605</v>
      </c>
      <c r="R15" s="97">
        <v>1</v>
      </c>
      <c r="S15" s="193">
        <f>+IF(Tabla25879012013530638490105[[#This Row],[Equipment]]="","",Q15*R15/10^6)</f>
        <v>8.2454948598403597</v>
      </c>
      <c r="T15" s="587">
        <f t="shared" ca="1" si="1"/>
        <v>13.308834446874187</v>
      </c>
      <c r="U15" s="104"/>
      <c r="V15" s="83"/>
      <c r="W15" s="83"/>
      <c r="X15" s="83"/>
      <c r="Y15" s="83"/>
      <c r="Z15" s="83"/>
      <c r="AA15" s="83"/>
      <c r="AB15" s="83"/>
      <c r="AC15" s="83"/>
      <c r="AD15" s="83"/>
      <c r="AE15" s="83"/>
      <c r="AF15" s="83"/>
      <c r="AG15" s="83"/>
      <c r="AH15" s="83"/>
      <c r="AI15" s="83"/>
      <c r="AJ15" s="83"/>
      <c r="AK15" s="83"/>
      <c r="AL15" s="83"/>
      <c r="AM15" s="83"/>
      <c r="AN15" s="83"/>
      <c r="AO15" s="104"/>
      <c r="AP15" s="83"/>
      <c r="AQ15" s="215"/>
      <c r="AR15" s="371"/>
    </row>
    <row r="16" spans="1:44" ht="16.25" customHeight="1" x14ac:dyDescent="0.2">
      <c r="A16" s="83"/>
      <c r="B16" s="103"/>
      <c r="C16" s="99" t="s">
        <v>517</v>
      </c>
      <c r="D16" s="208" t="s">
        <v>192</v>
      </c>
      <c r="E16" s="208" t="s">
        <v>193</v>
      </c>
      <c r="F16" s="96">
        <f>+F14+F15</f>
        <v>11416.1</v>
      </c>
      <c r="G16" s="96" t="s">
        <v>187</v>
      </c>
      <c r="H16" s="96" t="s">
        <v>186</v>
      </c>
      <c r="I16" s="96" t="s">
        <v>187</v>
      </c>
      <c r="J16" s="96" t="str">
        <f>+IF(F16&gt;'Equipment Data'!$H$40,"yes","No")</f>
        <v>yes</v>
      </c>
      <c r="K16" s="96">
        <v>0.67</v>
      </c>
      <c r="L16" s="96" t="s">
        <v>187</v>
      </c>
      <c r="M16" s="156">
        <f>+IF(AND(D16="Drive",E16="Explosion Proof"),IF(F16&lt;'Equipment Data'!$H$40,10^('Equipment Data'!$C$40+'Equipment Data'!$D$40*LOG10(F16)+'Equipment Data'!$E$40*LOG10(F16)*LOG10(F16)),10^('Equipment Data'!$C$40+LOG10('Equipment Data'!$H$40)*'Equipment Data'!$D$40+'Equipment Data'!$E$40*LOG10('Equipment Data'!$H$40)*LOG10('Equipment Data'!$H$40))*(F16/'Equipment Data'!$H$40)^K16),"N/A")</f>
        <v>436775.34110068716</v>
      </c>
      <c r="N16" s="96" t="s">
        <v>187</v>
      </c>
      <c r="O16" s="96" t="s">
        <v>187</v>
      </c>
      <c r="P16" s="152">
        <f>+'Equipment Data'!$F$40</f>
        <v>1.5</v>
      </c>
      <c r="Q16" s="153">
        <f t="shared" si="0"/>
        <v>655163.01165103074</v>
      </c>
      <c r="R16" s="97">
        <v>1</v>
      </c>
      <c r="S16" s="193">
        <f>+IF(Tabla25879012013530638490105[[#This Row],[Equipment]]="","",Q16*R16/10^6)</f>
        <v>0.65516301165103075</v>
      </c>
      <c r="T16" s="587">
        <f t="shared" ca="1" si="1"/>
        <v>1.057481231386989</v>
      </c>
      <c r="U16" s="104"/>
      <c r="V16" s="83"/>
      <c r="W16" s="83"/>
      <c r="X16" s="83"/>
      <c r="Y16" s="83"/>
      <c r="Z16" s="83"/>
      <c r="AA16" s="83"/>
      <c r="AB16" s="83"/>
      <c r="AC16" s="83"/>
      <c r="AD16" s="83"/>
      <c r="AE16" s="83"/>
      <c r="AF16" s="83"/>
      <c r="AG16" s="83"/>
      <c r="AH16" s="83"/>
      <c r="AI16" s="83"/>
      <c r="AJ16" s="83"/>
      <c r="AK16" s="83"/>
      <c r="AL16" s="83"/>
      <c r="AM16" s="83"/>
      <c r="AN16" s="83"/>
      <c r="AO16" s="104"/>
      <c r="AP16" s="83"/>
      <c r="AQ16" s="215"/>
      <c r="AR16" s="371"/>
    </row>
    <row r="17" spans="1:44" ht="16.25" customHeight="1" x14ac:dyDescent="0.2">
      <c r="A17" s="83"/>
      <c r="B17" s="103"/>
      <c r="C17" s="99" t="s">
        <v>518</v>
      </c>
      <c r="D17" s="208" t="s">
        <v>177</v>
      </c>
      <c r="E17" s="208" t="s">
        <v>178</v>
      </c>
      <c r="F17" s="152">
        <f>+AD59+AE59</f>
        <v>7.7181770796731419E-3</v>
      </c>
      <c r="G17" s="96">
        <f>+AF59</f>
        <v>150</v>
      </c>
      <c r="H17" s="96" t="s">
        <v>179</v>
      </c>
      <c r="I17" s="96" t="s">
        <v>426</v>
      </c>
      <c r="J17" s="96" t="str">
        <f>+IF(F17&gt;'Equipment Data'!$F$239,"yes","No")</f>
        <v>No</v>
      </c>
      <c r="K17" s="96">
        <v>0.67</v>
      </c>
      <c r="L17" s="152">
        <f>+AB59</f>
        <v>9.1140883587111851E-2</v>
      </c>
      <c r="M17" s="156">
        <f>+IF(AND(D17="Vessel",E17="Vertical"),IF(F17&lt;'Equipment Data'!$F$239,10^('Equipment Data'!$B$239+'Equipment Data'!$C$239*LOG10(F17)+'Equipment Data'!$D$239*LOG10(F17)*LOG10(F17)),10^('Equipment Data'!$B$239+'Equipment Data'!$C$239*LOG10('Equipment Data'!$F$239)+'Equipment Data'!$D$239*LOG10('Equipment Data'!$F$239)*LOG10('Equipment Data'!$F$239))*(F17/'Equipment Data'!$F$239)^K17),"N/A")</f>
        <v>1069.6284694423514</v>
      </c>
      <c r="N17" s="152">
        <f>+IF(L17="","Input Diameter in m",IF(G17&gt;0.5,IF(((G17*L17)/(2*(850-0.6*G17))+0.00315)/0.0063&lt;1,1,((G17*L17)/(2*(850-0.6*G17))+0.00315)/0.0063),1.25))</f>
        <v>1.9276454195976165</v>
      </c>
      <c r="O17" s="96">
        <f>+IF(I17="CS",'Equipment Data'!$C$247,IF(I17="SS Clad",'Equipment Data'!$C$248,IF(I17="SS",'Equipment Data'!$C$249,IF(I17="Ni Clad",'Equipment Data'!$C$250,IF(I17="Ni",'Equipment Data'!$C$251,IF(I17="Ti Clad",'Equipment Data'!$C$252,IF(I17="Ti",'Equipment Data'!$C$253,"N/A")))))))</f>
        <v>1.74</v>
      </c>
      <c r="P17" s="158">
        <f>+'Equipment Data'!$C$244+'Equipment Data'!$D$244*N17*O17</f>
        <v>8.3544675147817316</v>
      </c>
      <c r="Q17" s="153">
        <f>+M17*P17</f>
        <v>8936.1763008418293</v>
      </c>
      <c r="R17" s="97">
        <v>1</v>
      </c>
      <c r="S17" s="193">
        <f>+IF(Tabla25879012013530638490105[[#This Row],[Equipment]]="","",Q17*R17/10^6)</f>
        <v>8.9361763008418294E-3</v>
      </c>
      <c r="T17" s="587">
        <f t="shared" ca="1" si="1"/>
        <v>1.4423645032541696E-2</v>
      </c>
      <c r="U17" s="104"/>
      <c r="V17" s="83"/>
      <c r="W17" s="83"/>
      <c r="X17" s="83"/>
      <c r="Y17" s="83"/>
      <c r="Z17" s="83"/>
      <c r="AA17" s="83"/>
      <c r="AB17" s="83"/>
      <c r="AC17" s="83"/>
      <c r="AD17" s="83"/>
      <c r="AE17" s="83"/>
      <c r="AF17" s="83"/>
      <c r="AG17" s="83"/>
      <c r="AH17" s="83"/>
      <c r="AI17" s="83"/>
      <c r="AJ17" s="83"/>
      <c r="AK17" s="83"/>
      <c r="AL17" s="83"/>
      <c r="AM17" s="83"/>
      <c r="AN17" s="83"/>
      <c r="AO17" s="104"/>
      <c r="AP17" s="83"/>
      <c r="AQ17" s="215"/>
      <c r="AR17" s="371"/>
    </row>
    <row r="18" spans="1:44" ht="16.25" customHeight="1" x14ac:dyDescent="0.2">
      <c r="A18" s="83"/>
      <c r="B18" s="103"/>
      <c r="C18" s="99" t="s">
        <v>519</v>
      </c>
      <c r="D18" s="208" t="s">
        <v>177</v>
      </c>
      <c r="E18" s="208" t="s">
        <v>178</v>
      </c>
      <c r="F18" s="152">
        <f t="shared" ref="F18" si="2">+AD60+AE60</f>
        <v>37.975568191849831</v>
      </c>
      <c r="G18" s="96">
        <f t="shared" ref="G18:G19" si="3">+AF60</f>
        <v>1.8</v>
      </c>
      <c r="H18" s="96" t="s">
        <v>179</v>
      </c>
      <c r="I18" s="96" t="s">
        <v>426</v>
      </c>
      <c r="J18" s="96" t="str">
        <f>+IF(F18&gt;'Equipment Data'!$F$239,"yes","No")</f>
        <v>No</v>
      </c>
      <c r="K18" s="96">
        <v>0.67</v>
      </c>
      <c r="L18" s="152">
        <f t="shared" ref="L18:L19" si="4">+AB60</f>
        <v>2.5945160365127604</v>
      </c>
      <c r="M18" s="156">
        <f>+IF(AND(D18="Vessel",E18="Vertical"),IF(F18&lt;'Equipment Data'!$F$239,10^('Equipment Data'!$B$239+'Equipment Data'!$C$239*LOG10(F18)+'Equipment Data'!$D$239*LOG10(F18)*LOG10(F18)),10^('Equipment Data'!$B$239+'Equipment Data'!$C$239*LOG10('Equipment Data'!$F$239)+'Equipment Data'!$D$239*LOG10('Equipment Data'!$F$239)*LOG10('Equipment Data'!$F$239))*(F18/'Equipment Data'!$F$239)^K18),"N/A")</f>
        <v>29768.216592768717</v>
      </c>
      <c r="N18" s="152">
        <f>+IF(L18="","Input Diameter in m",IF(G18&gt;0.5,IF(((G18*L18)/(2*(850-0.6*G18))+0.00315)/0.0063&lt;1,1,((G18*L18)/(2*(850-0.6*G18))+0.00315)/0.0063),1.25))</f>
        <v>1</v>
      </c>
      <c r="O18" s="96">
        <f>+IF(I18="CS",'Equipment Data'!$C$247,IF(I18="SS Clad",'Equipment Data'!$C$248,IF(I18="SS",'Equipment Data'!$C$249,IF(I18="Ni Clad",'Equipment Data'!$C$250,IF(I18="Ni",'Equipment Data'!$C$251,IF(I18="Ti Clad",'Equipment Data'!$C$252,IF(I18="Ti",'Equipment Data'!$C$253,"N/A")))))))</f>
        <v>1.74</v>
      </c>
      <c r="P18" s="158">
        <f>+'Equipment Data'!$C$244+'Equipment Data'!$D$244*N18*O18</f>
        <v>5.4168000000000003</v>
      </c>
      <c r="Q18" s="153">
        <f>+M18*P18</f>
        <v>161248.47563970959</v>
      </c>
      <c r="R18" s="97">
        <v>1</v>
      </c>
      <c r="S18" s="193">
        <f>+IF(Tabla25879012013530638490105[[#This Row],[Equipment]]="","",Q18*R18/10^6)</f>
        <v>0.16124847563970959</v>
      </c>
      <c r="T18" s="587">
        <f t="shared" ca="1" si="1"/>
        <v>0.2602668855634056</v>
      </c>
      <c r="U18" s="104"/>
      <c r="V18" s="83"/>
      <c r="W18" s="83"/>
      <c r="X18" s="83"/>
      <c r="Y18" s="83"/>
      <c r="Z18" s="83"/>
      <c r="AA18" s="83"/>
      <c r="AB18" s="83"/>
      <c r="AC18" s="83"/>
      <c r="AD18" s="83"/>
      <c r="AE18" s="83"/>
      <c r="AF18" s="83"/>
      <c r="AG18" s="83"/>
      <c r="AH18" s="83"/>
      <c r="AI18" s="83"/>
      <c r="AJ18" s="83"/>
      <c r="AK18" s="83"/>
      <c r="AL18" s="83"/>
      <c r="AM18" s="83"/>
      <c r="AN18" s="83"/>
      <c r="AO18" s="104"/>
      <c r="AP18" s="83"/>
      <c r="AQ18" s="215"/>
      <c r="AR18" s="371"/>
    </row>
    <row r="19" spans="1:44" ht="16.25" customHeight="1" x14ac:dyDescent="0.2">
      <c r="A19" s="83"/>
      <c r="B19" s="103"/>
      <c r="C19" s="99" t="s">
        <v>520</v>
      </c>
      <c r="D19" s="208" t="s">
        <v>177</v>
      </c>
      <c r="E19" s="208" t="s">
        <v>178</v>
      </c>
      <c r="F19" s="152">
        <f>+AD61+AE61</f>
        <v>3.7052880326649831</v>
      </c>
      <c r="G19" s="96">
        <f t="shared" si="3"/>
        <v>1</v>
      </c>
      <c r="H19" s="96" t="s">
        <v>179</v>
      </c>
      <c r="I19" s="96" t="s">
        <v>426</v>
      </c>
      <c r="J19" s="96" t="str">
        <f>+IF(F19&gt;'Equipment Data'!$F$239,"yes","No")</f>
        <v>No</v>
      </c>
      <c r="K19" s="96">
        <v>0.67</v>
      </c>
      <c r="L19" s="152">
        <f t="shared" si="4"/>
        <v>0.494293425048623</v>
      </c>
      <c r="M19" s="156">
        <f>+IF(AND(D19="Vessel",E19="Vertical"),IF(F19&lt;'Equipment Data'!$F$239,10^('Equipment Data'!$B$239+'Equipment Data'!$C$239*LOG10(F19)+'Equipment Data'!$D$239*LOG10(F19)*LOG10(F19)),10^('Equipment Data'!$B$239+'Equipment Data'!$C$239*LOG10('Equipment Data'!$F$239)+'Equipment Data'!$D$239*LOG10('Equipment Data'!$F$239)*LOG10('Equipment Data'!$F$239))*(F19/'Equipment Data'!$F$239)^K19),"N/A")</f>
        <v>6127.2673670741469</v>
      </c>
      <c r="N19" s="152">
        <f>+IF(L19="","Input Diameter in m",IF(G19&gt;0.5,IF(((G19*L19)/(2*(850-0.6*G19))+0.00315)/0.0063&lt;1,1,((G19*L19)/(2*(850-0.6*G19))+0.00315)/0.0063),1.25))</f>
        <v>1</v>
      </c>
      <c r="O19" s="96">
        <f>+IF(I19="CS",'Equipment Data'!$C$247,IF(I19="SS Clad",'Equipment Data'!$C$248,IF(I19="SS",'Equipment Data'!$C$249,IF(I19="Ni Clad",'Equipment Data'!$C$250,IF(I19="Ni",'Equipment Data'!$C$251,IF(I19="Ti Clad",'Equipment Data'!$C$252,IF(I19="Ti",'Equipment Data'!$C$253,"N/A")))))))</f>
        <v>1.74</v>
      </c>
      <c r="P19" s="158">
        <f>+'Equipment Data'!$C$244+'Equipment Data'!$D$244*N19*O19</f>
        <v>5.4168000000000003</v>
      </c>
      <c r="Q19" s="153">
        <f>+M19*P19</f>
        <v>33190.181873967238</v>
      </c>
      <c r="R19" s="97">
        <v>1</v>
      </c>
      <c r="S19" s="193">
        <f>+IF(Tabla25879012013530638490105[[#This Row],[Equipment]]="","",Q19*R19/10^6)</f>
        <v>3.3190181873967238E-2</v>
      </c>
      <c r="T19" s="587">
        <f t="shared" ca="1" si="1"/>
        <v>5.3571391812234609E-2</v>
      </c>
      <c r="U19" s="104"/>
      <c r="V19" s="83"/>
      <c r="W19" s="83"/>
      <c r="X19" s="83"/>
      <c r="Y19" s="83"/>
      <c r="Z19" s="83"/>
      <c r="AA19" s="83"/>
      <c r="AB19" s="83"/>
      <c r="AC19" s="83"/>
      <c r="AD19" s="83"/>
      <c r="AE19" s="83"/>
      <c r="AF19" s="83"/>
      <c r="AG19" s="83"/>
      <c r="AH19" s="83"/>
      <c r="AI19" s="83"/>
      <c r="AJ19" s="83"/>
      <c r="AK19" s="83"/>
      <c r="AL19" s="83"/>
      <c r="AM19" s="83"/>
      <c r="AN19" s="83"/>
      <c r="AO19" s="104"/>
      <c r="AP19" s="83"/>
      <c r="AQ19" s="215"/>
      <c r="AR19" s="371"/>
    </row>
    <row r="20" spans="1:44" ht="16.25" customHeight="1" x14ac:dyDescent="0.2">
      <c r="A20" s="83"/>
      <c r="B20" s="103"/>
      <c r="C20" s="99" t="s">
        <v>521</v>
      </c>
      <c r="D20" s="208" t="s">
        <v>194</v>
      </c>
      <c r="E20" s="208" t="s">
        <v>195</v>
      </c>
      <c r="F20" s="96">
        <f>+X38*1000/3600/AD38</f>
        <v>10.274776014543509</v>
      </c>
      <c r="G20" s="96">
        <v>150</v>
      </c>
      <c r="H20" s="96" t="s">
        <v>196</v>
      </c>
      <c r="I20" s="96" t="s">
        <v>284</v>
      </c>
      <c r="J20" s="96" t="str">
        <f>+IF(F20&gt;'Equipment Data'!$L$126,"yes","No")</f>
        <v>No</v>
      </c>
      <c r="K20" s="96">
        <v>0.67</v>
      </c>
      <c r="L20" s="96" t="s">
        <v>289</v>
      </c>
      <c r="M20" s="156">
        <f>+IF(AND(D20="Heat Exchanger",E20="Fixed tube, sheet, or U tube"),IF(F20&lt;'Equipment Data'!$L$126,10^('Equipment Data'!$C$126+'Equipment Data'!$D$126*LOG10(F20)+'Equipment Data'!$E$126*LOG10(F20)*LOG10(F20)),10^('Equipment Data'!$C$126+'Equipment Data'!$D$126*LOG10('Equipment Data'!$L$126)+'Equipment Data'!$E$126*LOG10('Equipment Data'!$L$126)*LOG10('Equipment Data'!$L$126))*(F20/'Equipment Data'!$L$126)^K20),"N/A")</f>
        <v>15325.082728086274</v>
      </c>
      <c r="N20" s="152">
        <f>+IF(L20="","Input: shell and tube / tube only",IF(L20="shell and tube",IF(G20-1&gt;5,10^('Equipment Data'!$F$126+'Equipment Data'!$G$126*LOG10(G20-1.01325)+'Equipment Data'!$H$126*LOG10(G20-1.01325)*LOG10(G20-1.01325)),1),IF(G20-1.01325&gt;5,10^('Equipment Data'!$F$127+'Equipment Data'!$G$127*LOG10(G20-1.01325)+'Equipment Data'!$H$127*LOG10(G20-1.01325)*LOG10(G20-1.01325)),1)))</f>
        <v>1.1036261536027194</v>
      </c>
      <c r="O20" s="96">
        <f>+IF(I20="CS/CS",'Equipment Data'!$C$149,IF(I20="CS/Cu",'Equipment Data'!$D$149,IF(I20="Cu/Cu",'Equipment Data'!$E$149,IF(I20="CS/SS",'Equipment Data'!$F$149,IF(I20="SS/SS",'Equipment Data'!$G$149,IF(I20="CS/Ni",'Equipment Data'!$H$149,IF(I20="Ni/Ni",'Equipment Data'!$I$149,IF(I20="CS/Ti",'Equipment Data'!$J$149,IF(I20="Ti/Ti",'Equipment Data'!$K$149,"N/A")))))))))</f>
        <v>2.68</v>
      </c>
      <c r="P20" s="152">
        <f>+'Equipment Data'!$I$126+'Equipment Data'!$J$126*N20*O20</f>
        <v>6.5398120321477782</v>
      </c>
      <c r="Q20" s="153">
        <f t="shared" ref="Q20:Q23" si="5">+M20*P20</f>
        <v>100223.16041879871</v>
      </c>
      <c r="R20" s="97">
        <v>1</v>
      </c>
      <c r="S20" s="193">
        <f>+IF(Tabla25879012013530638490105[[#This Row],[Equipment]]="","",Q20*R20/10^6)</f>
        <v>0.10022316041879871</v>
      </c>
      <c r="T20" s="587">
        <f t="shared" ca="1" si="1"/>
        <v>0.161767543662277</v>
      </c>
      <c r="U20" s="104"/>
      <c r="V20" s="83"/>
      <c r="W20" s="83"/>
      <c r="X20" s="83"/>
      <c r="Y20" s="83"/>
      <c r="Z20" s="83"/>
      <c r="AA20" s="83"/>
      <c r="AB20" s="83"/>
      <c r="AC20" s="83"/>
      <c r="AD20" s="83"/>
      <c r="AE20" s="83"/>
      <c r="AF20" s="83"/>
      <c r="AG20" s="83"/>
      <c r="AH20" s="83"/>
      <c r="AI20" s="83"/>
      <c r="AJ20" s="83"/>
      <c r="AK20" s="83"/>
      <c r="AL20" s="83"/>
      <c r="AM20" s="83"/>
      <c r="AN20" s="83"/>
      <c r="AO20" s="104"/>
      <c r="AP20" s="83"/>
      <c r="AQ20" s="215"/>
      <c r="AR20" s="371"/>
    </row>
    <row r="21" spans="1:44" ht="16.25" customHeight="1" x14ac:dyDescent="0.2">
      <c r="A21" s="83"/>
      <c r="B21" s="103"/>
      <c r="C21" s="99" t="s">
        <v>522</v>
      </c>
      <c r="D21" s="208" t="s">
        <v>194</v>
      </c>
      <c r="E21" s="208" t="s">
        <v>195</v>
      </c>
      <c r="F21" s="96">
        <f>+X39*1000/3600/AD39</f>
        <v>1129.0111428085665</v>
      </c>
      <c r="G21" s="96">
        <v>150</v>
      </c>
      <c r="H21" s="96" t="s">
        <v>196</v>
      </c>
      <c r="I21" s="96" t="s">
        <v>284</v>
      </c>
      <c r="J21" s="96" t="str">
        <f>+IF(F21&gt;'Equipment Data'!$L$126,"yes","No")</f>
        <v>yes</v>
      </c>
      <c r="K21" s="96">
        <v>0.67</v>
      </c>
      <c r="L21" s="96" t="s">
        <v>289</v>
      </c>
      <c r="M21" s="156">
        <f>+IF(AND(D21="Heat Exchanger",E21="Fixed tube, sheet, or U tube"),IF(F21&lt;'Equipment Data'!$L$126,10^('Equipment Data'!$C$126+'Equipment Data'!$D$126*LOG10(F21)+'Equipment Data'!$E$126*LOG10(F21)*LOG10(F21)),10^('Equipment Data'!$C$126+'Equipment Data'!$D$126*LOG10('Equipment Data'!$L$126)+'Equipment Data'!$E$126*LOG10('Equipment Data'!$L$126)*LOG10('Equipment Data'!$L$126))*(F21/'Equipment Data'!$L$126)^K21),"N/A")</f>
        <v>83484.877243183742</v>
      </c>
      <c r="N21" s="152">
        <f>+IF(L21="","Input: shell and tube / tube only",IF(L21="shell and tube",IF(G21-1&gt;5,10^('Equipment Data'!$F$126+'Equipment Data'!$G$126*LOG10(G21-1.01325)+'Equipment Data'!$H$126*LOG10(G21-1.01325)*LOG10(G21-1.01325)),1),IF(G21-1.01325&gt;5,10^('Equipment Data'!$F$127+'Equipment Data'!$G$127*LOG10(G21-1.01325)+'Equipment Data'!$H$127*LOG10(G21-1.01325)*LOG10(G21-1.01325)),1)))</f>
        <v>1.1036261536027194</v>
      </c>
      <c r="O21" s="96">
        <f>+IF(I21="CS/CS",'Equipment Data'!$C$149,IF(I21="CS/Cu",'Equipment Data'!$D$149,IF(I21="Cu/Cu",'Equipment Data'!$E$149,IF(I21="CS/SS",'Equipment Data'!$F$149,IF(I21="SS/SS",'Equipment Data'!$G$149,IF(I21="CS/Ni",'Equipment Data'!$H$149,IF(I21="Ni/Ni",'Equipment Data'!$I$149,IF(I21="CS/Ti",'Equipment Data'!$J$149,IF(I21="Ti/Ti",'Equipment Data'!$K$149,"N/A")))))))))</f>
        <v>2.68</v>
      </c>
      <c r="P21" s="152">
        <f>+'Equipment Data'!$I$126+'Equipment Data'!$J$126*N21*O21</f>
        <v>6.5398120321477782</v>
      </c>
      <c r="Q21" s="153">
        <f t="shared" si="5"/>
        <v>545975.40469735325</v>
      </c>
      <c r="R21" s="97">
        <v>1</v>
      </c>
      <c r="S21" s="193">
        <f>+IF(Tabla25879012013530638490105[[#This Row],[Equipment]]="","",Q21*R21/10^6)</f>
        <v>0.54597540469735328</v>
      </c>
      <c r="T21" s="587">
        <f t="shared" ca="1" si="1"/>
        <v>0.88124441245760388</v>
      </c>
      <c r="U21" s="104"/>
      <c r="V21" s="83"/>
      <c r="W21" s="83"/>
      <c r="X21" s="83"/>
      <c r="Y21" s="83"/>
      <c r="Z21" s="83"/>
      <c r="AA21" s="83"/>
      <c r="AB21" s="83"/>
      <c r="AC21" s="83"/>
      <c r="AD21" s="83"/>
      <c r="AE21" s="83"/>
      <c r="AF21" s="83"/>
      <c r="AG21" s="83"/>
      <c r="AH21" s="83"/>
      <c r="AI21" s="83"/>
      <c r="AJ21" s="83"/>
      <c r="AK21" s="83"/>
      <c r="AL21" s="83"/>
      <c r="AM21" s="83"/>
      <c r="AN21" s="83"/>
      <c r="AO21" s="104"/>
      <c r="AP21" s="83"/>
      <c r="AQ21" s="215"/>
      <c r="AR21" s="371"/>
    </row>
    <row r="22" spans="1:44" ht="16.25" customHeight="1" x14ac:dyDescent="0.2">
      <c r="A22" s="83"/>
      <c r="B22" s="103"/>
      <c r="C22" s="99" t="s">
        <v>523</v>
      </c>
      <c r="D22" s="208" t="s">
        <v>194</v>
      </c>
      <c r="E22" s="208" t="s">
        <v>195</v>
      </c>
      <c r="F22" s="96">
        <f t="shared" ref="F22:F23" si="6">+X40*1000/3600/AD40</f>
        <v>1294.8858917137113</v>
      </c>
      <c r="G22" s="96">
        <v>150</v>
      </c>
      <c r="H22" s="96" t="s">
        <v>196</v>
      </c>
      <c r="I22" s="96" t="s">
        <v>364</v>
      </c>
      <c r="J22" s="96" t="str">
        <f>+IF(F22&gt;'Equipment Data'!$L$126,"yes","No")</f>
        <v>yes</v>
      </c>
      <c r="K22" s="96">
        <v>0.67</v>
      </c>
      <c r="L22" s="96" t="s">
        <v>289</v>
      </c>
      <c r="M22" s="156">
        <f>+IF(AND(D22="Heat Exchanger",E22="Fixed tube, sheet, or U tube"),IF(F22&lt;'Equipment Data'!$L$126,10^('Equipment Data'!$C$126+'Equipment Data'!$D$126*LOG10(F22)+'Equipment Data'!$E$126*LOG10(F22)*LOG10(F22)),10^('Equipment Data'!$C$126+'Equipment Data'!$D$126*LOG10('Equipment Data'!$L$126)+'Equipment Data'!$E$126*LOG10('Equipment Data'!$L$126)*LOG10('Equipment Data'!$L$126))*(F22/'Equipment Data'!$L$126)^K22),"N/A")</f>
        <v>91515.594307071151</v>
      </c>
      <c r="N22" s="152">
        <f>+IF(L22="","Input: shell and tube / tube only",IF(L22="shell and tube",IF(G22-1&gt;5,10^('Equipment Data'!$F$126+'Equipment Data'!$G$126*LOG10(G22-1.01325)+'Equipment Data'!$H$126*LOG10(G22-1.01325)*LOG10(G22-1.01325)),1),IF(G22-1.01325&gt;5,10^('Equipment Data'!$F$127+'Equipment Data'!$G$127*LOG10(G22-1.01325)+'Equipment Data'!$H$127*LOG10(G22-1.01325)*LOG10(G22-1.01325)),1)))</f>
        <v>1.1036261536027194</v>
      </c>
      <c r="O22" s="96">
        <f>+IF(I22="CS/CS",'Equipment Data'!$C$149,IF(I22="CS/Cu",'Equipment Data'!$D$149,IF(I22="Cu/Cu",'Equipment Data'!$E$149,IF(I22="CS/SS",'Equipment Data'!$F$149,IF(I22="SS/SS",'Equipment Data'!$G$149,IF(I22="CS/Ni",'Equipment Data'!$H$149,IF(I22="Ni/Ni",'Equipment Data'!$I$149,IF(I22="CS/Ti",'Equipment Data'!$J$149,IF(I22="Ti/Ti",'Equipment Data'!$K$149,"N/A")))))))))</f>
        <v>1.81</v>
      </c>
      <c r="P22" s="152">
        <f>+'Equipment Data'!$I$126+'Equipment Data'!$J$126*N22*O22</f>
        <v>4.9459551411147302</v>
      </c>
      <c r="Q22" s="153">
        <f t="shared" si="5"/>
        <v>452632.02415522852</v>
      </c>
      <c r="R22" s="97">
        <v>1</v>
      </c>
      <c r="S22" s="193">
        <f>+IF(Tabla25879012013530638490105[[#This Row],[Equipment]]="","",Q22*R22/10^6)</f>
        <v>0.45263202415522852</v>
      </c>
      <c r="T22" s="587">
        <f t="shared" ca="1" si="1"/>
        <v>0.7305813389291379</v>
      </c>
      <c r="U22" s="104"/>
      <c r="V22" s="83"/>
      <c r="W22" s="83"/>
      <c r="X22" s="83"/>
      <c r="Y22" s="83"/>
      <c r="Z22" s="83"/>
      <c r="AA22" s="83"/>
      <c r="AB22" s="83"/>
      <c r="AC22" s="83"/>
      <c r="AD22" s="83"/>
      <c r="AE22" s="83"/>
      <c r="AF22" s="83"/>
      <c r="AG22" s="83"/>
      <c r="AH22" s="83"/>
      <c r="AI22" s="83"/>
      <c r="AJ22" s="83"/>
      <c r="AK22" s="83"/>
      <c r="AL22" s="83"/>
      <c r="AM22" s="83"/>
      <c r="AN22" s="83"/>
      <c r="AO22" s="104"/>
      <c r="AP22" s="83"/>
      <c r="AQ22" s="215"/>
      <c r="AR22" s="371"/>
    </row>
    <row r="23" spans="1:44" ht="16.25" customHeight="1" x14ac:dyDescent="0.2">
      <c r="A23" s="83"/>
      <c r="B23" s="103"/>
      <c r="C23" s="99" t="str">
        <f>+W41</f>
        <v>C-701</v>
      </c>
      <c r="D23" s="208" t="s">
        <v>194</v>
      </c>
      <c r="E23" s="208" t="s">
        <v>195</v>
      </c>
      <c r="F23" s="96">
        <f t="shared" si="6"/>
        <v>7131.2031816510826</v>
      </c>
      <c r="G23" s="96">
        <v>11</v>
      </c>
      <c r="H23" s="96" t="s">
        <v>196</v>
      </c>
      <c r="I23" s="96" t="s">
        <v>364</v>
      </c>
      <c r="J23" s="96" t="str">
        <f>+IF(F23&gt;'Equipment Data'!$L$126,"yes","No")</f>
        <v>yes</v>
      </c>
      <c r="K23" s="96">
        <v>0.67</v>
      </c>
      <c r="L23" s="96" t="s">
        <v>289</v>
      </c>
      <c r="M23" s="156">
        <f>+IF(AND(D23="Heat Exchanger",E23="Fixed tube, sheet, or U tube"),IF(F23&lt;'Equipment Data'!$L$126,10^('Equipment Data'!$C$126+'Equipment Data'!$D$126*LOG10(F23)+'Equipment Data'!$E$126*LOG10(F23)*LOG10(F23)),10^('Equipment Data'!$C$126+'Equipment Data'!$D$126*LOG10('Equipment Data'!$L$126)+'Equipment Data'!$E$126*LOG10('Equipment Data'!$L$126)*LOG10('Equipment Data'!$L$126))*(F23/'Equipment Data'!$L$126)^K23),"N/A")</f>
        <v>287024.57532164076</v>
      </c>
      <c r="N23" s="152">
        <f>+IF(L23="","Input: shell and tube / tube only",IF(L23="shell and tube",IF(G23-1&gt;5,10^('Equipment Data'!$F$126+'Equipment Data'!$G$126*LOG10(G23-1.01325)+'Equipment Data'!$H$126*LOG10(G23-1.01325)*LOG10(G23-1.01325)),1),IF(G23-1.01325&gt;5,10^('Equipment Data'!$F$127+'Equipment Data'!$G$127*LOG10(G23-1.01325)+'Equipment Data'!$H$127*LOG10(G23-1.01325)*LOG10(G23-1.01325)),1)))</f>
        <v>1.0101350700094676</v>
      </c>
      <c r="O23" s="96">
        <f>+IF(I23="CS/CS",'Equipment Data'!$C$149,IF(I23="CS/Cu",'Equipment Data'!$D$149,IF(I23="Cu/Cu",'Equipment Data'!$E$149,IF(I23="CS/SS",'Equipment Data'!$F$149,IF(I23="SS/SS",'Equipment Data'!$G$149,IF(I23="CS/Ni",'Equipment Data'!$H$149,IF(I23="Ni/Ni",'Equipment Data'!$I$149,IF(I23="CS/Ti",'Equipment Data'!$J$149,IF(I23="Ti/Ti",'Equipment Data'!$K$149,"N/A")))))))))</f>
        <v>1.81</v>
      </c>
      <c r="P23" s="152">
        <f>+'Equipment Data'!$I$126+'Equipment Data'!$J$126*N23*O23</f>
        <v>4.6650518313504463</v>
      </c>
      <c r="Q23" s="153">
        <f t="shared" si="5"/>
        <v>1338984.5207468043</v>
      </c>
      <c r="R23" s="97">
        <v>1</v>
      </c>
      <c r="S23" s="193">
        <f>+IF(Tabla25879012013530638490105[[#This Row],[Equipment]]="","",Q23*R23/10^6)</f>
        <v>1.3389845207468043</v>
      </c>
      <c r="T23" s="587">
        <f t="shared" ca="1" si="1"/>
        <v>2.1612193830039463</v>
      </c>
      <c r="U23" s="104"/>
      <c r="V23" s="83"/>
      <c r="W23" s="83"/>
      <c r="X23" s="83"/>
      <c r="Y23" s="83"/>
      <c r="Z23" s="83"/>
      <c r="AA23" s="83"/>
      <c r="AB23" s="83"/>
      <c r="AC23" s="83"/>
      <c r="AD23" s="83"/>
      <c r="AE23" s="83"/>
      <c r="AF23" s="83"/>
      <c r="AG23" s="83"/>
      <c r="AH23" s="83"/>
      <c r="AI23" s="83"/>
      <c r="AJ23" s="83"/>
      <c r="AK23" s="83"/>
      <c r="AL23" s="83"/>
      <c r="AM23" s="83"/>
      <c r="AN23" s="83"/>
      <c r="AO23" s="104"/>
      <c r="AP23" s="83"/>
      <c r="AQ23" s="215"/>
      <c r="AR23" s="371"/>
    </row>
    <row r="24" spans="1:44" ht="16.25" customHeight="1" x14ac:dyDescent="0.2">
      <c r="A24" s="83"/>
      <c r="B24" s="103"/>
      <c r="C24" s="99"/>
      <c r="D24" s="208"/>
      <c r="E24" s="208"/>
      <c r="F24" s="96"/>
      <c r="G24" s="330"/>
      <c r="H24" s="96"/>
      <c r="I24" s="96"/>
      <c r="J24" s="96"/>
      <c r="K24" s="96"/>
      <c r="L24" s="158"/>
      <c r="M24" s="156"/>
      <c r="N24" s="155"/>
      <c r="O24" s="96"/>
      <c r="P24" s="153"/>
      <c r="Q24" s="153"/>
      <c r="R24" s="97"/>
      <c r="S24" s="193"/>
      <c r="T24" s="587">
        <f t="shared" ca="1" si="1"/>
        <v>0</v>
      </c>
      <c r="U24" s="104"/>
      <c r="V24" s="83"/>
      <c r="W24" s="83"/>
      <c r="X24" s="83"/>
      <c r="Y24" s="83"/>
      <c r="Z24" s="83"/>
      <c r="AA24" s="83"/>
      <c r="AB24" s="83"/>
      <c r="AC24" s="83"/>
      <c r="AD24" s="83"/>
      <c r="AE24" s="83"/>
      <c r="AF24" s="83"/>
      <c r="AG24" s="83"/>
      <c r="AH24" s="83"/>
      <c r="AI24" s="83"/>
      <c r="AJ24" s="83"/>
      <c r="AK24" s="83"/>
      <c r="AL24" s="83"/>
      <c r="AM24" s="83"/>
      <c r="AN24" s="83"/>
      <c r="AO24" s="104"/>
      <c r="AP24" s="83"/>
      <c r="AQ24" s="215"/>
      <c r="AR24" s="371"/>
    </row>
    <row r="25" spans="1:44" ht="16.25" customHeight="1" x14ac:dyDescent="0.2">
      <c r="A25" s="83"/>
      <c r="B25" s="103"/>
      <c r="C25" s="99"/>
      <c r="D25" s="208"/>
      <c r="E25" s="208"/>
      <c r="F25" s="96"/>
      <c r="G25" s="96"/>
      <c r="H25" s="96"/>
      <c r="I25" s="96"/>
      <c r="J25" s="96"/>
      <c r="K25" s="96"/>
      <c r="L25" s="152"/>
      <c r="M25" s="156"/>
      <c r="N25" s="152"/>
      <c r="O25" s="96"/>
      <c r="P25" s="153"/>
      <c r="Q25" s="153"/>
      <c r="R25" s="97"/>
      <c r="S25" s="193"/>
      <c r="T25" s="587">
        <f t="shared" ca="1" si="1"/>
        <v>0</v>
      </c>
      <c r="U25" s="104"/>
      <c r="V25" s="83"/>
      <c r="W25" s="83"/>
      <c r="X25" s="83"/>
      <c r="Y25" s="83"/>
      <c r="Z25" s="83"/>
      <c r="AA25" s="83"/>
      <c r="AB25" s="83"/>
      <c r="AC25" s="83"/>
      <c r="AD25" s="83"/>
      <c r="AE25" s="83"/>
      <c r="AF25" s="83"/>
      <c r="AG25" s="83"/>
      <c r="AH25" s="83"/>
      <c r="AI25" s="83"/>
      <c r="AJ25" s="83"/>
      <c r="AK25" s="83"/>
      <c r="AL25" s="83"/>
      <c r="AM25" s="83"/>
      <c r="AN25" s="83"/>
      <c r="AO25" s="104"/>
      <c r="AP25" s="83"/>
      <c r="AQ25" s="215"/>
      <c r="AR25" s="371"/>
    </row>
    <row r="26" spans="1:44" ht="16.25" customHeight="1" x14ac:dyDescent="0.2">
      <c r="A26" s="83"/>
      <c r="B26" s="103"/>
      <c r="C26" s="99" t="s">
        <v>524</v>
      </c>
      <c r="D26" s="208" t="s">
        <v>189</v>
      </c>
      <c r="E26" s="208" t="s">
        <v>190</v>
      </c>
      <c r="F26" s="96">
        <v>238</v>
      </c>
      <c r="G26" s="96" t="s">
        <v>187</v>
      </c>
      <c r="H26" s="96" t="s">
        <v>186</v>
      </c>
      <c r="I26" s="96" t="s">
        <v>182</v>
      </c>
      <c r="J26" s="96" t="str">
        <f>+IF(F26&gt;'Equipment Data'!$J$19,"yes","No")</f>
        <v>No</v>
      </c>
      <c r="K26" s="96">
        <v>0.67</v>
      </c>
      <c r="L26" s="96" t="s">
        <v>187</v>
      </c>
      <c r="M26" s="156">
        <f>+IF(AND(D26="Compressor",E26="Centrifugal"),IF(F26&lt;'Equipment Data'!$J$19,10^('Equipment Data'!$C$19+'Equipment Data'!$D$19*LOG10(F26)+'Equipment Data'!$E$19*LOG10(F26)*LOG10(F26)),10^('Equipment Data'!$C$19+'Equipment Data'!$D$19*LOG10('Equipment Data'!$J$19)+'Equipment Data'!$E$19*LOG10('Equipment Data'!$J$19)*LOG10('Equipment Data'!$J$19))*(F26/'Equipment Data'!$J$19)^K26),"N/A")</f>
        <v>87525.292420496422</v>
      </c>
      <c r="N26" s="96" t="s">
        <v>187</v>
      </c>
      <c r="O26" s="158" t="s">
        <v>187</v>
      </c>
      <c r="P26" s="152">
        <f>+IF(I26="CS",'Equipment Data'!$F$19,IF(I26="SS",'Equipment Data'!$G$19,IF(I26="Ni",'Equipment Data'!$H$19,"N/A")))</f>
        <v>2.74</v>
      </c>
      <c r="Q26" s="153">
        <f t="shared" ref="Q26" si="7">+M26*P26</f>
        <v>239819.30123216021</v>
      </c>
      <c r="R26" s="97">
        <v>0</v>
      </c>
      <c r="S26" s="193">
        <f>+IF(Tabla25879012013530638490105[[#This Row],[Equipment]]="","",Q26*R26/10^6)</f>
        <v>0</v>
      </c>
      <c r="T26" s="587">
        <f t="shared" ca="1" si="1"/>
        <v>0</v>
      </c>
      <c r="U26" s="104"/>
      <c r="V26" s="83"/>
      <c r="W26" s="83"/>
      <c r="X26" s="83"/>
      <c r="Y26" s="83"/>
      <c r="Z26" s="83"/>
      <c r="AA26" s="83"/>
      <c r="AB26" s="83"/>
      <c r="AC26" s="83"/>
      <c r="AD26" s="83"/>
      <c r="AE26" s="83"/>
      <c r="AF26" s="83"/>
      <c r="AG26" s="83"/>
      <c r="AH26" s="83"/>
      <c r="AI26" s="83"/>
      <c r="AJ26" s="83"/>
      <c r="AK26" s="83"/>
      <c r="AL26" s="83"/>
      <c r="AM26" s="83"/>
      <c r="AN26" s="83"/>
      <c r="AO26" s="104"/>
      <c r="AP26" s="83"/>
      <c r="AQ26" s="215"/>
      <c r="AR26" s="371"/>
    </row>
    <row r="27" spans="1:44" ht="16.25" customHeight="1" x14ac:dyDescent="0.2">
      <c r="A27" s="83"/>
      <c r="B27" s="103"/>
      <c r="C27" s="99"/>
      <c r="D27" s="208"/>
      <c r="E27" s="208"/>
      <c r="F27" s="158"/>
      <c r="G27" s="158"/>
      <c r="H27" s="395" t="str">
        <f>IF(Tabla27889112113631648591106[[#This Row],[Subtype]]="","",VLOOKUP(Tabla27889112113631648591106[[#This Row],[Subtype]],'Unit-X00 Equipment'!$E$13:$H$107,4,FALSE))</f>
        <v/>
      </c>
      <c r="I27" s="96"/>
      <c r="J27" s="96"/>
      <c r="K27" s="96"/>
      <c r="L27" s="96"/>
      <c r="M27" s="234"/>
      <c r="N27" s="158"/>
      <c r="O27" s="158"/>
      <c r="P27" s="158"/>
      <c r="Q27" s="158"/>
      <c r="R27" s="97"/>
      <c r="S27" s="193" t="str">
        <f>+IF(Tabla25879012013530638490105[[#This Row],[Equipment]]="","",Q27*R27/10^6)</f>
        <v/>
      </c>
      <c r="T27" s="587" t="e">
        <f t="shared" ca="1" si="1"/>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15"/>
      <c r="AR27" s="371"/>
    </row>
    <row r="28" spans="1:44" ht="16.25" customHeight="1" x14ac:dyDescent="0.2">
      <c r="A28" s="83"/>
      <c r="B28" s="103"/>
      <c r="C28" s="99"/>
      <c r="D28" s="208"/>
      <c r="E28" s="208"/>
      <c r="F28" s="158"/>
      <c r="G28" s="158"/>
      <c r="H28" s="395" t="str">
        <f>IF(Tabla27889112113631648591106[[#This Row],[Subtype]]="","",VLOOKUP(Tabla27889112113631648591106[[#This Row],[Subtype]],'Unit-X00 Equipment'!$E$13:$H$107,4,FALSE))</f>
        <v/>
      </c>
      <c r="I28" s="96"/>
      <c r="J28" s="96"/>
      <c r="K28" s="96"/>
      <c r="L28" s="96"/>
      <c r="M28" s="234"/>
      <c r="N28" s="158"/>
      <c r="O28" s="158"/>
      <c r="P28" s="158"/>
      <c r="Q28" s="158"/>
      <c r="R28" s="97"/>
      <c r="S28" s="193" t="str">
        <f>+IF(Tabla25879012013530638490105[[#This Row],[Equipment]]="","",Q28*R28/10^6)</f>
        <v/>
      </c>
      <c r="T28" s="587" t="e">
        <f t="shared" ca="1" si="1"/>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15"/>
      <c r="AR28" s="371"/>
    </row>
    <row r="29" spans="1:44" ht="16.25" customHeight="1" x14ac:dyDescent="0.2">
      <c r="A29" s="83"/>
      <c r="B29" s="103"/>
      <c r="C29" s="99"/>
      <c r="D29" s="208"/>
      <c r="E29" s="208"/>
      <c r="F29" s="158"/>
      <c r="G29" s="158"/>
      <c r="H29" s="395" t="str">
        <f>IF(Tabla27889112113631648591106[[#This Row],[Subtype]]="","",VLOOKUP(Tabla27889112113631648591106[[#This Row],[Subtype]],'Unit-X00 Equipment'!$E$13:$H$107,4,FALSE))</f>
        <v/>
      </c>
      <c r="I29" s="96"/>
      <c r="J29" s="96"/>
      <c r="K29" s="96"/>
      <c r="L29" s="96"/>
      <c r="M29" s="234"/>
      <c r="N29" s="158"/>
      <c r="O29" s="158"/>
      <c r="P29" s="158"/>
      <c r="Q29" s="158"/>
      <c r="R29" s="97"/>
      <c r="S29" s="193" t="str">
        <f>+IF(Tabla25879012013530638490105[[#This Row],[Equipment]]="","",Q29*R29/10^6)</f>
        <v/>
      </c>
      <c r="T29" s="587" t="e">
        <f t="shared" ca="1" si="1"/>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15"/>
      <c r="AR29" s="371"/>
    </row>
    <row r="30" spans="1:44" ht="16.25" customHeight="1" x14ac:dyDescent="0.2">
      <c r="A30" s="83"/>
      <c r="B30" s="103"/>
      <c r="C30" s="99"/>
      <c r="D30" s="208"/>
      <c r="E30" s="208"/>
      <c r="F30" s="158"/>
      <c r="G30" s="158"/>
      <c r="H30" s="395" t="str">
        <f>IF(Tabla27889112113631648591106[[#This Row],[Subtype]]="","",VLOOKUP(Tabla27889112113631648591106[[#This Row],[Subtype]],'Unit-X00 Equipment'!$E$13:$H$107,4,FALSE))</f>
        <v/>
      </c>
      <c r="I30" s="96"/>
      <c r="J30" s="96"/>
      <c r="K30" s="96"/>
      <c r="L30" s="96"/>
      <c r="M30" s="234"/>
      <c r="N30" s="158"/>
      <c r="O30" s="158"/>
      <c r="P30" s="158"/>
      <c r="Q30" s="158"/>
      <c r="R30" s="97"/>
      <c r="S30" s="193" t="str">
        <f>+IF(Tabla25879012013530638490105[[#This Row],[Equipment]]="","",Q30*R30/10^6)</f>
        <v/>
      </c>
      <c r="T30" s="587" t="e">
        <f t="shared" ca="1" si="1"/>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15"/>
      <c r="AR30" s="371"/>
    </row>
    <row r="31" spans="1:44" ht="16.25" customHeight="1" x14ac:dyDescent="0.2">
      <c r="A31" s="83"/>
      <c r="B31" s="103"/>
      <c r="C31" s="99"/>
      <c r="D31" s="208"/>
      <c r="E31" s="208"/>
      <c r="F31" s="158"/>
      <c r="G31" s="158"/>
      <c r="H31" s="395" t="str">
        <f>IF(Tabla27889112113631648591106[[#This Row],[Subtype]]="","",VLOOKUP(Tabla27889112113631648591106[[#This Row],[Subtype]],'Unit-X00 Equipment'!$E$13:$H$107,4,FALSE))</f>
        <v/>
      </c>
      <c r="I31" s="96"/>
      <c r="J31" s="96"/>
      <c r="K31" s="96"/>
      <c r="L31" s="96"/>
      <c r="M31" s="234"/>
      <c r="N31" s="158"/>
      <c r="O31" s="158"/>
      <c r="P31" s="158"/>
      <c r="Q31" s="158"/>
      <c r="R31" s="97"/>
      <c r="S31" s="193" t="str">
        <f>+IF(Tabla25879012013530638490105[[#This Row],[Equipment]]="","",Q31*R31/10^6)</f>
        <v/>
      </c>
      <c r="T31" s="587" t="e">
        <f t="shared" ca="1" si="1"/>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15"/>
      <c r="AR31" s="371"/>
    </row>
    <row r="32" spans="1:44" ht="16.25" customHeight="1" x14ac:dyDescent="0.2">
      <c r="A32" s="83"/>
      <c r="B32" s="103"/>
      <c r="C32" s="99"/>
      <c r="D32" s="208"/>
      <c r="E32" s="208"/>
      <c r="F32" s="158"/>
      <c r="G32" s="158"/>
      <c r="H32" s="395" t="str">
        <f>IF(Tabla27889112113631648591106[[#This Row],[Subtype]]="","",VLOOKUP(Tabla27889112113631648591106[[#This Row],[Subtype]],'Unit-X00 Equipment'!$E$13:$H$107,4,FALSE))</f>
        <v/>
      </c>
      <c r="I32" s="96"/>
      <c r="J32" s="96"/>
      <c r="K32" s="96"/>
      <c r="L32" s="96"/>
      <c r="M32" s="156"/>
      <c r="N32" s="96"/>
      <c r="O32" s="96"/>
      <c r="P32" s="152"/>
      <c r="Q32" s="153"/>
      <c r="R32" s="97"/>
      <c r="S32" s="193" t="str">
        <f>+IF(Tabla25879012013530638490105[[#This Row],[Equipment]]="","",Q32*R32/10^6)</f>
        <v/>
      </c>
      <c r="T32" s="587" t="e">
        <f t="shared" ca="1" si="1"/>
        <v>#VALUE!</v>
      </c>
      <c r="U32" s="83"/>
      <c r="W32" s="83"/>
      <c r="X32" s="83"/>
      <c r="Y32" s="83"/>
      <c r="Z32" s="83"/>
      <c r="AA32" s="83"/>
      <c r="AB32" s="83"/>
      <c r="AC32" s="83"/>
      <c r="AD32" s="83"/>
      <c r="AE32" s="83"/>
      <c r="AF32" s="83"/>
      <c r="AG32" s="83"/>
      <c r="AH32" s="83"/>
      <c r="AI32" s="83"/>
      <c r="AJ32" s="83"/>
      <c r="AK32" s="83"/>
      <c r="AL32" s="83"/>
      <c r="AM32" s="83"/>
      <c r="AN32" s="83"/>
      <c r="AO32" s="83"/>
      <c r="AP32" s="83"/>
      <c r="AQ32" s="215"/>
      <c r="AR32" s="371"/>
    </row>
    <row r="33" spans="1:44" ht="16.25" customHeight="1" x14ac:dyDescent="0.2">
      <c r="A33" s="83"/>
      <c r="B33" s="103"/>
      <c r="C33" s="99"/>
      <c r="D33" s="208"/>
      <c r="E33" s="208"/>
      <c r="F33" s="158"/>
      <c r="G33" s="158"/>
      <c r="H33" s="395" t="str">
        <f>IF(Tabla27889112113631648591106[[#This Row],[Subtype]]="","",VLOOKUP(Tabla27889112113631648591106[[#This Row],[Subtype]],'Unit-X00 Equipment'!$E$13:$H$107,4,FALSE))</f>
        <v/>
      </c>
      <c r="I33" s="96"/>
      <c r="J33" s="96"/>
      <c r="K33" s="96"/>
      <c r="L33" s="96"/>
      <c r="M33" s="156"/>
      <c r="N33" s="96"/>
      <c r="O33" s="96"/>
      <c r="P33" s="158"/>
      <c r="Q33" s="153"/>
      <c r="R33" s="97"/>
      <c r="S33" s="193" t="str">
        <f>+IF(Tabla25879012013530638490105[[#This Row],[Equipment]]="","",Q33*R33/10^6)</f>
        <v/>
      </c>
      <c r="T33" s="587" t="e">
        <f t="shared" ca="1" si="1"/>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15"/>
      <c r="AR33" s="371"/>
    </row>
    <row r="34" spans="1:44" ht="16.25" customHeight="1" x14ac:dyDescent="0.2">
      <c r="A34" s="83"/>
      <c r="B34" s="103"/>
      <c r="C34" s="363"/>
      <c r="D34" s="208"/>
      <c r="E34" s="208"/>
      <c r="F34" s="158"/>
      <c r="G34" s="158"/>
      <c r="H34" s="395" t="str">
        <f>IF(Tabla27889112113631648591106[[#This Row],[Subtype]]="","",VLOOKUP(Tabla27889112113631648591106[[#This Row],[Subtype]],'Unit-X00 Equipment'!$E$13:$H$107,4,FALSE))</f>
        <v/>
      </c>
      <c r="I34" s="96"/>
      <c r="J34" s="96"/>
      <c r="K34" s="96"/>
      <c r="L34" s="96"/>
      <c r="M34" s="156"/>
      <c r="N34" s="96"/>
      <c r="O34" s="96"/>
      <c r="P34" s="96"/>
      <c r="Q34" s="153"/>
      <c r="R34" s="97"/>
      <c r="S34" s="193" t="str">
        <f>+IF(Tabla25879012013530638490105[[#This Row],[Equipment]]="","",Q34*R34/10^6)</f>
        <v/>
      </c>
      <c r="T34" s="587" t="e">
        <f t="shared" ca="1" si="1"/>
        <v>#VALUE!</v>
      </c>
      <c r="U34" s="83"/>
      <c r="V34" s="112"/>
      <c r="W34" s="914" t="str">
        <f>+E6&amp;" Calculations"</f>
        <v>Refrigeration &amp; Storage Calculations</v>
      </c>
      <c r="X34" s="915"/>
      <c r="Y34" s="915"/>
      <c r="Z34" s="915"/>
      <c r="AA34" s="915"/>
      <c r="AB34" s="915"/>
      <c r="AC34" s="915"/>
      <c r="AD34" s="915"/>
      <c r="AE34" s="915"/>
      <c r="AF34" s="915"/>
      <c r="AG34" s="915"/>
      <c r="AH34" s="915"/>
      <c r="AI34" s="915"/>
      <c r="AJ34" s="915"/>
      <c r="AK34" s="915"/>
      <c r="AL34" s="915"/>
      <c r="AM34" s="915"/>
      <c r="AN34" s="916"/>
      <c r="AO34" s="104"/>
      <c r="AP34" s="83"/>
      <c r="AQ34" s="215"/>
      <c r="AR34" s="371"/>
    </row>
    <row r="35" spans="1:44" ht="16.25" customHeight="1" x14ac:dyDescent="0.2">
      <c r="A35" s="83"/>
      <c r="B35" s="103"/>
      <c r="C35" s="363"/>
      <c r="D35" s="208"/>
      <c r="E35" s="208"/>
      <c r="F35" s="158"/>
      <c r="G35" s="158"/>
      <c r="H35" s="395" t="str">
        <f>IF(Tabla27889112113631648591106[[#This Row],[Subtype]]="","",VLOOKUP(Tabla27889112113631648591106[[#This Row],[Subtype]],'Unit-X00 Equipment'!$E$13:$H$107,4,FALSE))</f>
        <v/>
      </c>
      <c r="I35" s="96"/>
      <c r="J35" s="96"/>
      <c r="K35" s="96"/>
      <c r="L35" s="96"/>
      <c r="M35" s="156"/>
      <c r="N35" s="96"/>
      <c r="O35" s="96"/>
      <c r="P35" s="96"/>
      <c r="Q35" s="153"/>
      <c r="R35" s="97"/>
      <c r="S35" s="193" t="str">
        <f>+IF(Tabla25879012013530638490105[[#This Row],[Equipment]]="","",Q35*R35/10^6)</f>
        <v/>
      </c>
      <c r="T35" s="587" t="e">
        <f t="shared" ca="1" si="1"/>
        <v>#VALUE!</v>
      </c>
      <c r="U35" s="83"/>
      <c r="V35" s="311"/>
      <c r="W35" s="395"/>
      <c r="X35" s="395"/>
      <c r="Y35" s="395"/>
      <c r="Z35" s="395"/>
      <c r="AA35" s="395"/>
      <c r="AB35" s="96"/>
      <c r="AC35" s="395"/>
      <c r="AD35" s="395"/>
      <c r="AE35" s="395"/>
      <c r="AF35" s="395"/>
      <c r="AG35" s="395"/>
      <c r="AH35" s="395"/>
      <c r="AI35" s="395"/>
      <c r="AJ35" s="395"/>
      <c r="AK35" s="395"/>
      <c r="AL35" s="395"/>
      <c r="AM35" s="395"/>
      <c r="AN35" s="395"/>
      <c r="AO35" s="104"/>
      <c r="AP35" s="83"/>
      <c r="AQ35" s="215"/>
      <c r="AR35" s="371"/>
    </row>
    <row r="36" spans="1:44" ht="16.25" customHeight="1" x14ac:dyDescent="0.2">
      <c r="A36" s="83"/>
      <c r="B36" s="103"/>
      <c r="C36" s="363"/>
      <c r="D36" s="208"/>
      <c r="E36" s="208"/>
      <c r="F36" s="158"/>
      <c r="G36" s="158"/>
      <c r="H36" s="395" t="str">
        <f>IF(Tabla27889112113631648591106[[#This Row],[Subtype]]="","",VLOOKUP(Tabla27889112113631648591106[[#This Row],[Subtype]],'Unit-X00 Equipment'!$E$13:$H$107,4,FALSE))</f>
        <v/>
      </c>
      <c r="I36" s="96"/>
      <c r="J36" s="96"/>
      <c r="K36" s="96"/>
      <c r="L36" s="96"/>
      <c r="M36" s="156"/>
      <c r="N36" s="96"/>
      <c r="O36" s="96"/>
      <c r="P36" s="96"/>
      <c r="Q36" s="153"/>
      <c r="R36" s="97"/>
      <c r="S36" s="193" t="str">
        <f>+IF(Tabla25879012013530638490105[[#This Row],[Equipment]]="","",Q36*R36/10^6)</f>
        <v/>
      </c>
      <c r="T36" s="587" t="e">
        <f t="shared" ca="1" si="1"/>
        <v>#VALUE!</v>
      </c>
      <c r="U36" s="83"/>
      <c r="V36" s="311"/>
      <c r="W36" s="874" t="s">
        <v>194</v>
      </c>
      <c r="X36" s="875"/>
      <c r="Y36" s="876"/>
      <c r="Z36" s="874" t="s">
        <v>200</v>
      </c>
      <c r="AA36" s="876"/>
      <c r="AB36" s="874" t="s">
        <v>201</v>
      </c>
      <c r="AC36" s="876"/>
      <c r="AD36" s="318" t="s">
        <v>202</v>
      </c>
      <c r="AE36" s="181"/>
      <c r="AF36" s="181"/>
      <c r="AG36" s="181"/>
      <c r="AH36" s="181"/>
      <c r="AI36" s="181"/>
      <c r="AJ36" s="181"/>
      <c r="AK36" s="181"/>
      <c r="AL36" s="181"/>
      <c r="AM36" s="181"/>
      <c r="AN36" s="181"/>
      <c r="AO36" s="104"/>
      <c r="AP36" s="83"/>
      <c r="AQ36" s="215"/>
      <c r="AR36" s="371"/>
    </row>
    <row r="37" spans="1:44" ht="16.25" customHeight="1" x14ac:dyDescent="0.2">
      <c r="A37" s="83"/>
      <c r="B37" s="103"/>
      <c r="C37" s="363"/>
      <c r="D37" s="208"/>
      <c r="E37" s="208"/>
      <c r="F37" s="158"/>
      <c r="G37" s="158"/>
      <c r="H37" s="395" t="str">
        <f>IF(Tabla27889112113631648591106[[#This Row],[Subtype]]="","",VLOOKUP(Tabla27889112113631648591106[[#This Row],[Subtype]],'Unit-X00 Equipment'!$E$13:$H$107,4,FALSE))</f>
        <v/>
      </c>
      <c r="I37" s="96"/>
      <c r="J37" s="96"/>
      <c r="K37" s="96"/>
      <c r="L37" s="96"/>
      <c r="M37" s="156"/>
      <c r="N37" s="96"/>
      <c r="O37" s="96"/>
      <c r="P37" s="96"/>
      <c r="Q37" s="153"/>
      <c r="R37" s="97"/>
      <c r="S37" s="193" t="str">
        <f>+IF(Tabla25879012013530638490105[[#This Row],[Equipment]]="","",Q37*R37/10^6)</f>
        <v/>
      </c>
      <c r="T37" s="587" t="e">
        <f t="shared" ca="1" si="1"/>
        <v>#VALUE!</v>
      </c>
      <c r="U37" s="83"/>
      <c r="V37" s="311"/>
      <c r="W37" s="316" t="s">
        <v>203</v>
      </c>
      <c r="X37" s="316" t="s">
        <v>204</v>
      </c>
      <c r="Y37" s="316" t="s">
        <v>205</v>
      </c>
      <c r="Z37" s="641" t="s">
        <v>206</v>
      </c>
      <c r="AA37" s="641" t="s">
        <v>207</v>
      </c>
      <c r="AB37" s="732" t="s">
        <v>206</v>
      </c>
      <c r="AC37" s="727" t="s">
        <v>207</v>
      </c>
      <c r="AD37" s="316" t="s">
        <v>208</v>
      </c>
      <c r="AE37" s="395"/>
      <c r="AF37" s="395"/>
      <c r="AG37" s="395"/>
      <c r="AH37" s="395"/>
      <c r="AI37" s="395"/>
      <c r="AJ37" s="395"/>
      <c r="AK37" s="395"/>
      <c r="AL37" s="395"/>
      <c r="AM37" s="395"/>
      <c r="AN37" s="395"/>
      <c r="AO37" s="104"/>
      <c r="AP37" s="83"/>
      <c r="AQ37" s="215"/>
      <c r="AR37" s="371"/>
    </row>
    <row r="38" spans="1:44" ht="16.25" customHeight="1" x14ac:dyDescent="0.2">
      <c r="A38" s="83"/>
      <c r="B38" s="103"/>
      <c r="C38" s="363"/>
      <c r="D38" s="208"/>
      <c r="E38" s="208"/>
      <c r="F38" s="158"/>
      <c r="G38" s="158"/>
      <c r="H38" s="395" t="str">
        <f>IF(Tabla27889112113631648591106[[#This Row],[Subtype]]="","",VLOOKUP(Tabla27889112113631648591106[[#This Row],[Subtype]],'Unit-X00 Equipment'!$E$13:$H$107,4,FALSE))</f>
        <v/>
      </c>
      <c r="I38" s="96"/>
      <c r="J38" s="96"/>
      <c r="K38" s="96"/>
      <c r="L38" s="96"/>
      <c r="M38" s="156"/>
      <c r="N38" s="96"/>
      <c r="O38" s="96"/>
      <c r="P38" s="96"/>
      <c r="Q38" s="153"/>
      <c r="R38" s="97"/>
      <c r="S38" s="193" t="str">
        <f>+IF(Tabla25879012013530638490105[[#This Row],[Equipment]]="","",Q38*R38/10^6)</f>
        <v/>
      </c>
      <c r="T38" s="587" t="e">
        <f t="shared" ca="1" si="1"/>
        <v>#VALUE!</v>
      </c>
      <c r="U38" s="83"/>
      <c r="V38" s="311"/>
      <c r="W38" s="316" t="s">
        <v>525</v>
      </c>
      <c r="X38" s="316">
        <v>92472.984130891593</v>
      </c>
      <c r="Y38" s="309" t="s">
        <v>343</v>
      </c>
      <c r="Z38" s="309" t="str">
        <f>+Z39</f>
        <v>Ph. Ch.</v>
      </c>
      <c r="AA38" s="730">
        <f>IF(Z38="Ph. Ch.",$Y$53,IF(Z38="Liquid",$Y$52,$Y$50*Z38^$Y$51))</f>
        <v>5000</v>
      </c>
      <c r="AB38" s="314" t="s">
        <v>211</v>
      </c>
      <c r="AC38" s="731">
        <f>IF(AB38="Ph. Ch.",$Y$53,IF(AB38="Liquid",$Y$52,$Y$50*AB38^$Y$51))</f>
        <v>5000</v>
      </c>
      <c r="AD38" s="729">
        <f>1/(1/AA38+1/AC38)</f>
        <v>2500</v>
      </c>
      <c r="AE38" s="761"/>
      <c r="AF38" s="395"/>
      <c r="AG38" s="395"/>
      <c r="AH38" s="395"/>
      <c r="AI38" s="395"/>
      <c r="AJ38" s="608"/>
      <c r="AK38" s="608"/>
      <c r="AL38" s="608"/>
      <c r="AM38" s="608"/>
      <c r="AN38" s="395"/>
      <c r="AO38" s="84"/>
      <c r="AP38" s="83"/>
      <c r="AQ38" s="215"/>
      <c r="AR38" s="371"/>
    </row>
    <row r="39" spans="1:44" ht="16.25" customHeight="1" x14ac:dyDescent="0.2">
      <c r="A39" s="83"/>
      <c r="B39" s="103"/>
      <c r="C39" s="92"/>
      <c r="D39" s="209"/>
      <c r="E39" s="209"/>
      <c r="F39" s="588"/>
      <c r="G39" s="588"/>
      <c r="H39" s="395" t="str">
        <f>IF(Tabla27889112113631648591106[[#This Row],[Subtype]]="","",VLOOKUP(Tabla27889112113631648591106[[#This Row],[Subtype]],'Unit-X00 Equipment'!$E$13:$H$107,4,FALSE))</f>
        <v/>
      </c>
      <c r="M39" s="235"/>
      <c r="Q39" s="236"/>
      <c r="R39" s="84"/>
      <c r="S39" s="193" t="str">
        <f>+IF(Tabla25879012013530638490105[[#This Row],[Equipment]]="","",Q39*R39/10^6)</f>
        <v/>
      </c>
      <c r="T39" s="587" t="e">
        <f t="shared" ca="1" si="1"/>
        <v>#VALUE!</v>
      </c>
      <c r="U39" s="83"/>
      <c r="V39" s="311"/>
      <c r="W39" s="316" t="s">
        <v>526</v>
      </c>
      <c r="X39" s="316">
        <v>10161100.2852771</v>
      </c>
      <c r="Y39" s="309" t="s">
        <v>343</v>
      </c>
      <c r="Z39" s="309" t="str">
        <f t="shared" ref="Z39:Z40" si="8">+Z40</f>
        <v>Ph. Ch.</v>
      </c>
      <c r="AA39" s="730">
        <f t="shared" ref="AA39:AA41" si="9">IF(Z39="Ph. Ch.",$Y$53,IF(Z39="Liquid",$Y$52,$Y$50*Z39^$Y$51))</f>
        <v>5000</v>
      </c>
      <c r="AB39" s="314" t="str">
        <f>+AB38</f>
        <v>Ph. Ch.</v>
      </c>
      <c r="AC39" s="731">
        <f t="shared" ref="AC39:AC41" si="10">IF(AB39="Ph. Ch.",$Y$53,IF(AB39="Liquid",$Y$52,$Y$50*AB39^$Y$51))</f>
        <v>5000</v>
      </c>
      <c r="AD39" s="729">
        <f t="shared" ref="AD39:AD41" si="11">1/(1/AA39+1/AC39)</f>
        <v>2500</v>
      </c>
      <c r="AE39" s="395"/>
      <c r="AF39" s="606"/>
      <c r="AG39" s="606"/>
      <c r="AH39" s="606"/>
      <c r="AI39" s="606"/>
      <c r="AJ39" s="606"/>
      <c r="AK39" s="606"/>
      <c r="AL39" s="606"/>
      <c r="AM39" s="606"/>
      <c r="AN39" s="395"/>
      <c r="AO39" s="104"/>
      <c r="AP39" s="83"/>
      <c r="AQ39" s="215"/>
      <c r="AR39" s="371"/>
    </row>
    <row r="40" spans="1:44" ht="16.25" customHeight="1" x14ac:dyDescent="0.2">
      <c r="A40" s="83"/>
      <c r="B40" s="103"/>
      <c r="C40" s="92"/>
      <c r="D40" s="209"/>
      <c r="E40" s="209"/>
      <c r="F40" s="588"/>
      <c r="G40" s="588"/>
      <c r="H40" s="395" t="str">
        <f>IF(Tabla27889112113631648591106[[#This Row],[Subtype]]="","",VLOOKUP(Tabla27889112113631648591106[[#This Row],[Subtype]],'Unit-X00 Equipment'!$E$13:$H$107,4,FALSE))</f>
        <v/>
      </c>
      <c r="M40" s="235"/>
      <c r="Q40" s="236"/>
      <c r="R40" s="84"/>
      <c r="S40" s="193" t="str">
        <f>+IF(Tabla25879012013530638490105[[#This Row],[Equipment]]="","",Q40*R40/10^6)</f>
        <v/>
      </c>
      <c r="T40" s="587" t="e">
        <f t="shared" ca="1" si="1"/>
        <v>#VALUE!</v>
      </c>
      <c r="U40" s="83"/>
      <c r="V40" s="311"/>
      <c r="W40" s="316" t="s">
        <v>527</v>
      </c>
      <c r="X40" s="316">
        <v>11653973.0254234</v>
      </c>
      <c r="Y40" s="309" t="s">
        <v>343</v>
      </c>
      <c r="Z40" s="309" t="str">
        <f t="shared" si="8"/>
        <v>Ph. Ch.</v>
      </c>
      <c r="AA40" s="730">
        <f t="shared" si="9"/>
        <v>5000</v>
      </c>
      <c r="AB40" s="314" t="str">
        <f>+AB39</f>
        <v>Ph. Ch.</v>
      </c>
      <c r="AC40" s="731">
        <f t="shared" si="10"/>
        <v>5000</v>
      </c>
      <c r="AD40" s="729">
        <f t="shared" si="11"/>
        <v>2500</v>
      </c>
      <c r="AE40" s="395"/>
      <c r="AF40" s="395"/>
      <c r="AG40" s="395"/>
      <c r="AH40" s="395"/>
      <c r="AI40" s="395"/>
      <c r="AJ40" s="395"/>
      <c r="AK40" s="395"/>
      <c r="AL40" s="395"/>
      <c r="AM40" s="395"/>
      <c r="AN40" s="395"/>
      <c r="AO40" s="104"/>
      <c r="AP40" s="83"/>
      <c r="AQ40" s="215"/>
      <c r="AR40" s="371"/>
    </row>
    <row r="41" spans="1:44" ht="16.25" customHeight="1" x14ac:dyDescent="0.2">
      <c r="A41" s="83"/>
      <c r="B41" s="103"/>
      <c r="C41" s="99"/>
      <c r="D41" s="208"/>
      <c r="E41" s="208"/>
      <c r="F41" s="158"/>
      <c r="G41" s="158"/>
      <c r="H41" s="395" t="str">
        <f>IF(Tabla27889112113631648591106[[#This Row],[Subtype]]="","",VLOOKUP(Tabla27889112113631648591106[[#This Row],[Subtype]],'Unit-X00 Equipment'!$E$13:$H$107,4,FALSE))</f>
        <v/>
      </c>
      <c r="I41" s="96"/>
      <c r="J41" s="96"/>
      <c r="K41" s="96"/>
      <c r="L41" s="96"/>
      <c r="M41" s="156"/>
      <c r="N41" s="96"/>
      <c r="O41" s="96"/>
      <c r="P41" s="152"/>
      <c r="Q41" s="153"/>
      <c r="R41" s="97"/>
      <c r="S41" s="193" t="str">
        <f>+IF(Tabla25879012013530638490105[[#This Row],[Equipment]]="","",Q41*R41/10^6)</f>
        <v/>
      </c>
      <c r="T41" s="587" t="e">
        <f t="shared" ca="1" si="1"/>
        <v>#VALUE!</v>
      </c>
      <c r="U41" s="83"/>
      <c r="V41" s="311"/>
      <c r="W41" s="316" t="s">
        <v>528</v>
      </c>
      <c r="X41" s="316">
        <v>29621920.908396799</v>
      </c>
      <c r="Y41" s="309" t="s">
        <v>529</v>
      </c>
      <c r="Z41" s="309" t="s">
        <v>211</v>
      </c>
      <c r="AA41" s="730">
        <f t="shared" si="9"/>
        <v>5000</v>
      </c>
      <c r="AB41" s="314" t="s">
        <v>341</v>
      </c>
      <c r="AC41" s="731">
        <f t="shared" si="10"/>
        <v>1500</v>
      </c>
      <c r="AD41" s="729">
        <f t="shared" si="11"/>
        <v>1153.8461538461538</v>
      </c>
      <c r="AE41" s="395"/>
      <c r="AF41" s="395"/>
      <c r="AG41" s="395"/>
      <c r="AH41" s="395"/>
      <c r="AI41" s="395"/>
      <c r="AJ41" s="395"/>
      <c r="AK41" s="395"/>
      <c r="AL41" s="395"/>
      <c r="AM41" s="395"/>
      <c r="AN41" s="395"/>
      <c r="AO41" s="104"/>
      <c r="AP41" s="83"/>
      <c r="AQ41" s="215"/>
      <c r="AR41" s="371"/>
    </row>
    <row r="42" spans="1:44" ht="16.25" customHeight="1" x14ac:dyDescent="0.2">
      <c r="A42" s="83"/>
      <c r="B42" s="103"/>
      <c r="C42" s="99"/>
      <c r="D42" s="208"/>
      <c r="E42" s="208"/>
      <c r="F42" s="158"/>
      <c r="G42" s="158"/>
      <c r="H42" s="395" t="str">
        <f>IF(Tabla27889112113631648591106[[#This Row],[Subtype]]="","",VLOOKUP(Tabla27889112113631648591106[[#This Row],[Subtype]],'Unit-X00 Equipment'!$E$13:$H$107,4,FALSE))</f>
        <v/>
      </c>
      <c r="I42" s="96"/>
      <c r="J42" s="96"/>
      <c r="K42" s="96"/>
      <c r="L42" s="96"/>
      <c r="M42" s="156"/>
      <c r="N42" s="96"/>
      <c r="O42" s="96"/>
      <c r="P42" s="158"/>
      <c r="Q42" s="153"/>
      <c r="R42" s="97"/>
      <c r="S42" s="193" t="str">
        <f>+IF(Tabla25879012013530638490105[[#This Row],[Equipment]]="","",Q42*R42/10^6)</f>
        <v/>
      </c>
      <c r="T42" s="587" t="e">
        <f t="shared" ca="1" si="1"/>
        <v>#VALUE!</v>
      </c>
      <c r="U42" s="83"/>
      <c r="V42" s="311"/>
      <c r="W42" s="395"/>
      <c r="X42" s="395"/>
      <c r="Y42" s="395"/>
      <c r="Z42" s="395"/>
      <c r="AA42" s="395"/>
      <c r="AB42" s="395"/>
      <c r="AC42" s="395"/>
      <c r="AD42" s="395"/>
      <c r="AE42" s="395"/>
      <c r="AF42" s="395"/>
      <c r="AG42" s="395"/>
      <c r="AH42" s="395"/>
      <c r="AI42" s="395"/>
      <c r="AJ42" s="395"/>
      <c r="AK42" s="395"/>
      <c r="AL42" s="395"/>
      <c r="AM42" s="395"/>
      <c r="AN42" s="395"/>
      <c r="AO42" s="104"/>
      <c r="AP42" s="83"/>
      <c r="AQ42" s="215"/>
      <c r="AR42" s="371"/>
    </row>
    <row r="43" spans="1:44" ht="16.25" customHeight="1" x14ac:dyDescent="0.2">
      <c r="A43" s="83"/>
      <c r="B43" s="103"/>
      <c r="C43" s="363"/>
      <c r="D43" s="208"/>
      <c r="E43" s="208"/>
      <c r="F43" s="158"/>
      <c r="G43" s="158"/>
      <c r="H43" s="395" t="str">
        <f>IF(Tabla27889112113631648591106[[#This Row],[Subtype]]="","",VLOOKUP(Tabla27889112113631648591106[[#This Row],[Subtype]],'Unit-X00 Equipment'!$E$13:$H$107,4,FALSE))</f>
        <v/>
      </c>
      <c r="I43" s="96"/>
      <c r="J43" s="96"/>
      <c r="K43" s="96"/>
      <c r="L43" s="96"/>
      <c r="M43" s="283"/>
      <c r="N43" s="275"/>
      <c r="O43" s="275"/>
      <c r="P43" s="275"/>
      <c r="Q43" s="284"/>
      <c r="R43" s="98"/>
      <c r="S43" s="193" t="str">
        <f>+IF(Tabla25879012013530638490105[[#This Row],[Equipment]]="","",Q43*R43/10^6)</f>
        <v/>
      </c>
      <c r="T43" s="587" t="e">
        <f t="shared" ca="1" si="1"/>
        <v>#VALUE!</v>
      </c>
      <c r="U43" s="83"/>
      <c r="V43" s="311"/>
      <c r="W43" s="395"/>
      <c r="X43" s="395"/>
      <c r="Y43" s="395"/>
      <c r="Z43" s="395"/>
      <c r="AA43" s="395"/>
      <c r="AB43" s="395"/>
      <c r="AC43" s="395"/>
      <c r="AD43" s="395"/>
      <c r="AE43" s="395"/>
      <c r="AF43" s="395"/>
      <c r="AG43" s="395"/>
      <c r="AH43" s="395"/>
      <c r="AI43" s="395"/>
      <c r="AJ43" s="395"/>
      <c r="AK43" s="395"/>
      <c r="AL43" s="395"/>
      <c r="AM43" s="395"/>
      <c r="AN43" s="395"/>
      <c r="AO43" s="104"/>
      <c r="AP43" s="83"/>
      <c r="AQ43" s="215"/>
      <c r="AR43" s="371"/>
    </row>
    <row r="44" spans="1:44" ht="16.25" customHeight="1" x14ac:dyDescent="0.2">
      <c r="A44" s="83"/>
      <c r="B44" s="103"/>
      <c r="C44" s="364"/>
      <c r="D44" s="918" t="s">
        <v>220</v>
      </c>
      <c r="E44" s="918"/>
      <c r="F44" s="918"/>
      <c r="G44" s="918"/>
      <c r="H44" s="918"/>
      <c r="I44" s="918"/>
      <c r="J44" s="918"/>
      <c r="K44" s="918"/>
      <c r="L44" s="918"/>
      <c r="M44" s="947"/>
      <c r="N44" s="947"/>
      <c r="O44" s="947"/>
      <c r="P44" s="947"/>
      <c r="Q44" s="947"/>
      <c r="R44" s="947"/>
      <c r="S44" s="180"/>
      <c r="T44" s="587"/>
      <c r="U44" s="83"/>
      <c r="V44" s="311"/>
      <c r="W44" s="395"/>
      <c r="X44" s="395"/>
      <c r="Y44" s="395"/>
      <c r="Z44" s="395"/>
      <c r="AA44" s="395"/>
      <c r="AB44" s="395"/>
      <c r="AC44" s="395"/>
      <c r="AD44" s="395"/>
      <c r="AE44" s="395"/>
      <c r="AF44" s="395"/>
      <c r="AG44" s="395"/>
      <c r="AH44" s="395"/>
      <c r="AI44" s="395"/>
      <c r="AJ44" s="395"/>
      <c r="AK44" s="395"/>
      <c r="AL44" s="395"/>
      <c r="AM44" s="395"/>
      <c r="AN44" s="395"/>
      <c r="AO44" s="104"/>
      <c r="AP44" s="83"/>
      <c r="AQ44" s="215"/>
      <c r="AR44" s="371"/>
    </row>
    <row r="45" spans="1:44" ht="16.25" customHeight="1" x14ac:dyDescent="0.2">
      <c r="A45" s="83"/>
      <c r="B45" s="103"/>
      <c r="C45" s="421" t="s">
        <v>223</v>
      </c>
      <c r="D45" s="415" t="s">
        <v>224</v>
      </c>
      <c r="E45" s="415" t="s">
        <v>225</v>
      </c>
      <c r="F45" s="571" t="s">
        <v>226</v>
      </c>
      <c r="G45" s="571" t="s">
        <v>50</v>
      </c>
      <c r="H45" s="571" t="s">
        <v>227</v>
      </c>
      <c r="I45" s="415" t="s">
        <v>228</v>
      </c>
      <c r="J45" s="415" t="s">
        <v>75</v>
      </c>
      <c r="K45" s="415" t="s">
        <v>155</v>
      </c>
      <c r="L45" s="415" t="s">
        <v>157</v>
      </c>
      <c r="M45" s="422" t="s">
        <v>229</v>
      </c>
      <c r="N45" s="423" t="s">
        <v>230</v>
      </c>
      <c r="O45" s="419" t="s">
        <v>231</v>
      </c>
      <c r="P45" s="415" t="s">
        <v>151</v>
      </c>
      <c r="Q45" s="415" t="s">
        <v>148</v>
      </c>
      <c r="R45" s="420" t="s">
        <v>144</v>
      </c>
      <c r="S45" s="420" t="s">
        <v>232</v>
      </c>
      <c r="T45" s="587"/>
      <c r="U45" s="83"/>
      <c r="V45" s="311"/>
      <c r="W45" s="395"/>
      <c r="X45" s="395"/>
      <c r="Y45" s="395"/>
      <c r="Z45" s="395"/>
      <c r="AA45" s="395"/>
      <c r="AB45" s="395"/>
      <c r="AC45" s="395"/>
      <c r="AD45" s="395"/>
      <c r="AE45" s="395"/>
      <c r="AF45" s="395"/>
      <c r="AG45" s="395"/>
      <c r="AH45" s="395"/>
      <c r="AI45" s="395"/>
      <c r="AJ45" s="395"/>
      <c r="AK45" s="395"/>
      <c r="AL45" s="395"/>
      <c r="AM45" s="395"/>
      <c r="AN45" s="395"/>
      <c r="AO45" s="104"/>
      <c r="AP45" s="83"/>
      <c r="AQ45" s="215"/>
      <c r="AR45" s="371"/>
    </row>
    <row r="46" spans="1:44" ht="16.25" customHeight="1" x14ac:dyDescent="0.2">
      <c r="A46" s="83"/>
      <c r="B46" s="103"/>
      <c r="C46" s="273"/>
      <c r="D46" s="276" t="s">
        <v>530</v>
      </c>
      <c r="E46" s="798" t="s">
        <v>531</v>
      </c>
      <c r="F46" s="277" t="s">
        <v>236</v>
      </c>
      <c r="G46" s="277">
        <v>2007</v>
      </c>
      <c r="H46" s="277" t="s">
        <v>237</v>
      </c>
      <c r="I46" s="277" t="s">
        <v>532</v>
      </c>
      <c r="J46" s="244" t="s">
        <v>533</v>
      </c>
      <c r="K46" s="277">
        <v>1</v>
      </c>
      <c r="L46" s="277">
        <v>0.67</v>
      </c>
      <c r="M46" s="276">
        <v>1</v>
      </c>
      <c r="N46" s="277">
        <v>25000</v>
      </c>
      <c r="O46" s="277">
        <v>20.2</v>
      </c>
      <c r="P46" s="277">
        <v>1</v>
      </c>
      <c r="Q46" s="277">
        <v>30000</v>
      </c>
      <c r="R46" s="193">
        <f t="shared" ref="R46:R50" si="12">IF(ISBLANK(Q46),"",(P46/M46)^K46*O46*((Q46/P46)/(N46/M46))^L46)</f>
        <v>22.824580502679584</v>
      </c>
      <c r="S46" s="193" cm="1">
        <f t="array" aca="1" ref="S46" ca="1">IF(ISBLANK(Q46),"",IF(R46&gt;0,R46*INDIRECT(ADDRESS(MATCH(G46,'Cost Conversion'!$B$3:$B$48,0)+2,4,1,1,"Cost conversion"))*INDIRECT(ADDRESS(MATCH(H46,'Cost Conversion'!$F$3:$F$22,0)+2,8,1,1,"Cost conversion"))/IF(F46="$",'Cost Conversion'!$L$2,1),0))</f>
        <v>27.647942041942596</v>
      </c>
      <c r="T46" s="587"/>
      <c r="U46" s="83"/>
      <c r="V46" s="311"/>
      <c r="W46" s="395"/>
      <c r="X46" s="395"/>
      <c r="Y46" s="395"/>
      <c r="Z46" s="395"/>
      <c r="AA46" s="395"/>
      <c r="AB46" s="395"/>
      <c r="AC46" s="395"/>
      <c r="AD46" s="395"/>
      <c r="AE46" s="395"/>
      <c r="AF46" s="395"/>
      <c r="AG46" s="395"/>
      <c r="AH46" s="395"/>
      <c r="AI46" s="395"/>
      <c r="AJ46" s="395"/>
      <c r="AK46" s="395"/>
      <c r="AL46" s="395"/>
      <c r="AM46" s="395"/>
      <c r="AN46" s="395"/>
      <c r="AO46" s="104"/>
      <c r="AP46" s="83"/>
      <c r="AQ46" s="215"/>
      <c r="AR46" s="371"/>
    </row>
    <row r="47" spans="1:44" ht="16.25" customHeight="1" x14ac:dyDescent="0.2">
      <c r="A47" s="83"/>
      <c r="B47" s="103"/>
      <c r="C47" s="273"/>
      <c r="D47" s="273"/>
      <c r="E47" s="96"/>
      <c r="F47" s="96"/>
      <c r="G47" s="96"/>
      <c r="H47" s="96"/>
      <c r="I47" s="118"/>
      <c r="J47" s="118"/>
      <c r="K47" s="96"/>
      <c r="L47" s="96"/>
      <c r="M47" s="273"/>
      <c r="N47" s="96"/>
      <c r="O47" s="96"/>
      <c r="P47" s="96"/>
      <c r="Q47" s="96"/>
      <c r="R47" s="193" t="str">
        <f t="shared" si="12"/>
        <v/>
      </c>
      <c r="S47" s="193" t="str" cm="1">
        <f t="array" aca="1" ref="S47" ca="1">IF(ISBLANK(Q47),"",IF(R47&gt;0,R47*INDIRECT(ADDRESS(MATCH(G47,'Cost Conversion'!$B$3:$B$48,0)+2,4,1,1,"Cost conversion"))*INDIRECT(ADDRESS(MATCH(H47,'Cost Conversion'!$F$3:$F$22,0)+2,8,1,1,"Cost conversion"))/IF(F47="$",'Cost Conversion'!$L$2,1),0))</f>
        <v/>
      </c>
      <c r="T47" s="587"/>
      <c r="U47" s="83"/>
      <c r="V47" s="311"/>
      <c r="W47" s="395"/>
      <c r="X47" s="395"/>
      <c r="Y47" s="395"/>
      <c r="Z47" s="395"/>
      <c r="AA47" s="395"/>
      <c r="AB47" s="395"/>
      <c r="AC47" s="395"/>
      <c r="AD47" s="395"/>
      <c r="AE47" s="395"/>
      <c r="AF47" s="395"/>
      <c r="AG47" s="395"/>
      <c r="AH47" s="395"/>
      <c r="AI47" s="395"/>
      <c r="AJ47" s="395"/>
      <c r="AK47" s="395"/>
      <c r="AL47" s="395"/>
      <c r="AM47" s="395"/>
      <c r="AN47" s="395"/>
      <c r="AO47" s="104"/>
      <c r="AP47" s="83"/>
      <c r="AQ47" s="215"/>
      <c r="AR47" s="371"/>
    </row>
    <row r="48" spans="1:44" ht="16.25" customHeight="1" x14ac:dyDescent="0.2">
      <c r="A48" s="83"/>
      <c r="B48" s="103"/>
      <c r="C48" s="192"/>
      <c r="D48" s="273"/>
      <c r="E48" s="96"/>
      <c r="F48" s="96"/>
      <c r="G48" s="96"/>
      <c r="H48" s="96"/>
      <c r="I48" s="96"/>
      <c r="J48" s="96"/>
      <c r="K48" s="96"/>
      <c r="L48" s="96"/>
      <c r="M48" s="273"/>
      <c r="N48" s="96"/>
      <c r="O48" s="96"/>
      <c r="P48" s="96"/>
      <c r="Q48" s="96"/>
      <c r="R48" s="193" t="str">
        <f t="shared" si="12"/>
        <v/>
      </c>
      <c r="S48" s="193" t="str" cm="1">
        <f t="array" aca="1" ref="S48" ca="1">IF(ISBLANK(Q48),"",IF(R48&gt;0,R48*INDIRECT(ADDRESS(MATCH(G48,'Cost Conversion'!$B$3:$B$48,0)+2,4,1,1,"Cost conversion"))*INDIRECT(ADDRESS(MATCH(H48,'Cost Conversion'!$F$3:$F$22,0)+2,8,1,1,"Cost conversion"))/IF(F48="$",'Cost Conversion'!$L$2,1),0))</f>
        <v/>
      </c>
      <c r="T48" s="587"/>
      <c r="U48" s="83"/>
      <c r="V48" s="103"/>
      <c r="W48" s="395"/>
      <c r="X48" s="395"/>
      <c r="Y48" s="395"/>
      <c r="Z48" s="395"/>
      <c r="AA48" s="395"/>
      <c r="AB48" s="395"/>
      <c r="AC48" s="395"/>
      <c r="AD48" s="395"/>
      <c r="AE48" s="395"/>
      <c r="AF48" s="548"/>
      <c r="AG48" s="230" t="s">
        <v>252</v>
      </c>
      <c r="AH48" s="230" t="s">
        <v>2</v>
      </c>
      <c r="AI48" s="963" t="s">
        <v>82</v>
      </c>
      <c r="AJ48" s="964"/>
      <c r="AK48" s="964"/>
      <c r="AL48" s="964"/>
      <c r="AM48" s="964"/>
      <c r="AN48" s="965"/>
      <c r="AO48" s="104"/>
      <c r="AP48" s="83"/>
      <c r="AQ48" s="215"/>
      <c r="AR48" s="371"/>
    </row>
    <row r="49" spans="1:57" ht="16.25" customHeight="1" x14ac:dyDescent="0.2">
      <c r="A49" s="83"/>
      <c r="B49" s="103"/>
      <c r="C49" s="192"/>
      <c r="D49" s="273"/>
      <c r="E49" s="96"/>
      <c r="F49" s="96"/>
      <c r="G49" s="96"/>
      <c r="H49" s="96"/>
      <c r="I49" s="96"/>
      <c r="J49" s="96"/>
      <c r="K49" s="96"/>
      <c r="L49" s="96"/>
      <c r="M49" s="273"/>
      <c r="N49" s="96"/>
      <c r="O49" s="96"/>
      <c r="P49" s="96"/>
      <c r="Q49" s="96"/>
      <c r="R49" s="193" t="str">
        <f t="shared" si="12"/>
        <v/>
      </c>
      <c r="S49" s="193" t="str" cm="1">
        <f t="array" aca="1" ref="S49" ca="1">IF(ISBLANK(Q49),"",IF(R49&gt;0,R49*INDIRECT(ADDRESS(MATCH(G49,'Cost Conversion'!$B$3:$B$48,0)+2,4,1,1,"Cost conversion"))*INDIRECT(ADDRESS(MATCH(H49,'Cost Conversion'!$F$3:$F$22,0)+2,8,1,1,"Cost conversion"))/IF(F49="$",'Cost Conversion'!$L$2,1),0))</f>
        <v/>
      </c>
      <c r="T49" s="587"/>
      <c r="U49" s="83"/>
      <c r="V49" s="103"/>
      <c r="W49" s="966" t="s">
        <v>250</v>
      </c>
      <c r="X49" s="967"/>
      <c r="Y49" s="316" t="s">
        <v>251</v>
      </c>
      <c r="Z49" s="395"/>
      <c r="AA49" s="395"/>
      <c r="AB49" s="395"/>
      <c r="AC49" s="395"/>
      <c r="AD49" s="395"/>
      <c r="AE49" s="395"/>
      <c r="AF49" s="548"/>
      <c r="AG49" s="609"/>
      <c r="AH49" s="610"/>
      <c r="AI49" s="948"/>
      <c r="AJ49" s="949"/>
      <c r="AK49" s="949"/>
      <c r="AL49" s="949"/>
      <c r="AM49" s="949"/>
      <c r="AN49" s="950"/>
      <c r="AO49" s="104"/>
      <c r="AP49" s="83"/>
      <c r="AQ49" s="215"/>
      <c r="AR49" s="371"/>
    </row>
    <row r="50" spans="1:57" ht="16.25" customHeight="1" x14ac:dyDescent="0.2">
      <c r="A50" s="83"/>
      <c r="B50" s="103"/>
      <c r="C50" s="192"/>
      <c r="D50" s="273"/>
      <c r="E50" s="96"/>
      <c r="F50" s="96"/>
      <c r="G50" s="96"/>
      <c r="H50" s="96"/>
      <c r="I50" s="96"/>
      <c r="J50" s="96"/>
      <c r="K50" s="96"/>
      <c r="L50" s="96"/>
      <c r="M50" s="274"/>
      <c r="N50" s="275"/>
      <c r="O50" s="275"/>
      <c r="P50" s="275"/>
      <c r="Q50" s="275"/>
      <c r="R50" s="193" t="str">
        <f t="shared" si="12"/>
        <v/>
      </c>
      <c r="S50" s="193" t="str" cm="1">
        <f t="array" aca="1" ref="S50" ca="1">IF(ISBLANK(Q50),"",IF(R50&gt;0,R50*INDIRECT(ADDRESS(MATCH(G50,'Cost Conversion'!$B$3:$B$48,0)+2,4,1,1,"Cost conversion"))*INDIRECT(ADDRESS(MATCH(H50,'Cost Conversion'!$F$3:$F$22,0)+2,8,1,1,"Cost conversion"))/IF(F50="$",'Cost Conversion'!$L$2,1),0))</f>
        <v/>
      </c>
      <c r="T50" s="587"/>
      <c r="U50" s="83"/>
      <c r="V50" s="103"/>
      <c r="W50" s="968" t="s">
        <v>255</v>
      </c>
      <c r="X50" s="969"/>
      <c r="Y50" s="661">
        <v>40</v>
      </c>
      <c r="Z50" s="395"/>
      <c r="AA50" s="395"/>
      <c r="AB50" s="395"/>
      <c r="AC50" s="395"/>
      <c r="AD50" s="395"/>
      <c r="AE50" s="395"/>
      <c r="AF50" s="548"/>
      <c r="AG50" s="611"/>
      <c r="AH50" s="498"/>
      <c r="AI50" s="951"/>
      <c r="AJ50" s="952"/>
      <c r="AK50" s="952"/>
      <c r="AL50" s="952"/>
      <c r="AM50" s="952"/>
      <c r="AN50" s="953"/>
      <c r="AO50" s="104"/>
      <c r="AP50" s="83"/>
      <c r="AQ50" s="215"/>
      <c r="AR50" s="371"/>
    </row>
    <row r="51" spans="1:57" ht="16.25" customHeight="1" x14ac:dyDescent="0.2">
      <c r="A51" s="83"/>
      <c r="B51" s="103"/>
      <c r="C51" s="200"/>
      <c r="D51" s="274"/>
      <c r="E51" s="275"/>
      <c r="F51" s="275"/>
      <c r="G51" s="275"/>
      <c r="H51" s="275"/>
      <c r="I51" s="275"/>
      <c r="J51" s="275"/>
      <c r="K51" s="275"/>
      <c r="L51" s="98"/>
      <c r="M51" s="425" t="s">
        <v>272</v>
      </c>
      <c r="N51" s="418" t="s">
        <v>226</v>
      </c>
      <c r="O51" s="570" t="s">
        <v>50</v>
      </c>
      <c r="P51" s="943" t="s">
        <v>47</v>
      </c>
      <c r="Q51" s="944"/>
      <c r="R51" s="420" t="s">
        <v>273</v>
      </c>
      <c r="S51" s="426" t="s">
        <v>274</v>
      </c>
      <c r="T51" s="587"/>
      <c r="U51" s="83"/>
      <c r="V51" s="103"/>
      <c r="W51" s="892" t="s">
        <v>261</v>
      </c>
      <c r="X51" s="894"/>
      <c r="Y51" s="661">
        <v>0.7</v>
      </c>
      <c r="Z51" s="395"/>
      <c r="AA51" s="395"/>
      <c r="AB51" s="395"/>
      <c r="AC51" s="395"/>
      <c r="AD51" s="395"/>
      <c r="AE51" s="395"/>
      <c r="AF51" s="548"/>
      <c r="AG51" s="611"/>
      <c r="AH51" s="498"/>
      <c r="AI51" s="951"/>
      <c r="AJ51" s="952"/>
      <c r="AK51" s="952"/>
      <c r="AL51" s="952"/>
      <c r="AM51" s="952"/>
      <c r="AN51" s="953"/>
      <c r="AO51" s="104"/>
      <c r="AP51" s="83"/>
      <c r="AQ51" s="215"/>
      <c r="AR51" s="371"/>
    </row>
    <row r="52" spans="1:57" ht="16.25" customHeight="1" x14ac:dyDescent="0.2">
      <c r="A52" s="83"/>
      <c r="B52" s="103"/>
      <c r="C52" s="577"/>
      <c r="D52" s="365"/>
      <c r="E52" s="365"/>
      <c r="F52" s="365"/>
      <c r="G52" s="365"/>
      <c r="H52" s="365"/>
      <c r="I52" s="365"/>
      <c r="J52" s="365"/>
      <c r="K52" s="365"/>
      <c r="L52" s="573"/>
      <c r="M52" s="502" t="s">
        <v>276</v>
      </c>
      <c r="N52" s="409" t="s">
        <v>236</v>
      </c>
      <c r="O52" s="475">
        <v>2001</v>
      </c>
      <c r="P52" s="871" t="s">
        <v>237</v>
      </c>
      <c r="Q52" s="873"/>
      <c r="R52" s="427">
        <f>+IF(SUM(S13:S43)&gt;0,IF(G3="Equipment",SUM(S13:S43),"NaN"),"")-S25</f>
        <v>14.11020785234771</v>
      </c>
      <c r="S52" s="428" cm="1">
        <f t="array" aca="1" ref="S52" ca="1">+IF(R52="","",R52*INDIRECT(ADDRESS(MATCH(O52,'Cost Conversion'!$B$3:$B$48,0)+2,4,1,1,"Cost conversion"))*INDIRECT(ADDRESS(MATCH(P52,'Cost Conversion'!$F$3:$F$22,0)+2,8,1,1,"Cost conversion"))/IF(N52="$",'Cost Conversion'!$L$2,1))</f>
        <v>22.774912059252152</v>
      </c>
      <c r="T52" s="587"/>
      <c r="U52" s="83"/>
      <c r="V52" s="103"/>
      <c r="W52" s="892" t="s">
        <v>265</v>
      </c>
      <c r="X52" s="894"/>
      <c r="Y52" s="661">
        <v>1500</v>
      </c>
      <c r="Z52" s="395"/>
      <c r="AA52" s="395"/>
      <c r="AB52" s="395"/>
      <c r="AC52" s="395"/>
      <c r="AD52" s="395"/>
      <c r="AE52" s="395"/>
      <c r="AF52" s="548"/>
      <c r="AG52" s="611"/>
      <c r="AH52" s="498"/>
      <c r="AI52" s="951"/>
      <c r="AJ52" s="952"/>
      <c r="AK52" s="952"/>
      <c r="AL52" s="952"/>
      <c r="AM52" s="952"/>
      <c r="AN52" s="953"/>
      <c r="AO52" s="104"/>
      <c r="AP52" s="83"/>
      <c r="AQ52" s="215"/>
      <c r="AR52" s="371"/>
    </row>
    <row r="53" spans="1:57" ht="16.25" customHeight="1" x14ac:dyDescent="0.2">
      <c r="A53" s="83"/>
      <c r="B53" s="103"/>
      <c r="C53" s="574"/>
      <c r="D53" s="575"/>
      <c r="E53" s="575"/>
      <c r="F53" s="575"/>
      <c r="G53" s="575"/>
      <c r="H53" s="575"/>
      <c r="I53" s="575"/>
      <c r="J53" s="575"/>
      <c r="K53" s="575"/>
      <c r="L53" s="576"/>
      <c r="M53" s="409" t="s">
        <v>278</v>
      </c>
      <c r="N53" s="127"/>
      <c r="O53" s="133"/>
      <c r="P53" s="871"/>
      <c r="Q53" s="873"/>
      <c r="R53" s="427" t="s">
        <v>187</v>
      </c>
      <c r="S53" s="428">
        <f ca="1">+IF(SUM(S46:S50)&gt;0,SUM(S46:S50),"")</f>
        <v>27.647942041942596</v>
      </c>
      <c r="T53" s="587"/>
      <c r="U53" s="83"/>
      <c r="V53" s="103"/>
      <c r="W53" s="945" t="s">
        <v>269</v>
      </c>
      <c r="X53" s="946"/>
      <c r="Y53" s="533">
        <v>5000</v>
      </c>
      <c r="Z53" s="395"/>
      <c r="AA53" s="395"/>
      <c r="AB53" s="395"/>
      <c r="AC53" s="395"/>
      <c r="AD53" s="395"/>
      <c r="AE53" s="395"/>
      <c r="AF53" s="548"/>
      <c r="AG53" s="612"/>
      <c r="AH53" s="613"/>
      <c r="AI53" s="954"/>
      <c r="AJ53" s="955"/>
      <c r="AK53" s="955"/>
      <c r="AL53" s="955"/>
      <c r="AM53" s="955"/>
      <c r="AN53" s="956"/>
      <c r="AO53" s="104"/>
      <c r="AP53" s="83"/>
      <c r="AQ53" s="215"/>
      <c r="AR53" s="371"/>
    </row>
    <row r="54" spans="1:57" ht="16.25" customHeight="1" x14ac:dyDescent="0.2">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15"/>
      <c r="AR54" s="371"/>
    </row>
    <row r="55" spans="1:57" ht="16.25" customHeight="1" x14ac:dyDescent="0.2">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15"/>
      <c r="AR55" s="371"/>
    </row>
    <row r="56" spans="1:57" ht="16.25" customHeight="1" x14ac:dyDescent="0.2">
      <c r="A56" s="83"/>
      <c r="B56" s="917" t="str">
        <f>+"BEC Distribution: "&amp;E6</f>
        <v>BEC Distribution: Refrigeration &amp; Storage</v>
      </c>
      <c r="C56" s="918"/>
      <c r="D56" s="918"/>
      <c r="E56" s="918"/>
      <c r="F56" s="918"/>
      <c r="G56" s="919"/>
      <c r="H56" s="917" t="str">
        <f>+"Estimate Benchmark : "&amp;E6</f>
        <v>Estimate Benchmark : Refrigeration &amp; Storage</v>
      </c>
      <c r="I56" s="918"/>
      <c r="J56" s="918"/>
      <c r="K56" s="918"/>
      <c r="L56" s="918"/>
      <c r="M56" s="918"/>
      <c r="N56" s="919"/>
      <c r="O56" s="83"/>
      <c r="P56" s="83"/>
      <c r="Q56" s="83"/>
      <c r="R56" s="83"/>
      <c r="S56" s="83"/>
      <c r="T56" s="83"/>
      <c r="U56" s="83"/>
      <c r="V56" s="83"/>
      <c r="W56" s="83"/>
      <c r="X56" s="83"/>
      <c r="Y56" s="83"/>
      <c r="Z56" s="83"/>
      <c r="AA56" s="83"/>
      <c r="AB56" s="83"/>
      <c r="AC56" s="83"/>
      <c r="AD56" s="83"/>
      <c r="AE56" s="83"/>
      <c r="AF56" s="83"/>
      <c r="AG56" s="215"/>
      <c r="AH56" s="215"/>
      <c r="AI56" s="215"/>
      <c r="AJ56" s="215"/>
      <c r="AK56" s="83"/>
      <c r="AL56" s="83"/>
      <c r="AM56" s="83"/>
      <c r="AN56" s="83"/>
      <c r="AO56" s="83"/>
      <c r="AP56" s="83"/>
      <c r="AQ56" s="215"/>
      <c r="AR56" s="371"/>
    </row>
    <row r="57" spans="1:57" ht="16.25" customHeight="1" x14ac:dyDescent="0.2">
      <c r="A57" s="83"/>
      <c r="B57" s="100"/>
      <c r="C57" s="101"/>
      <c r="D57" s="101"/>
      <c r="E57" s="101"/>
      <c r="F57" s="101"/>
      <c r="G57" s="102"/>
      <c r="H57" s="100"/>
      <c r="I57" s="101"/>
      <c r="J57" s="101"/>
      <c r="K57" s="101"/>
      <c r="L57" s="101"/>
      <c r="M57" s="101"/>
      <c r="N57" s="102"/>
      <c r="O57" s="161"/>
      <c r="P57" s="376"/>
      <c r="Q57" s="376"/>
      <c r="R57" s="215"/>
      <c r="S57" s="372"/>
      <c r="T57" s="215"/>
      <c r="U57" s="215"/>
      <c r="V57" s="215"/>
      <c r="W57" s="877" t="s">
        <v>423</v>
      </c>
      <c r="X57" s="878"/>
      <c r="Y57" s="878"/>
      <c r="Z57" s="878"/>
      <c r="AA57" s="878"/>
      <c r="AB57" s="878"/>
      <c r="AC57" s="878"/>
      <c r="AD57" s="878"/>
      <c r="AE57" s="878"/>
      <c r="AF57" s="879"/>
      <c r="AG57" s="215"/>
      <c r="AH57" s="215"/>
      <c r="AI57" s="215"/>
      <c r="AJ57" s="215"/>
      <c r="AK57" s="215"/>
      <c r="AL57" s="215"/>
      <c r="AM57" s="215"/>
      <c r="AN57" s="215"/>
      <c r="AO57" s="215"/>
      <c r="AP57" s="215"/>
      <c r="AQ57" s="215"/>
      <c r="AR57" s="371"/>
      <c r="AS57" s="372"/>
      <c r="AT57" s="372"/>
      <c r="AU57" s="372"/>
      <c r="AV57" s="372"/>
      <c r="AW57" s="372"/>
      <c r="AX57" s="372"/>
      <c r="AY57" s="372"/>
      <c r="AZ57" s="372"/>
      <c r="BA57" s="372"/>
      <c r="BB57" s="372"/>
      <c r="BC57" s="372"/>
      <c r="BD57" s="372"/>
      <c r="BE57" s="372"/>
    </row>
    <row r="58" spans="1:57" ht="16.25" customHeight="1" x14ac:dyDescent="0.2">
      <c r="A58" s="83"/>
      <c r="B58" s="103"/>
      <c r="C58" s="83"/>
      <c r="D58" s="83"/>
      <c r="E58" s="83"/>
      <c r="F58" s="83"/>
      <c r="G58" s="104"/>
      <c r="H58" s="103"/>
      <c r="I58" s="83"/>
      <c r="J58" s="83"/>
      <c r="K58" s="83"/>
      <c r="L58" s="83"/>
      <c r="M58" s="83"/>
      <c r="N58" s="104"/>
      <c r="O58" s="164"/>
      <c r="P58" s="376"/>
      <c r="Q58" s="376"/>
      <c r="R58" s="215"/>
      <c r="S58" s="372"/>
      <c r="T58" s="215"/>
      <c r="U58" s="215"/>
      <c r="V58" s="215"/>
      <c r="W58" s="316" t="s">
        <v>303</v>
      </c>
      <c r="X58" s="316" t="s">
        <v>320</v>
      </c>
      <c r="Y58" s="316" t="s">
        <v>321</v>
      </c>
      <c r="Z58" s="316" t="s">
        <v>322</v>
      </c>
      <c r="AA58" s="316" t="s">
        <v>323</v>
      </c>
      <c r="AB58" s="316" t="s">
        <v>324</v>
      </c>
      <c r="AC58" s="316" t="s">
        <v>325</v>
      </c>
      <c r="AD58" s="249" t="s">
        <v>326</v>
      </c>
      <c r="AE58" s="651" t="s">
        <v>327</v>
      </c>
      <c r="AF58" s="671" t="s">
        <v>328</v>
      </c>
      <c r="AG58" s="215"/>
      <c r="AH58" s="215"/>
      <c r="AI58" s="215"/>
      <c r="AJ58" s="215"/>
      <c r="AK58" s="215"/>
      <c r="AL58" s="215"/>
      <c r="AM58" s="215"/>
      <c r="AN58" s="215"/>
      <c r="AO58" s="215"/>
      <c r="AP58" s="215"/>
      <c r="AQ58" s="215"/>
      <c r="AR58" s="371"/>
      <c r="AS58" s="372"/>
      <c r="AT58" s="372"/>
      <c r="AU58" s="372"/>
      <c r="AV58" s="372"/>
      <c r="AW58" s="372"/>
      <c r="AX58" s="372"/>
      <c r="AY58" s="372"/>
      <c r="AZ58" s="372"/>
      <c r="BA58" s="372"/>
      <c r="BB58" s="372"/>
      <c r="BC58" s="372"/>
      <c r="BD58" s="372"/>
      <c r="BE58" s="372"/>
    </row>
    <row r="59" spans="1:57" ht="16.25" customHeight="1" x14ac:dyDescent="0.2">
      <c r="A59" s="83"/>
      <c r="B59" s="103"/>
      <c r="C59" s="83"/>
      <c r="D59" s="83"/>
      <c r="E59" s="83"/>
      <c r="F59" s="83"/>
      <c r="G59" s="104"/>
      <c r="H59" s="103"/>
      <c r="I59" s="83"/>
      <c r="J59" s="83"/>
      <c r="K59" s="83"/>
      <c r="L59" s="83"/>
      <c r="M59" s="83"/>
      <c r="N59" s="104"/>
      <c r="O59" s="160"/>
      <c r="P59" s="215"/>
      <c r="Q59" s="215"/>
      <c r="R59" s="215"/>
      <c r="S59" s="215"/>
      <c r="T59" s="215"/>
      <c r="U59" s="215"/>
      <c r="V59" s="215"/>
      <c r="W59" s="700" t="s">
        <v>518</v>
      </c>
      <c r="X59" s="828">
        <f>2.72785458491791/3600</f>
        <v>7.5773738469941943E-4</v>
      </c>
      <c r="Y59" s="828">
        <f>0.0427414240296293/3600</f>
        <v>1.1872617786008139E-5</v>
      </c>
      <c r="Z59" s="828">
        <v>673.38992168591199</v>
      </c>
      <c r="AA59" s="828">
        <v>61.150212818819298</v>
      </c>
      <c r="AB59" s="543">
        <f>+(AC59*4/PI())^0.5</f>
        <v>9.1140883587111851E-2</v>
      </c>
      <c r="AC59" s="828">
        <f>+X59/(0.035*(Z59/AA59)^0.5)</f>
        <v>6.5240360271462371E-3</v>
      </c>
      <c r="AD59" s="828">
        <f>+AC59*(4*AC59/PI())^0.5</f>
        <v>5.9460640806825889E-4</v>
      </c>
      <c r="AE59" s="828">
        <f>600*Y59</f>
        <v>7.1235706716048829E-3</v>
      </c>
      <c r="AF59" s="829">
        <v>150</v>
      </c>
      <c r="AG59" s="215"/>
      <c r="AH59" s="215"/>
      <c r="AI59" s="215"/>
      <c r="AJ59" s="215"/>
      <c r="AK59" s="215"/>
      <c r="AL59" s="215"/>
      <c r="AM59" s="215"/>
      <c r="AN59" s="215"/>
      <c r="AO59" s="215"/>
      <c r="AP59" s="215"/>
      <c r="AQ59" s="215"/>
      <c r="AR59" s="371"/>
      <c r="AS59" s="372"/>
      <c r="AT59" s="372"/>
      <c r="AU59" s="372"/>
      <c r="AV59" s="372"/>
      <c r="AW59" s="372"/>
      <c r="AX59" s="372"/>
      <c r="AY59" s="372"/>
      <c r="AZ59" s="372"/>
      <c r="BA59" s="372"/>
      <c r="BB59" s="372"/>
      <c r="BC59" s="372"/>
      <c r="BD59" s="372"/>
      <c r="BE59" s="372"/>
    </row>
    <row r="60" spans="1:57" ht="16.25" customHeight="1" x14ac:dyDescent="0.2">
      <c r="A60" s="83"/>
      <c r="B60" s="103"/>
      <c r="C60" s="83"/>
      <c r="D60" s="83"/>
      <c r="E60" s="83"/>
      <c r="F60" s="83"/>
      <c r="G60" s="104"/>
      <c r="H60" s="103"/>
      <c r="I60" s="83"/>
      <c r="J60" s="83"/>
      <c r="K60" s="83"/>
      <c r="L60" s="83"/>
      <c r="M60" s="83"/>
      <c r="N60" s="104"/>
      <c r="O60" s="83"/>
      <c r="P60" s="215"/>
      <c r="Q60" s="215"/>
      <c r="R60" s="215"/>
      <c r="S60" s="215"/>
      <c r="T60" s="215"/>
      <c r="U60" s="215"/>
      <c r="V60" s="372"/>
      <c r="W60" s="830" t="s">
        <v>519</v>
      </c>
      <c r="X60" s="830">
        <f>14102.4486388719/3600</f>
        <v>3.917346844131083</v>
      </c>
      <c r="Y60" s="830">
        <f>145.551443096813/3600</f>
        <v>4.0430956415781386E-2</v>
      </c>
      <c r="Z60" s="830">
        <v>658.65628439602006</v>
      </c>
      <c r="AA60" s="830">
        <v>1.46965730265332</v>
      </c>
      <c r="AB60" s="543">
        <f t="shared" ref="AB60:AB61" si="13">+(AC60*4/PI())^0.5</f>
        <v>2.5945160365127604</v>
      </c>
      <c r="AC60" s="828">
        <f t="shared" ref="AC60:AC61" si="14">+X60/(0.035*(Z60/AA60)^0.5)</f>
        <v>5.2869183112923626</v>
      </c>
      <c r="AD60" s="828">
        <f t="shared" ref="AD60:AD61" si="15">+AC60*(4*AC60/PI())^0.5</f>
        <v>13.716994342380996</v>
      </c>
      <c r="AE60" s="828">
        <f t="shared" ref="AE60:AE61" si="16">600*Y60</f>
        <v>24.258573849468831</v>
      </c>
      <c r="AF60" s="830">
        <v>1.8</v>
      </c>
      <c r="AG60" s="215"/>
      <c r="AH60" s="215"/>
      <c r="AI60" s="215"/>
      <c r="AJ60" s="215"/>
      <c r="AK60" s="215"/>
      <c r="AL60" s="215"/>
      <c r="AM60" s="215"/>
      <c r="AN60" s="215"/>
      <c r="AO60" s="215"/>
      <c r="AP60" s="215"/>
      <c r="AQ60" s="215"/>
      <c r="AR60" s="371"/>
      <c r="AS60" s="372"/>
      <c r="AT60" s="372"/>
      <c r="AU60" s="372"/>
      <c r="AV60" s="372"/>
      <c r="AW60" s="372"/>
      <c r="AX60" s="372"/>
      <c r="AY60" s="372"/>
      <c r="AZ60" s="372"/>
      <c r="BA60" s="372"/>
      <c r="BB60" s="372"/>
      <c r="BC60" s="372"/>
      <c r="BD60" s="372"/>
      <c r="BE60" s="372"/>
    </row>
    <row r="61" spans="1:57" ht="16.25" customHeight="1" x14ac:dyDescent="0.2">
      <c r="A61" s="83"/>
      <c r="B61" s="103"/>
      <c r="C61" s="83"/>
      <c r="D61" s="83"/>
      <c r="E61" s="83"/>
      <c r="F61" s="83"/>
      <c r="G61" s="104"/>
      <c r="H61" s="103"/>
      <c r="I61" s="83"/>
      <c r="J61" s="83"/>
      <c r="K61" s="83"/>
      <c r="L61" s="83"/>
      <c r="M61" s="83"/>
      <c r="N61" s="104"/>
      <c r="O61" s="83"/>
      <c r="P61" s="215"/>
      <c r="Q61" s="215"/>
      <c r="R61" s="215"/>
      <c r="S61" s="215"/>
      <c r="T61" s="215"/>
      <c r="U61" s="215"/>
      <c r="V61" s="215"/>
      <c r="W61" s="831" t="s">
        <v>520</v>
      </c>
      <c r="X61" s="831">
        <f>670.199601735119/3600</f>
        <v>0.18616655603753307</v>
      </c>
      <c r="Y61" s="830">
        <f>21.6626189614499/3600</f>
        <v>6.0173941559583059E-3</v>
      </c>
      <c r="Z61" s="830">
        <v>672.55719698725602</v>
      </c>
      <c r="AA61" s="830">
        <v>0.87534867980181197</v>
      </c>
      <c r="AB61" s="543">
        <f t="shared" si="13"/>
        <v>0.494293425048623</v>
      </c>
      <c r="AC61" s="828">
        <f t="shared" si="14"/>
        <v>0.19189318385262624</v>
      </c>
      <c r="AD61" s="828">
        <f t="shared" si="15"/>
        <v>9.4851539089999742E-2</v>
      </c>
      <c r="AE61" s="828">
        <f t="shared" si="16"/>
        <v>3.6104364935749835</v>
      </c>
      <c r="AF61" s="830">
        <v>1</v>
      </c>
      <c r="AG61" s="215"/>
      <c r="AH61" s="215"/>
      <c r="AI61" s="215"/>
      <c r="AJ61" s="215"/>
      <c r="AK61" s="215"/>
      <c r="AL61" s="215"/>
      <c r="AM61" s="215"/>
      <c r="AN61" s="215"/>
      <c r="AO61" s="215"/>
      <c r="AP61" s="215"/>
      <c r="AQ61" s="215"/>
      <c r="AR61" s="371"/>
      <c r="AS61" s="372"/>
      <c r="AT61" s="372"/>
      <c r="AU61" s="372"/>
      <c r="AV61" s="372"/>
      <c r="AW61" s="372"/>
      <c r="AX61" s="372"/>
      <c r="AY61" s="372"/>
      <c r="AZ61" s="372"/>
      <c r="BA61" s="372"/>
      <c r="BB61" s="372"/>
      <c r="BC61" s="372"/>
      <c r="BD61" s="372"/>
      <c r="BE61" s="372"/>
    </row>
    <row r="62" spans="1:57" ht="16.25" customHeight="1" x14ac:dyDescent="0.2">
      <c r="A62" s="83"/>
      <c r="B62" s="103"/>
      <c r="C62" s="83"/>
      <c r="D62" s="83"/>
      <c r="E62" s="83"/>
      <c r="F62" s="83"/>
      <c r="G62" s="104"/>
      <c r="H62" s="103"/>
      <c r="I62" s="83"/>
      <c r="J62" s="83"/>
      <c r="K62" s="83"/>
      <c r="L62" s="83"/>
      <c r="M62" s="83"/>
      <c r="N62" s="104"/>
      <c r="O62" s="83"/>
      <c r="P62" s="215"/>
      <c r="Q62" s="215"/>
      <c r="R62" s="215"/>
      <c r="S62" s="215"/>
      <c r="T62" s="376"/>
      <c r="U62" s="215"/>
      <c r="V62" s="215"/>
      <c r="Y62" s="215"/>
      <c r="Z62" s="215"/>
      <c r="AA62" s="215"/>
      <c r="AB62" s="215"/>
      <c r="AC62" s="215"/>
      <c r="AD62" s="215"/>
      <c r="AE62" s="215"/>
      <c r="AF62" s="215"/>
      <c r="AG62" s="215"/>
      <c r="AH62" s="215"/>
      <c r="AI62" s="215"/>
      <c r="AJ62" s="215"/>
      <c r="AK62" s="215"/>
      <c r="AL62" s="215"/>
      <c r="AM62" s="215"/>
      <c r="AN62" s="215"/>
      <c r="AO62" s="215"/>
      <c r="AP62" s="215"/>
      <c r="AQ62" s="215"/>
      <c r="AR62" s="371"/>
      <c r="AS62" s="372"/>
      <c r="AT62" s="372"/>
      <c r="AU62" s="372"/>
      <c r="AV62" s="372"/>
      <c r="AW62" s="372"/>
      <c r="AX62" s="372"/>
      <c r="AY62" s="372"/>
      <c r="AZ62" s="372"/>
      <c r="BA62" s="372"/>
      <c r="BB62" s="372"/>
      <c r="BC62" s="372"/>
      <c r="BD62" s="372"/>
      <c r="BE62" s="372"/>
    </row>
    <row r="63" spans="1:57" ht="16.25" customHeight="1" x14ac:dyDescent="0.2">
      <c r="A63" s="83"/>
      <c r="B63" s="103"/>
      <c r="C63" s="83"/>
      <c r="D63" s="83"/>
      <c r="E63" s="83"/>
      <c r="F63" s="83"/>
      <c r="G63" s="104"/>
      <c r="H63" s="103"/>
      <c r="I63" s="83"/>
      <c r="J63" s="83"/>
      <c r="K63" s="83"/>
      <c r="L63" s="83"/>
      <c r="M63" s="83"/>
      <c r="N63" s="104"/>
      <c r="O63" s="83"/>
      <c r="P63" s="215"/>
      <c r="Q63" s="215"/>
      <c r="R63" s="215"/>
      <c r="S63" s="215"/>
      <c r="T63" s="376"/>
      <c r="U63" s="215"/>
      <c r="V63" s="215"/>
      <c r="Y63" s="215"/>
      <c r="Z63" s="215"/>
      <c r="AA63" s="215"/>
      <c r="AB63" s="215"/>
      <c r="AC63" s="215"/>
      <c r="AD63" s="215"/>
      <c r="AE63" s="215"/>
      <c r="AF63" s="215"/>
      <c r="AG63" s="215"/>
      <c r="AH63" s="215"/>
      <c r="AI63" s="215"/>
      <c r="AJ63" s="215"/>
      <c r="AK63" s="215"/>
      <c r="AL63" s="215"/>
      <c r="AM63" s="215"/>
      <c r="AN63" s="215"/>
      <c r="AO63" s="215"/>
      <c r="AP63" s="215"/>
      <c r="AQ63" s="215"/>
      <c r="AR63" s="371"/>
      <c r="AS63" s="372"/>
      <c r="AT63" s="372"/>
      <c r="AU63" s="372"/>
      <c r="AV63" s="372"/>
      <c r="AW63" s="372"/>
      <c r="AX63" s="372"/>
      <c r="AY63" s="372"/>
      <c r="AZ63" s="372"/>
      <c r="BA63" s="372"/>
      <c r="BB63" s="372"/>
      <c r="BC63" s="372"/>
      <c r="BD63" s="372"/>
      <c r="BE63" s="372"/>
    </row>
    <row r="64" spans="1:57" ht="16.25" customHeight="1" x14ac:dyDescent="0.2">
      <c r="A64" s="83"/>
      <c r="B64" s="103"/>
      <c r="C64" s="83"/>
      <c r="D64" s="83"/>
      <c r="E64" s="83"/>
      <c r="F64" s="83"/>
      <c r="G64" s="104"/>
      <c r="H64" s="103"/>
      <c r="I64" s="83"/>
      <c r="J64" s="83"/>
      <c r="K64" s="83"/>
      <c r="L64" s="83"/>
      <c r="M64" s="83"/>
      <c r="N64" s="104"/>
      <c r="O64" s="83"/>
      <c r="P64" s="215"/>
      <c r="Q64" s="215"/>
      <c r="R64" s="215"/>
      <c r="S64" s="215"/>
      <c r="T64" s="215"/>
      <c r="U64" s="215"/>
      <c r="V64" s="215"/>
      <c r="Y64" s="215"/>
      <c r="Z64" s="215"/>
      <c r="AA64" s="215"/>
      <c r="AB64" s="215"/>
      <c r="AC64" s="215"/>
      <c r="AD64" s="215"/>
      <c r="AE64" s="215"/>
      <c r="AF64" s="215"/>
      <c r="AG64" s="215"/>
      <c r="AH64" s="215"/>
      <c r="AI64" s="215"/>
      <c r="AJ64" s="215"/>
      <c r="AK64" s="215"/>
      <c r="AL64" s="215"/>
      <c r="AM64" s="215"/>
      <c r="AN64" s="215"/>
      <c r="AO64" s="215"/>
      <c r="AP64" s="215"/>
      <c r="AQ64" s="215"/>
      <c r="AR64" s="371"/>
      <c r="AS64" s="372"/>
      <c r="AT64" s="372"/>
      <c r="AU64" s="372"/>
      <c r="AV64" s="372"/>
      <c r="AW64" s="372"/>
      <c r="AX64" s="372"/>
      <c r="AY64" s="372"/>
      <c r="AZ64" s="372"/>
      <c r="BA64" s="372"/>
      <c r="BB64" s="372"/>
      <c r="BC64" s="372"/>
      <c r="BD64" s="372"/>
      <c r="BE64" s="372"/>
    </row>
    <row r="65" spans="1:57" ht="16.25" customHeight="1" x14ac:dyDescent="0.2">
      <c r="A65" s="83"/>
      <c r="B65" s="103"/>
      <c r="C65" s="83"/>
      <c r="D65" s="83"/>
      <c r="E65" s="83"/>
      <c r="F65" s="83"/>
      <c r="G65" s="104"/>
      <c r="H65" s="103"/>
      <c r="I65" s="83"/>
      <c r="J65" s="83"/>
      <c r="K65" s="83"/>
      <c r="L65" s="83"/>
      <c r="M65" s="83"/>
      <c r="N65" s="104"/>
      <c r="O65" s="83"/>
      <c r="P65" s="215"/>
      <c r="Q65" s="215"/>
      <c r="R65" s="215"/>
      <c r="S65" s="215"/>
      <c r="T65" s="215"/>
      <c r="U65" s="215"/>
      <c r="V65" s="215"/>
      <c r="Y65" s="215"/>
      <c r="Z65" s="215"/>
      <c r="AA65" s="215"/>
      <c r="AB65" s="215"/>
      <c r="AC65" s="215"/>
      <c r="AD65" s="215"/>
      <c r="AE65" s="215"/>
      <c r="AF65" s="215"/>
      <c r="AG65" s="215"/>
      <c r="AH65" s="215"/>
      <c r="AI65" s="215"/>
      <c r="AJ65" s="215"/>
      <c r="AK65" s="215"/>
      <c r="AL65" s="215"/>
      <c r="AM65" s="215"/>
      <c r="AN65" s="215"/>
      <c r="AO65" s="215"/>
      <c r="AP65" s="215"/>
      <c r="AQ65" s="215"/>
      <c r="AR65" s="371"/>
      <c r="AS65" s="372"/>
      <c r="AT65" s="372"/>
      <c r="AU65" s="372"/>
      <c r="AV65" s="372"/>
      <c r="AW65" s="372"/>
      <c r="AX65" s="372"/>
      <c r="AY65" s="372"/>
      <c r="AZ65" s="372"/>
      <c r="BA65" s="372"/>
      <c r="BB65" s="372"/>
      <c r="BC65" s="372"/>
      <c r="BD65" s="372"/>
      <c r="BE65" s="372"/>
    </row>
    <row r="66" spans="1:57" ht="16.25" customHeight="1" x14ac:dyDescent="0.2">
      <c r="A66" s="83"/>
      <c r="B66" s="103"/>
      <c r="C66" s="83"/>
      <c r="D66" s="83"/>
      <c r="E66" s="83"/>
      <c r="F66" s="83"/>
      <c r="G66" s="104"/>
      <c r="H66" s="103"/>
      <c r="I66" s="83"/>
      <c r="J66" s="83"/>
      <c r="K66" s="83"/>
      <c r="L66" s="83"/>
      <c r="M66" s="83"/>
      <c r="N66" s="104"/>
      <c r="O66" s="83"/>
      <c r="P66" s="215"/>
      <c r="Q66" s="215"/>
      <c r="R66" s="215"/>
      <c r="S66" s="215"/>
      <c r="T66" s="215"/>
      <c r="U66" s="215"/>
      <c r="V66" s="215"/>
      <c r="W66" s="215"/>
      <c r="X66" s="215"/>
      <c r="Y66" s="215"/>
      <c r="Z66" s="215"/>
      <c r="AA66" s="215"/>
      <c r="AB66" s="215"/>
      <c r="AC66" s="215"/>
      <c r="AD66" s="215"/>
      <c r="AE66" s="215"/>
      <c r="AF66" s="215"/>
      <c r="AG66" s="215"/>
      <c r="AH66" s="215"/>
      <c r="AI66" s="215"/>
      <c r="AJ66" s="215"/>
      <c r="AK66" s="215"/>
      <c r="AL66" s="215"/>
      <c r="AM66" s="215"/>
      <c r="AN66" s="215"/>
      <c r="AO66" s="215"/>
      <c r="AP66" s="215"/>
      <c r="AQ66" s="215"/>
      <c r="AR66" s="371"/>
      <c r="AS66" s="372"/>
      <c r="AT66" s="372"/>
      <c r="AU66" s="372"/>
      <c r="AV66" s="372"/>
      <c r="AW66" s="372"/>
      <c r="AX66" s="372"/>
      <c r="AY66" s="372"/>
      <c r="AZ66" s="372"/>
      <c r="BA66" s="372"/>
      <c r="BB66" s="372"/>
      <c r="BC66" s="372"/>
      <c r="BD66" s="372"/>
      <c r="BE66" s="372"/>
    </row>
    <row r="67" spans="1:57" ht="16.25" customHeight="1" x14ac:dyDescent="0.2">
      <c r="A67" s="83"/>
      <c r="B67" s="103"/>
      <c r="C67" s="83"/>
      <c r="D67" s="83"/>
      <c r="E67" s="83"/>
      <c r="F67" s="83"/>
      <c r="G67" s="104"/>
      <c r="H67" s="103"/>
      <c r="I67" s="83"/>
      <c r="J67" s="83"/>
      <c r="K67" s="83"/>
      <c r="L67" s="83"/>
      <c r="M67" s="83"/>
      <c r="N67" s="104"/>
      <c r="O67" s="83"/>
      <c r="P67" s="215"/>
      <c r="Q67" s="215"/>
      <c r="R67" s="215"/>
      <c r="S67" s="215"/>
      <c r="T67" s="215"/>
      <c r="U67" s="215"/>
      <c r="V67" s="215"/>
      <c r="W67" s="215"/>
      <c r="X67" s="215"/>
      <c r="Y67" s="215"/>
      <c r="Z67" s="215"/>
      <c r="AA67" s="215"/>
      <c r="AB67" s="215"/>
      <c r="AC67" s="215"/>
      <c r="AD67" s="215"/>
      <c r="AE67" s="215"/>
      <c r="AF67" s="215"/>
      <c r="AG67" s="215"/>
      <c r="AH67" s="215"/>
      <c r="AI67" s="215"/>
      <c r="AJ67" s="215"/>
      <c r="AK67" s="215"/>
      <c r="AL67" s="215"/>
      <c r="AM67" s="215"/>
      <c r="AN67" s="215"/>
      <c r="AO67" s="215"/>
      <c r="AP67" s="215"/>
      <c r="AQ67" s="215"/>
      <c r="AR67" s="371"/>
      <c r="AS67" s="372"/>
      <c r="AT67" s="372"/>
      <c r="AU67" s="372"/>
      <c r="AV67" s="372"/>
      <c r="AW67" s="372"/>
      <c r="AX67" s="372"/>
      <c r="AY67" s="372"/>
      <c r="AZ67" s="372"/>
      <c r="BA67" s="372"/>
      <c r="BB67" s="372"/>
      <c r="BC67" s="372"/>
      <c r="BD67" s="372"/>
      <c r="BE67" s="372"/>
    </row>
    <row r="68" spans="1:57" ht="16.25" customHeight="1" x14ac:dyDescent="0.2">
      <c r="A68" s="83"/>
      <c r="B68" s="103"/>
      <c r="C68" s="83"/>
      <c r="D68" s="83"/>
      <c r="E68" s="83"/>
      <c r="F68" s="83"/>
      <c r="G68" s="104"/>
      <c r="H68" s="103"/>
      <c r="I68" s="83"/>
      <c r="J68" s="83"/>
      <c r="K68" s="83"/>
      <c r="L68" s="83"/>
      <c r="M68" s="83"/>
      <c r="N68" s="104"/>
      <c r="O68" s="161"/>
      <c r="P68" s="376"/>
      <c r="Q68" s="376"/>
      <c r="R68" s="376"/>
      <c r="S68" s="376"/>
      <c r="T68" s="376"/>
      <c r="U68" s="377"/>
      <c r="V68" s="371"/>
      <c r="W68" s="371"/>
      <c r="X68" s="371"/>
      <c r="Y68" s="215"/>
      <c r="Z68" s="215"/>
      <c r="AA68" s="215"/>
      <c r="AB68" s="215"/>
      <c r="AC68" s="215"/>
      <c r="AD68" s="215"/>
      <c r="AE68" s="215"/>
      <c r="AF68" s="215"/>
      <c r="AG68" s="215"/>
      <c r="AH68" s="215"/>
      <c r="AI68" s="215"/>
      <c r="AJ68" s="215"/>
      <c r="AK68" s="215"/>
      <c r="AL68" s="215"/>
      <c r="AM68" s="215"/>
      <c r="AN68" s="215"/>
      <c r="AO68" s="215"/>
      <c r="AP68" s="215"/>
      <c r="AQ68" s="215"/>
      <c r="AR68" s="371"/>
      <c r="AS68" s="372"/>
      <c r="AT68" s="372"/>
      <c r="AU68" s="372"/>
      <c r="AV68" s="372"/>
      <c r="AW68" s="372"/>
      <c r="AX68" s="372"/>
      <c r="AY68" s="372"/>
      <c r="AZ68" s="372"/>
      <c r="BA68" s="372"/>
      <c r="BB68" s="372"/>
      <c r="BC68" s="372"/>
      <c r="BD68" s="372"/>
      <c r="BE68" s="372"/>
    </row>
    <row r="69" spans="1:57" ht="16.25" customHeight="1" x14ac:dyDescent="0.2">
      <c r="A69" s="83"/>
      <c r="B69" s="103"/>
      <c r="C69" s="83"/>
      <c r="D69" s="83"/>
      <c r="E69" s="83"/>
      <c r="F69" s="83"/>
      <c r="G69" s="104"/>
      <c r="H69" s="103"/>
      <c r="I69" s="83"/>
      <c r="J69" s="83"/>
      <c r="K69" s="83"/>
      <c r="L69" s="83"/>
      <c r="M69" s="83"/>
      <c r="N69" s="104"/>
      <c r="O69" s="161"/>
      <c r="P69" s="376"/>
      <c r="Q69" s="376"/>
      <c r="R69" s="376"/>
      <c r="S69" s="376"/>
      <c r="T69" s="376"/>
      <c r="U69" s="376"/>
      <c r="V69" s="376"/>
      <c r="W69" s="376"/>
      <c r="X69" s="376"/>
      <c r="Y69" s="215"/>
      <c r="Z69" s="215"/>
      <c r="AA69" s="215"/>
      <c r="AB69" s="215"/>
      <c r="AC69" s="215"/>
      <c r="AD69" s="215"/>
      <c r="AE69" s="215"/>
      <c r="AF69" s="215"/>
      <c r="AG69" s="215"/>
      <c r="AH69" s="215"/>
      <c r="AI69" s="215"/>
      <c r="AJ69" s="215"/>
      <c r="AK69" s="215"/>
      <c r="AL69" s="215"/>
      <c r="AM69" s="215"/>
      <c r="AN69" s="215"/>
      <c r="AO69" s="215"/>
      <c r="AP69" s="215"/>
      <c r="AQ69" s="215"/>
      <c r="AR69" s="371"/>
      <c r="AS69" s="372"/>
      <c r="AT69" s="372"/>
      <c r="AU69" s="372"/>
      <c r="AV69" s="372"/>
      <c r="AW69" s="372"/>
      <c r="AX69" s="372"/>
      <c r="AY69" s="372"/>
      <c r="AZ69" s="372"/>
      <c r="BA69" s="372"/>
      <c r="BB69" s="372"/>
      <c r="BC69" s="372"/>
      <c r="BD69" s="372"/>
      <c r="BE69" s="372"/>
    </row>
    <row r="70" spans="1:57" ht="16.25" customHeight="1" x14ac:dyDescent="0.2">
      <c r="A70" s="83"/>
      <c r="B70" s="103"/>
      <c r="C70" s="83"/>
      <c r="D70" s="83"/>
      <c r="E70" s="83"/>
      <c r="F70" s="83"/>
      <c r="G70" s="104"/>
      <c r="H70" s="103"/>
      <c r="I70" s="83"/>
      <c r="J70" s="83"/>
      <c r="K70" s="83"/>
      <c r="L70" s="83"/>
      <c r="M70" s="83"/>
      <c r="N70" s="104"/>
      <c r="O70" s="161"/>
      <c r="P70" s="374"/>
      <c r="Q70" s="376"/>
      <c r="R70" s="377"/>
      <c r="S70" s="377"/>
      <c r="T70" s="377"/>
      <c r="U70" s="377"/>
      <c r="V70" s="377"/>
      <c r="W70" s="376"/>
      <c r="X70" s="376"/>
      <c r="Y70" s="215"/>
      <c r="Z70" s="215"/>
      <c r="AA70" s="215"/>
      <c r="AB70" s="215"/>
      <c r="AC70" s="215"/>
      <c r="AD70" s="215"/>
      <c r="AE70" s="215"/>
      <c r="AF70" s="215"/>
      <c r="AG70" s="215"/>
      <c r="AH70" s="215"/>
      <c r="AI70" s="215"/>
      <c r="AJ70" s="215"/>
      <c r="AK70" s="215"/>
      <c r="AL70" s="215"/>
      <c r="AM70" s="215"/>
      <c r="AN70" s="215"/>
      <c r="AO70" s="215"/>
      <c r="AP70" s="215"/>
      <c r="AQ70" s="215"/>
      <c r="AR70" s="371"/>
      <c r="AS70" s="372"/>
      <c r="AT70" s="372"/>
      <c r="AU70" s="372"/>
      <c r="AV70" s="372"/>
      <c r="AW70" s="372"/>
      <c r="AX70" s="372"/>
      <c r="AY70" s="372"/>
      <c r="AZ70" s="372"/>
      <c r="BA70" s="372"/>
      <c r="BB70" s="372"/>
      <c r="BC70" s="372"/>
      <c r="BD70" s="372"/>
      <c r="BE70" s="372"/>
    </row>
    <row r="71" spans="1:57" ht="16.25" customHeight="1" x14ac:dyDescent="0.2">
      <c r="A71" s="83"/>
      <c r="B71" s="103"/>
      <c r="C71" s="83"/>
      <c r="D71" s="83"/>
      <c r="E71" s="83"/>
      <c r="F71" s="83"/>
      <c r="G71" s="104"/>
      <c r="H71" s="103"/>
      <c r="I71" s="83"/>
      <c r="J71" s="83"/>
      <c r="K71" s="83"/>
      <c r="L71" s="83"/>
      <c r="M71" s="83"/>
      <c r="N71" s="104"/>
      <c r="O71" s="83"/>
      <c r="P71" s="215"/>
      <c r="Q71" s="215"/>
      <c r="R71" s="215"/>
      <c r="S71" s="215"/>
      <c r="T71" s="215"/>
      <c r="U71" s="215"/>
      <c r="V71" s="215"/>
      <c r="W71" s="215"/>
      <c r="X71" s="215"/>
      <c r="Y71" s="215"/>
      <c r="Z71" s="215"/>
      <c r="AA71" s="215"/>
      <c r="AB71" s="215"/>
      <c r="AC71" s="215"/>
      <c r="AD71" s="215"/>
      <c r="AE71" s="215"/>
      <c r="AF71" s="215"/>
      <c r="AG71" s="215"/>
      <c r="AH71" s="215"/>
      <c r="AI71" s="215"/>
      <c r="AJ71" s="215"/>
      <c r="AK71" s="215"/>
      <c r="AL71" s="215"/>
      <c r="AM71" s="215"/>
      <c r="AN71" s="215"/>
      <c r="AO71" s="215"/>
      <c r="AP71" s="215"/>
      <c r="AQ71" s="215"/>
      <c r="AR71" s="371"/>
      <c r="AS71" s="372"/>
      <c r="AT71" s="372"/>
      <c r="AU71" s="372"/>
      <c r="AV71" s="372"/>
      <c r="AW71" s="372"/>
      <c r="AX71" s="372"/>
      <c r="AY71" s="372"/>
      <c r="AZ71" s="372"/>
      <c r="BA71" s="372"/>
      <c r="BB71" s="372"/>
      <c r="BC71" s="372"/>
      <c r="BD71" s="372"/>
      <c r="BE71" s="372"/>
    </row>
    <row r="72" spans="1:57" ht="16.25" customHeight="1" x14ac:dyDescent="0.2">
      <c r="A72" s="83"/>
      <c r="B72" s="103"/>
      <c r="C72" s="83"/>
      <c r="D72" s="83"/>
      <c r="E72" s="83"/>
      <c r="F72" s="83"/>
      <c r="G72" s="104"/>
      <c r="H72" s="103"/>
      <c r="I72" s="83"/>
      <c r="J72" s="83"/>
      <c r="K72" s="83"/>
      <c r="L72" s="83"/>
      <c r="M72" s="83"/>
      <c r="N72" s="104"/>
      <c r="O72" s="162"/>
      <c r="P72" s="371"/>
      <c r="Q72" s="371"/>
      <c r="R72" s="371"/>
      <c r="S72" s="371"/>
      <c r="T72" s="215"/>
      <c r="U72" s="215"/>
      <c r="V72" s="215"/>
      <c r="W72" s="215"/>
      <c r="X72" s="215"/>
      <c r="Y72" s="215"/>
      <c r="Z72" s="215"/>
      <c r="AA72" s="215"/>
      <c r="AB72" s="215"/>
      <c r="AC72" s="215"/>
      <c r="AD72" s="215"/>
      <c r="AE72" s="215"/>
      <c r="AF72" s="215"/>
      <c r="AG72" s="215"/>
      <c r="AH72" s="215"/>
      <c r="AI72" s="215"/>
      <c r="AJ72" s="215"/>
      <c r="AK72" s="215"/>
      <c r="AL72" s="215"/>
      <c r="AM72" s="215"/>
      <c r="AN72" s="215"/>
      <c r="AO72" s="215"/>
      <c r="AP72" s="215"/>
      <c r="AQ72" s="215"/>
      <c r="AR72" s="371"/>
      <c r="AS72" s="372"/>
      <c r="AT72" s="372"/>
      <c r="AU72" s="372"/>
      <c r="AV72" s="372"/>
      <c r="AW72" s="372"/>
      <c r="AX72" s="372"/>
      <c r="AY72" s="372"/>
      <c r="AZ72" s="372"/>
      <c r="BA72" s="372"/>
      <c r="BB72" s="372"/>
      <c r="BC72" s="372"/>
      <c r="BD72" s="372"/>
      <c r="BE72" s="372"/>
    </row>
    <row r="73" spans="1:57" ht="16.25" customHeight="1" x14ac:dyDescent="0.2">
      <c r="A73" s="83"/>
      <c r="B73" s="103"/>
      <c r="C73" s="83"/>
      <c r="D73" s="83"/>
      <c r="E73" s="83"/>
      <c r="F73" s="83"/>
      <c r="G73" s="104"/>
      <c r="H73" s="103"/>
      <c r="I73" s="83"/>
      <c r="J73" s="83"/>
      <c r="K73" s="83"/>
      <c r="L73" s="83"/>
      <c r="M73" s="83"/>
      <c r="N73" s="104"/>
      <c r="O73" s="162"/>
      <c r="P73" s="371"/>
      <c r="Q73" s="371"/>
      <c r="R73" s="371"/>
      <c r="S73" s="371"/>
      <c r="T73" s="215"/>
      <c r="U73" s="215"/>
      <c r="V73" s="215"/>
      <c r="W73" s="215"/>
      <c r="X73" s="215"/>
      <c r="Y73" s="215"/>
      <c r="Z73" s="215"/>
      <c r="AA73" s="215"/>
      <c r="AB73" s="215"/>
      <c r="AC73" s="215"/>
      <c r="AD73" s="215"/>
      <c r="AE73" s="215"/>
      <c r="AF73" s="215"/>
      <c r="AG73" s="215"/>
      <c r="AH73" s="215"/>
      <c r="AI73" s="215"/>
      <c r="AJ73" s="215"/>
      <c r="AK73" s="215"/>
      <c r="AL73" s="215"/>
      <c r="AM73" s="215"/>
      <c r="AN73" s="215"/>
      <c r="AO73" s="215"/>
      <c r="AP73" s="215"/>
      <c r="AQ73" s="215"/>
      <c r="AR73" s="371"/>
      <c r="AS73" s="372"/>
      <c r="AT73" s="372"/>
      <c r="AU73" s="372"/>
      <c r="AV73" s="372"/>
      <c r="AW73" s="372"/>
      <c r="AX73" s="372"/>
      <c r="AY73" s="372"/>
      <c r="AZ73" s="372"/>
      <c r="BA73" s="372"/>
      <c r="BB73" s="372"/>
      <c r="BC73" s="372"/>
      <c r="BD73" s="372"/>
      <c r="BE73" s="372"/>
    </row>
    <row r="74" spans="1:57" ht="16.25" customHeight="1" x14ac:dyDescent="0.2">
      <c r="A74" s="83"/>
      <c r="B74" s="103"/>
      <c r="C74" s="83"/>
      <c r="D74" s="83"/>
      <c r="E74" s="83"/>
      <c r="F74" s="83"/>
      <c r="G74" s="104"/>
      <c r="H74" s="103"/>
      <c r="I74" s="83"/>
      <c r="J74" s="83"/>
      <c r="K74" s="83"/>
      <c r="L74" s="83"/>
      <c r="M74" s="83"/>
      <c r="N74" s="104"/>
      <c r="O74" s="161"/>
      <c r="P74" s="376"/>
      <c r="Q74" s="376"/>
      <c r="R74" s="376"/>
      <c r="S74" s="376"/>
      <c r="T74" s="215"/>
      <c r="U74" s="215"/>
      <c r="V74" s="215"/>
      <c r="W74" s="215"/>
      <c r="X74" s="215"/>
      <c r="Y74" s="215"/>
      <c r="Z74" s="215"/>
      <c r="AA74" s="215"/>
      <c r="AB74" s="215"/>
      <c r="AC74" s="215"/>
      <c r="AD74" s="215"/>
      <c r="AE74" s="215"/>
      <c r="AF74" s="215"/>
      <c r="AG74" s="215"/>
      <c r="AH74" s="215"/>
      <c r="AI74" s="215"/>
      <c r="AJ74" s="215"/>
      <c r="AK74" s="215"/>
      <c r="AL74" s="215"/>
      <c r="AM74" s="215"/>
      <c r="AN74" s="215"/>
      <c r="AO74" s="215"/>
      <c r="AP74" s="215"/>
      <c r="AQ74" s="215"/>
      <c r="AR74" s="371"/>
      <c r="AS74" s="372"/>
      <c r="AT74" s="372"/>
      <c r="AU74" s="372"/>
      <c r="AV74" s="372"/>
      <c r="AW74" s="372"/>
      <c r="AX74" s="372"/>
      <c r="AY74" s="372"/>
      <c r="AZ74" s="372"/>
      <c r="BA74" s="372"/>
      <c r="BB74" s="372"/>
      <c r="BC74" s="372"/>
      <c r="BD74" s="372"/>
      <c r="BE74" s="372"/>
    </row>
    <row r="75" spans="1:57" ht="16.25" customHeight="1" x14ac:dyDescent="0.2">
      <c r="A75" s="83"/>
      <c r="B75" s="103"/>
      <c r="C75" s="83"/>
      <c r="D75" s="83"/>
      <c r="E75" s="83"/>
      <c r="F75" s="83"/>
      <c r="G75" s="104"/>
      <c r="H75" s="103"/>
      <c r="I75" s="83"/>
      <c r="J75" s="83"/>
      <c r="K75" s="83"/>
      <c r="L75" s="83"/>
      <c r="M75" s="83"/>
      <c r="N75" s="104"/>
      <c r="O75" s="163"/>
      <c r="P75" s="373"/>
      <c r="Q75" s="377"/>
      <c r="R75" s="376"/>
      <c r="S75" s="376"/>
      <c r="T75" s="215"/>
      <c r="U75" s="215"/>
      <c r="V75" s="215"/>
      <c r="W75" s="215"/>
      <c r="X75" s="215"/>
      <c r="Y75" s="215"/>
      <c r="Z75" s="215"/>
      <c r="AA75" s="215"/>
      <c r="AB75" s="215"/>
      <c r="AC75" s="215"/>
      <c r="AD75" s="215"/>
      <c r="AE75" s="215"/>
      <c r="AF75" s="215"/>
      <c r="AG75" s="215"/>
      <c r="AH75" s="215"/>
      <c r="AI75" s="215"/>
      <c r="AJ75" s="215"/>
      <c r="AK75" s="215"/>
      <c r="AL75" s="215"/>
      <c r="AM75" s="215"/>
      <c r="AN75" s="215"/>
      <c r="AO75" s="215"/>
      <c r="AP75" s="215"/>
      <c r="AQ75" s="215"/>
      <c r="AR75" s="371"/>
      <c r="AS75" s="372"/>
      <c r="AT75" s="372"/>
      <c r="AU75" s="372"/>
      <c r="AV75" s="372"/>
      <c r="AW75" s="372"/>
      <c r="AX75" s="372"/>
      <c r="AY75" s="372"/>
      <c r="AZ75" s="372"/>
      <c r="BA75" s="372"/>
      <c r="BB75" s="372"/>
      <c r="BC75" s="372"/>
      <c r="BD75" s="372"/>
      <c r="BE75" s="372"/>
    </row>
    <row r="76" spans="1:57" ht="16.25" customHeight="1" x14ac:dyDescent="0.2">
      <c r="A76" s="83"/>
      <c r="B76" s="103"/>
      <c r="C76" s="83"/>
      <c r="D76" s="83"/>
      <c r="E76" s="83"/>
      <c r="F76" s="83"/>
      <c r="G76" s="104"/>
      <c r="H76" s="103"/>
      <c r="I76" s="83"/>
      <c r="J76" s="83"/>
      <c r="K76" s="83"/>
      <c r="L76" s="83"/>
      <c r="M76" s="83"/>
      <c r="N76" s="104"/>
      <c r="O76" s="162"/>
      <c r="P76" s="371"/>
      <c r="Q76" s="371"/>
      <c r="R76" s="371"/>
      <c r="S76" s="371"/>
      <c r="T76" s="215"/>
      <c r="U76" s="215"/>
      <c r="V76" s="215"/>
      <c r="W76" s="215"/>
      <c r="X76" s="215"/>
      <c r="Y76" s="215"/>
      <c r="Z76" s="215"/>
      <c r="AA76" s="215"/>
      <c r="AB76" s="215"/>
      <c r="AC76" s="215"/>
      <c r="AD76" s="215"/>
      <c r="AE76" s="215"/>
      <c r="AF76" s="215"/>
      <c r="AG76" s="215"/>
      <c r="AH76" s="215"/>
      <c r="AI76" s="215"/>
      <c r="AJ76" s="215"/>
      <c r="AK76" s="215"/>
      <c r="AL76" s="215"/>
      <c r="AM76" s="215"/>
      <c r="AN76" s="215"/>
      <c r="AO76" s="215"/>
      <c r="AP76" s="215"/>
      <c r="AQ76" s="215"/>
      <c r="AR76" s="371"/>
      <c r="AS76" s="372"/>
      <c r="AT76" s="372"/>
      <c r="AU76" s="372"/>
      <c r="AV76" s="372"/>
      <c r="AW76" s="372"/>
      <c r="AX76" s="372"/>
      <c r="AY76" s="372"/>
      <c r="AZ76" s="372"/>
      <c r="BA76" s="372"/>
      <c r="BB76" s="372"/>
      <c r="BC76" s="372"/>
      <c r="BD76" s="372"/>
      <c r="BE76" s="372"/>
    </row>
    <row r="77" spans="1:57" ht="16.25" customHeight="1" x14ac:dyDescent="0.2">
      <c r="A77" s="83"/>
      <c r="B77" s="103"/>
      <c r="C77" s="83"/>
      <c r="D77" s="83"/>
      <c r="E77" s="83"/>
      <c r="F77" s="83"/>
      <c r="G77" s="104"/>
      <c r="H77" s="103"/>
      <c r="I77" s="83"/>
      <c r="J77" s="83"/>
      <c r="K77" s="83"/>
      <c r="L77" s="83"/>
      <c r="M77" s="83"/>
      <c r="N77" s="104"/>
      <c r="O77" s="162"/>
      <c r="P77" s="371"/>
      <c r="Q77" s="371"/>
      <c r="R77" s="371"/>
      <c r="S77" s="371"/>
      <c r="T77" s="215"/>
      <c r="U77" s="215"/>
      <c r="V77" s="215"/>
      <c r="W77" s="215"/>
      <c r="X77" s="215"/>
      <c r="Y77" s="215"/>
      <c r="Z77" s="215"/>
      <c r="AA77" s="215"/>
      <c r="AB77" s="215"/>
      <c r="AC77" s="215"/>
      <c r="AD77" s="215"/>
      <c r="AE77" s="215"/>
      <c r="AF77" s="215"/>
      <c r="AG77" s="215"/>
      <c r="AH77" s="215"/>
      <c r="AI77" s="215"/>
      <c r="AJ77" s="215"/>
      <c r="AK77" s="215"/>
      <c r="AL77" s="215"/>
      <c r="AM77" s="215"/>
      <c r="AN77" s="215"/>
      <c r="AO77" s="215"/>
      <c r="AP77" s="215"/>
      <c r="AQ77" s="215"/>
      <c r="AR77" s="371"/>
      <c r="AS77" s="372"/>
      <c r="AT77" s="372"/>
      <c r="AU77" s="372"/>
      <c r="AV77" s="372"/>
      <c r="AW77" s="372"/>
      <c r="AX77" s="372"/>
      <c r="AY77" s="372"/>
      <c r="AZ77" s="372"/>
      <c r="BA77" s="372"/>
      <c r="BB77" s="372"/>
      <c r="BC77" s="372"/>
      <c r="BD77" s="372"/>
      <c r="BE77" s="372"/>
    </row>
    <row r="78" spans="1:57" ht="16.25" customHeight="1" x14ac:dyDescent="0.2">
      <c r="A78" s="83"/>
      <c r="B78" s="103"/>
      <c r="C78" s="83"/>
      <c r="D78" s="83"/>
      <c r="E78" s="83"/>
      <c r="F78" s="83"/>
      <c r="G78" s="104"/>
      <c r="H78" s="103"/>
      <c r="I78" s="83"/>
      <c r="J78" s="83"/>
      <c r="K78" s="83"/>
      <c r="L78" s="83"/>
      <c r="M78" s="83"/>
      <c r="N78" s="104"/>
      <c r="O78" s="162"/>
      <c r="P78" s="371"/>
      <c r="Q78" s="371"/>
      <c r="R78" s="371"/>
      <c r="S78" s="371"/>
      <c r="T78" s="215"/>
      <c r="U78" s="215"/>
      <c r="V78" s="215"/>
      <c r="W78" s="215"/>
      <c r="X78" s="215"/>
      <c r="Y78" s="215"/>
      <c r="Z78" s="215"/>
      <c r="AA78" s="215"/>
      <c r="AB78" s="215"/>
      <c r="AC78" s="215"/>
      <c r="AD78" s="215"/>
      <c r="AE78" s="215"/>
      <c r="AF78" s="215"/>
      <c r="AG78" s="215"/>
      <c r="AH78" s="215"/>
      <c r="AI78" s="215"/>
      <c r="AJ78" s="215"/>
      <c r="AK78" s="215"/>
      <c r="AL78" s="215"/>
      <c r="AM78" s="215"/>
      <c r="AN78" s="215"/>
      <c r="AO78" s="215"/>
      <c r="AP78" s="215"/>
      <c r="AQ78" s="215"/>
      <c r="AR78" s="371"/>
      <c r="AS78" s="372"/>
      <c r="AT78" s="372"/>
      <c r="AU78" s="372"/>
      <c r="AV78" s="372"/>
      <c r="AW78" s="372"/>
      <c r="AX78" s="372"/>
      <c r="AY78" s="372"/>
      <c r="AZ78" s="372"/>
      <c r="BA78" s="372"/>
      <c r="BB78" s="372"/>
      <c r="BC78" s="372"/>
      <c r="BD78" s="372"/>
      <c r="BE78" s="372"/>
    </row>
    <row r="79" spans="1:57" ht="16.25" customHeight="1" x14ac:dyDescent="0.2">
      <c r="A79" s="83"/>
      <c r="B79" s="103"/>
      <c r="C79" s="83"/>
      <c r="D79" s="83"/>
      <c r="E79" s="83"/>
      <c r="F79" s="83"/>
      <c r="G79" s="104"/>
      <c r="H79" s="103"/>
      <c r="I79" s="83"/>
      <c r="J79" s="83"/>
      <c r="K79" s="83"/>
      <c r="L79" s="83"/>
      <c r="M79" s="83"/>
      <c r="N79" s="104"/>
      <c r="O79" s="162"/>
      <c r="P79" s="371"/>
      <c r="Q79" s="371"/>
      <c r="R79" s="371"/>
      <c r="S79" s="371"/>
      <c r="T79" s="215"/>
      <c r="U79" s="215"/>
      <c r="V79" s="215"/>
      <c r="W79" s="215"/>
      <c r="X79" s="215"/>
      <c r="Y79" s="215"/>
      <c r="Z79" s="215"/>
      <c r="AA79" s="215"/>
      <c r="AB79" s="215"/>
      <c r="AC79" s="215"/>
      <c r="AD79" s="215"/>
      <c r="AE79" s="215"/>
      <c r="AF79" s="215"/>
      <c r="AG79" s="215"/>
      <c r="AH79" s="215"/>
      <c r="AI79" s="215"/>
      <c r="AJ79" s="215"/>
      <c r="AK79" s="215"/>
      <c r="AL79" s="215"/>
      <c r="AM79" s="215"/>
      <c r="AN79" s="215"/>
      <c r="AO79" s="215"/>
      <c r="AP79" s="215"/>
      <c r="AQ79" s="215"/>
      <c r="AR79" s="371"/>
      <c r="AS79" s="372"/>
      <c r="AT79" s="372"/>
      <c r="AU79" s="372"/>
      <c r="AV79" s="372"/>
      <c r="AW79" s="372"/>
      <c r="AX79" s="372"/>
      <c r="AY79" s="372"/>
      <c r="AZ79" s="372"/>
      <c r="BA79" s="372"/>
      <c r="BB79" s="372"/>
      <c r="BC79" s="372"/>
      <c r="BD79" s="372"/>
      <c r="BE79" s="372"/>
    </row>
    <row r="80" spans="1:57" ht="16.25" customHeight="1" x14ac:dyDescent="0.2">
      <c r="A80" s="83"/>
      <c r="B80" s="933" t="s">
        <v>281</v>
      </c>
      <c r="C80" s="934"/>
      <c r="D80" s="934"/>
      <c r="E80" s="934"/>
      <c r="F80" s="934"/>
      <c r="G80" s="935"/>
      <c r="H80" s="116" t="s">
        <v>252</v>
      </c>
      <c r="I80" s="117" t="s">
        <v>2</v>
      </c>
      <c r="J80" s="939" t="s">
        <v>82</v>
      </c>
      <c r="K80" s="940"/>
      <c r="L80" s="940"/>
      <c r="M80" s="940"/>
      <c r="N80" s="941"/>
      <c r="O80" s="162"/>
      <c r="P80" s="371"/>
      <c r="Q80" s="371"/>
      <c r="R80" s="371"/>
      <c r="S80" s="371"/>
      <c r="T80" s="215"/>
      <c r="U80" s="215"/>
      <c r="V80" s="215"/>
      <c r="W80" s="215"/>
      <c r="X80" s="215"/>
      <c r="Y80" s="215"/>
      <c r="Z80" s="215"/>
      <c r="AA80" s="215"/>
      <c r="AB80" s="215"/>
      <c r="AC80" s="215"/>
      <c r="AD80" s="215"/>
      <c r="AE80" s="215"/>
      <c r="AF80" s="215"/>
      <c r="AG80" s="215"/>
      <c r="AH80" s="215"/>
      <c r="AI80" s="215"/>
      <c r="AJ80" s="215"/>
      <c r="AK80" s="215"/>
      <c r="AL80" s="215"/>
      <c r="AM80" s="215"/>
      <c r="AN80" s="215"/>
      <c r="AO80" s="215"/>
      <c r="AP80" s="215"/>
      <c r="AQ80" s="215"/>
      <c r="AR80" s="371"/>
      <c r="AS80" s="372"/>
      <c r="AT80" s="372"/>
      <c r="AU80" s="372"/>
      <c r="AV80" s="372"/>
      <c r="AW80" s="372"/>
      <c r="AX80" s="372"/>
      <c r="AY80" s="372"/>
      <c r="AZ80" s="372"/>
      <c r="BA80" s="372"/>
      <c r="BB80" s="372"/>
      <c r="BC80" s="372"/>
      <c r="BD80" s="372"/>
      <c r="BE80" s="372"/>
    </row>
    <row r="81" spans="1:57" ht="16.25" customHeight="1" x14ac:dyDescent="0.2">
      <c r="A81" s="83"/>
      <c r="B81" s="936"/>
      <c r="C81" s="937"/>
      <c r="D81" s="937"/>
      <c r="E81" s="937"/>
      <c r="F81" s="937"/>
      <c r="G81" s="938"/>
      <c r="H81" s="493"/>
      <c r="I81" s="110"/>
      <c r="J81" s="988"/>
      <c r="K81" s="989"/>
      <c r="L81" s="989"/>
      <c r="M81" s="989"/>
      <c r="N81" s="990"/>
      <c r="O81" s="83"/>
      <c r="P81" s="215"/>
      <c r="Q81" s="215"/>
      <c r="R81" s="215"/>
      <c r="S81" s="215"/>
      <c r="T81" s="215"/>
      <c r="U81" s="215"/>
      <c r="V81" s="215"/>
      <c r="W81" s="215"/>
      <c r="X81" s="215"/>
      <c r="Y81" s="215"/>
      <c r="Z81" s="215"/>
      <c r="AA81" s="215"/>
      <c r="AB81" s="215"/>
      <c r="AC81" s="215"/>
      <c r="AD81" s="215"/>
      <c r="AE81" s="215"/>
      <c r="AF81" s="215"/>
      <c r="AG81" s="215"/>
      <c r="AH81" s="215"/>
      <c r="AI81" s="215"/>
      <c r="AJ81" s="215"/>
      <c r="AK81" s="215"/>
      <c r="AL81" s="215"/>
      <c r="AM81" s="215"/>
      <c r="AN81" s="215"/>
      <c r="AO81" s="215"/>
      <c r="AP81" s="215"/>
      <c r="AQ81" s="215"/>
      <c r="AR81" s="371"/>
      <c r="AS81" s="372"/>
      <c r="AT81" s="372"/>
      <c r="AU81" s="372"/>
      <c r="AV81" s="372"/>
      <c r="AW81" s="372"/>
      <c r="AX81" s="372"/>
      <c r="AY81" s="372"/>
      <c r="AZ81" s="372"/>
      <c r="BA81" s="372"/>
      <c r="BB81" s="372"/>
      <c r="BC81" s="372"/>
      <c r="BD81" s="372"/>
      <c r="BE81" s="372"/>
    </row>
    <row r="82" spans="1:57" ht="16.25" customHeight="1" x14ac:dyDescent="0.2">
      <c r="A82" s="83"/>
      <c r="B82" s="83"/>
      <c r="C82" s="83"/>
      <c r="D82" s="83"/>
      <c r="E82" s="83"/>
      <c r="F82" s="83"/>
      <c r="G82" s="83"/>
      <c r="H82" s="83"/>
      <c r="I82" s="83"/>
      <c r="J82" s="83"/>
      <c r="K82" s="83"/>
      <c r="L82" s="83"/>
      <c r="M82" s="162"/>
      <c r="N82" s="165"/>
      <c r="O82" s="83"/>
      <c r="P82" s="215"/>
      <c r="Q82" s="215"/>
      <c r="R82" s="215"/>
      <c r="S82" s="215"/>
      <c r="T82" s="215"/>
      <c r="U82" s="215"/>
      <c r="V82" s="215"/>
      <c r="W82" s="215"/>
      <c r="X82" s="215"/>
      <c r="Y82" s="215"/>
      <c r="Z82" s="215"/>
      <c r="AA82" s="215"/>
      <c r="AB82" s="215"/>
      <c r="AC82" s="215"/>
      <c r="AD82" s="215"/>
      <c r="AE82" s="215"/>
      <c r="AF82" s="215"/>
      <c r="AG82" s="215"/>
      <c r="AH82" s="215"/>
      <c r="AI82" s="215"/>
      <c r="AJ82" s="215"/>
      <c r="AK82" s="215"/>
      <c r="AL82" s="215"/>
      <c r="AM82" s="215"/>
      <c r="AN82" s="215"/>
      <c r="AO82" s="215"/>
      <c r="AP82" s="215"/>
      <c r="AQ82" s="215"/>
      <c r="AR82" s="371"/>
      <c r="AS82" s="372"/>
      <c r="AT82" s="372"/>
      <c r="AU82" s="372"/>
      <c r="AV82" s="372"/>
      <c r="AW82" s="372"/>
      <c r="AX82" s="372"/>
      <c r="AY82" s="372"/>
      <c r="AZ82" s="372"/>
      <c r="BA82" s="372"/>
      <c r="BB82" s="372"/>
      <c r="BC82" s="372"/>
      <c r="BD82" s="372"/>
      <c r="BE82" s="372"/>
    </row>
    <row r="83" spans="1:57" x14ac:dyDescent="0.2">
      <c r="A83" s="83"/>
      <c r="B83" s="83"/>
      <c r="C83" s="83"/>
      <c r="D83" s="83"/>
      <c r="E83" s="83"/>
      <c r="F83" s="83"/>
      <c r="G83" s="83"/>
      <c r="H83" s="83"/>
      <c r="I83" s="83"/>
      <c r="J83" s="83"/>
      <c r="K83" s="83"/>
      <c r="L83" s="83"/>
      <c r="M83" s="162"/>
      <c r="N83" s="165"/>
      <c r="O83" s="83"/>
      <c r="P83" s="215"/>
      <c r="Q83" s="215"/>
      <c r="R83" s="215"/>
      <c r="S83" s="215"/>
      <c r="T83" s="215"/>
      <c r="U83" s="215"/>
      <c r="V83" s="215"/>
      <c r="W83" s="215"/>
      <c r="X83" s="215"/>
      <c r="Y83" s="215"/>
      <c r="Z83" s="215"/>
      <c r="AA83" s="215"/>
      <c r="AB83" s="215"/>
      <c r="AC83" s="215"/>
      <c r="AD83" s="215"/>
      <c r="AE83" s="215"/>
      <c r="AF83" s="215"/>
      <c r="AG83" s="215"/>
      <c r="AH83" s="215"/>
      <c r="AI83" s="215"/>
      <c r="AJ83" s="215"/>
      <c r="AK83" s="215"/>
      <c r="AL83" s="215"/>
      <c r="AM83" s="215"/>
      <c r="AN83" s="215"/>
      <c r="AO83" s="215"/>
      <c r="AP83" s="215"/>
      <c r="AQ83" s="215"/>
      <c r="AR83" s="371"/>
      <c r="AS83" s="372"/>
      <c r="AT83" s="372"/>
      <c r="AU83" s="372"/>
      <c r="AV83" s="372"/>
      <c r="AW83" s="372"/>
      <c r="AX83" s="372"/>
      <c r="AY83" s="372"/>
      <c r="AZ83" s="372"/>
      <c r="BA83" s="372"/>
      <c r="BB83" s="372"/>
      <c r="BC83" s="372"/>
      <c r="BD83" s="372"/>
      <c r="BE83" s="372"/>
    </row>
    <row r="84" spans="1:57" x14ac:dyDescent="0.2">
      <c r="P84" s="372"/>
      <c r="Q84" s="372"/>
      <c r="R84" s="372"/>
      <c r="S84" s="372"/>
      <c r="T84" s="372"/>
      <c r="U84" s="372"/>
      <c r="V84" s="372"/>
      <c r="W84" s="372"/>
      <c r="X84" s="372"/>
      <c r="Y84" s="372"/>
      <c r="Z84" s="372"/>
      <c r="AA84" s="372"/>
      <c r="AB84" s="372"/>
      <c r="AC84" s="372"/>
      <c r="AD84" s="372"/>
      <c r="AE84" s="372"/>
      <c r="AF84" s="372"/>
      <c r="AG84" s="372"/>
      <c r="AH84" s="372"/>
      <c r="AI84" s="372"/>
      <c r="AJ84" s="372"/>
      <c r="AK84" s="372"/>
      <c r="AL84" s="372"/>
      <c r="AM84" s="372"/>
      <c r="AN84" s="372"/>
      <c r="AO84" s="372"/>
      <c r="AP84" s="372"/>
      <c r="AS84" s="372"/>
      <c r="AT84" s="372"/>
      <c r="AU84" s="372"/>
      <c r="AV84" s="372"/>
      <c r="AW84" s="372"/>
      <c r="AX84" s="372"/>
      <c r="AY84" s="372"/>
      <c r="AZ84" s="372"/>
      <c r="BA84" s="372"/>
      <c r="BB84" s="372"/>
      <c r="BC84" s="372"/>
      <c r="BD84" s="372"/>
      <c r="BE84" s="372"/>
    </row>
    <row r="85" spans="1:57" x14ac:dyDescent="0.2">
      <c r="P85" s="372"/>
      <c r="Q85" s="372"/>
      <c r="R85" s="372"/>
      <c r="S85" s="372"/>
      <c r="T85" s="372"/>
      <c r="U85" s="372"/>
      <c r="V85" s="372"/>
      <c r="W85" s="372"/>
      <c r="X85" s="372"/>
      <c r="Y85" s="372"/>
      <c r="Z85" s="372"/>
      <c r="AA85" s="372"/>
      <c r="AB85" s="372"/>
      <c r="AC85" s="372"/>
      <c r="AD85" s="372"/>
      <c r="AE85" s="372"/>
      <c r="AF85" s="372"/>
      <c r="AG85" s="372"/>
      <c r="AH85" s="372"/>
      <c r="AI85" s="372"/>
      <c r="AJ85" s="372"/>
      <c r="AK85" s="372"/>
      <c r="AL85" s="372"/>
      <c r="AM85" s="372"/>
      <c r="AN85" s="372"/>
      <c r="AO85" s="372"/>
      <c r="AP85" s="372"/>
      <c r="AS85" s="372"/>
      <c r="AT85" s="372"/>
      <c r="AU85" s="372"/>
      <c r="AV85" s="372"/>
      <c r="AW85" s="372"/>
      <c r="AX85" s="372"/>
      <c r="AY85" s="372"/>
      <c r="AZ85" s="372"/>
      <c r="BA85" s="372"/>
      <c r="BB85" s="372"/>
      <c r="BC85" s="372"/>
      <c r="BD85" s="372"/>
      <c r="BE85" s="372"/>
    </row>
    <row r="86" spans="1:57" x14ac:dyDescent="0.2">
      <c r="P86" s="372"/>
      <c r="Q86" s="372"/>
      <c r="R86" s="372"/>
      <c r="S86" s="372"/>
      <c r="T86" s="372"/>
      <c r="U86" s="372"/>
      <c r="V86" s="372"/>
      <c r="W86" s="372"/>
      <c r="X86" s="372"/>
      <c r="Y86" s="372"/>
      <c r="Z86" s="372"/>
      <c r="AA86" s="372"/>
      <c r="AB86" s="372"/>
      <c r="AC86" s="372"/>
      <c r="AD86" s="372"/>
      <c r="AE86" s="372"/>
      <c r="AF86" s="372"/>
      <c r="AG86" s="372"/>
      <c r="AH86" s="372"/>
      <c r="AI86" s="372"/>
      <c r="AJ86" s="372"/>
      <c r="AK86" s="372"/>
      <c r="AL86" s="372"/>
      <c r="AM86" s="372"/>
      <c r="AN86" s="372"/>
      <c r="AO86" s="372"/>
      <c r="AP86" s="372"/>
      <c r="AS86" s="372"/>
      <c r="AT86" s="372"/>
      <c r="AU86" s="372"/>
      <c r="AV86" s="372"/>
      <c r="AW86" s="372"/>
      <c r="AX86" s="372"/>
      <c r="AY86" s="372"/>
      <c r="AZ86" s="372"/>
      <c r="BA86" s="372"/>
      <c r="BB86" s="372"/>
      <c r="BC86" s="372"/>
      <c r="BD86" s="372"/>
      <c r="BE86" s="372"/>
    </row>
    <row r="87" spans="1:57" x14ac:dyDescent="0.2">
      <c r="P87" s="372"/>
      <c r="Q87" s="372"/>
      <c r="R87" s="372"/>
      <c r="S87" s="372"/>
      <c r="T87" s="372"/>
      <c r="U87" s="372"/>
      <c r="V87" s="372"/>
      <c r="W87" s="372"/>
      <c r="X87" s="372"/>
      <c r="Y87" s="372"/>
      <c r="Z87" s="372"/>
      <c r="AA87" s="372"/>
      <c r="AB87" s="372"/>
      <c r="AC87" s="372"/>
      <c r="AD87" s="372"/>
      <c r="AE87" s="372"/>
      <c r="AF87" s="372"/>
      <c r="AG87" s="372"/>
      <c r="AH87" s="372"/>
      <c r="AI87" s="372"/>
      <c r="AJ87" s="372"/>
      <c r="AK87" s="372"/>
      <c r="AL87" s="372"/>
      <c r="AM87" s="372"/>
      <c r="AN87" s="372"/>
      <c r="AO87" s="372"/>
      <c r="AP87" s="372"/>
      <c r="AS87" s="372"/>
      <c r="AT87" s="372"/>
      <c r="AU87" s="372"/>
      <c r="AV87" s="372"/>
      <c r="AW87" s="372"/>
      <c r="AX87" s="372"/>
      <c r="AY87" s="372"/>
      <c r="AZ87" s="372"/>
      <c r="BA87" s="372"/>
      <c r="BB87" s="372"/>
      <c r="BC87" s="372"/>
      <c r="BD87" s="372"/>
      <c r="BE87" s="372"/>
    </row>
    <row r="88" spans="1:57" x14ac:dyDescent="0.2">
      <c r="P88" s="372"/>
      <c r="Q88" s="372"/>
      <c r="R88" s="372"/>
      <c r="S88" s="372"/>
      <c r="T88" s="372"/>
      <c r="U88" s="372"/>
      <c r="V88" s="372"/>
      <c r="W88" s="372"/>
      <c r="X88" s="372"/>
      <c r="Y88" s="372"/>
      <c r="Z88" s="372"/>
      <c r="AA88" s="372"/>
      <c r="AB88" s="372"/>
      <c r="AC88" s="372"/>
      <c r="AD88" s="372"/>
      <c r="AE88" s="372"/>
      <c r="AF88" s="372"/>
      <c r="AG88" s="372"/>
      <c r="AH88" s="372"/>
      <c r="AI88" s="372"/>
      <c r="AJ88" s="372"/>
      <c r="AK88" s="372"/>
      <c r="AL88" s="372"/>
      <c r="AM88" s="372"/>
      <c r="AN88" s="372"/>
      <c r="AO88" s="372"/>
      <c r="AP88" s="372"/>
      <c r="AS88" s="372"/>
      <c r="AT88" s="372"/>
      <c r="AU88" s="372"/>
      <c r="AV88" s="372"/>
      <c r="AW88" s="372"/>
      <c r="AX88" s="372"/>
      <c r="AY88" s="372"/>
      <c r="AZ88" s="372"/>
      <c r="BA88" s="372"/>
      <c r="BB88" s="372"/>
      <c r="BC88" s="372"/>
      <c r="BD88" s="372"/>
      <c r="BE88" s="372"/>
    </row>
    <row r="89" spans="1:57" x14ac:dyDescent="0.2">
      <c r="P89" s="372"/>
      <c r="Q89" s="372"/>
      <c r="R89" s="372"/>
      <c r="S89" s="372"/>
      <c r="T89" s="372"/>
      <c r="U89" s="372"/>
      <c r="V89" s="372"/>
      <c r="W89" s="372"/>
      <c r="X89" s="372"/>
      <c r="Y89" s="372"/>
      <c r="Z89" s="372"/>
      <c r="AA89" s="372"/>
      <c r="AB89" s="372"/>
      <c r="AC89" s="372"/>
      <c r="AD89" s="372"/>
      <c r="AE89" s="372"/>
      <c r="AF89" s="372"/>
      <c r="AG89" s="372"/>
      <c r="AH89" s="372"/>
      <c r="AI89" s="372"/>
      <c r="AJ89" s="372"/>
      <c r="AK89" s="372"/>
      <c r="AL89" s="372"/>
      <c r="AM89" s="372"/>
      <c r="AN89" s="372"/>
      <c r="AO89" s="372"/>
      <c r="AP89" s="372"/>
      <c r="AS89" s="372"/>
      <c r="AT89" s="372"/>
      <c r="AU89" s="372"/>
      <c r="AV89" s="372"/>
      <c r="AW89" s="372"/>
      <c r="AX89" s="372"/>
      <c r="AY89" s="372"/>
      <c r="AZ89" s="372"/>
      <c r="BA89" s="372"/>
      <c r="BB89" s="372"/>
      <c r="BC89" s="372"/>
      <c r="BD89" s="372"/>
      <c r="BE89" s="372"/>
    </row>
    <row r="90" spans="1:57" x14ac:dyDescent="0.2">
      <c r="P90" s="372"/>
      <c r="Q90" s="372"/>
      <c r="R90" s="372"/>
      <c r="S90" s="372"/>
      <c r="T90" s="372"/>
      <c r="U90" s="372"/>
      <c r="V90" s="372"/>
      <c r="W90" s="372"/>
      <c r="X90" s="372"/>
      <c r="Y90" s="372"/>
      <c r="Z90" s="372"/>
      <c r="AA90" s="372"/>
      <c r="AB90" s="372"/>
      <c r="AC90" s="372"/>
      <c r="AD90" s="372"/>
      <c r="AE90" s="372"/>
      <c r="AF90" s="372"/>
      <c r="AG90" s="372"/>
      <c r="AH90" s="372"/>
      <c r="AI90" s="372"/>
      <c r="AJ90" s="372"/>
      <c r="AK90" s="372"/>
      <c r="AL90" s="372"/>
      <c r="AM90" s="372"/>
      <c r="AN90" s="372"/>
      <c r="AO90" s="372"/>
      <c r="AP90" s="372"/>
      <c r="AS90" s="372"/>
      <c r="AT90" s="372"/>
      <c r="AU90" s="372"/>
      <c r="AV90" s="372"/>
      <c r="AW90" s="372"/>
      <c r="AX90" s="372"/>
      <c r="AY90" s="372"/>
      <c r="AZ90" s="372"/>
      <c r="BA90" s="372"/>
      <c r="BB90" s="372"/>
      <c r="BC90" s="372"/>
      <c r="BD90" s="372"/>
      <c r="BE90" s="372"/>
    </row>
    <row r="91" spans="1:57" x14ac:dyDescent="0.2">
      <c r="P91" s="372"/>
      <c r="Q91" s="372"/>
      <c r="R91" s="372"/>
      <c r="S91" s="372"/>
      <c r="T91" s="372"/>
      <c r="U91" s="372"/>
      <c r="V91" s="372"/>
      <c r="W91" s="372"/>
      <c r="X91" s="372"/>
      <c r="Y91" s="372"/>
      <c r="Z91" s="372"/>
      <c r="AA91" s="372"/>
      <c r="AB91" s="372"/>
      <c r="AC91" s="372"/>
      <c r="AD91" s="372"/>
      <c r="AE91" s="372"/>
      <c r="AF91" s="372"/>
      <c r="AG91" s="372"/>
      <c r="AH91" s="372"/>
      <c r="AI91" s="372"/>
      <c r="AJ91" s="372"/>
      <c r="AK91" s="372"/>
      <c r="AL91" s="372"/>
      <c r="AM91" s="372"/>
      <c r="AN91" s="372"/>
      <c r="AO91" s="372"/>
      <c r="AP91" s="372"/>
      <c r="AS91" s="372"/>
      <c r="AT91" s="372"/>
      <c r="AU91" s="372"/>
      <c r="AV91" s="372"/>
      <c r="AW91" s="372"/>
      <c r="AX91" s="372"/>
      <c r="AY91" s="372"/>
      <c r="AZ91" s="372"/>
      <c r="BA91" s="372"/>
      <c r="BB91" s="372"/>
      <c r="BC91" s="372"/>
      <c r="BD91" s="372"/>
      <c r="BE91" s="372"/>
    </row>
    <row r="92" spans="1:57" x14ac:dyDescent="0.2">
      <c r="P92" s="372"/>
      <c r="Q92" s="372"/>
      <c r="R92" s="372"/>
      <c r="S92" s="372"/>
      <c r="T92" s="372"/>
      <c r="U92" s="372"/>
      <c r="V92" s="372"/>
      <c r="W92" s="372"/>
      <c r="X92" s="372"/>
      <c r="Y92" s="372"/>
      <c r="Z92" s="372"/>
      <c r="AA92" s="372"/>
      <c r="AB92" s="372"/>
      <c r="AC92" s="372"/>
      <c r="AD92" s="372"/>
      <c r="AE92" s="372"/>
      <c r="AF92" s="372"/>
      <c r="AG92" s="372"/>
      <c r="AH92" s="372"/>
      <c r="AI92" s="372"/>
      <c r="AJ92" s="372"/>
      <c r="AK92" s="372"/>
      <c r="AL92" s="372"/>
      <c r="AM92" s="372"/>
      <c r="AN92" s="372"/>
      <c r="AO92" s="372"/>
      <c r="AP92" s="372"/>
      <c r="AS92" s="372"/>
      <c r="AT92" s="372"/>
      <c r="AU92" s="372"/>
      <c r="AV92" s="372"/>
      <c r="AW92" s="372"/>
      <c r="AX92" s="372"/>
      <c r="AY92" s="372"/>
      <c r="AZ92" s="372"/>
      <c r="BA92" s="372"/>
      <c r="BB92" s="372"/>
      <c r="BC92" s="372"/>
      <c r="BD92" s="372"/>
      <c r="BE92" s="372"/>
    </row>
    <row r="93" spans="1:57" x14ac:dyDescent="0.2">
      <c r="P93" s="372"/>
      <c r="Q93" s="372"/>
      <c r="R93" s="372"/>
      <c r="S93" s="372"/>
      <c r="T93" s="372"/>
      <c r="U93" s="372"/>
      <c r="V93" s="372"/>
      <c r="W93" s="372"/>
      <c r="X93" s="372"/>
      <c r="Y93" s="372"/>
      <c r="Z93" s="372"/>
      <c r="AA93" s="372"/>
      <c r="AB93" s="372"/>
      <c r="AC93" s="372"/>
      <c r="AD93" s="372"/>
      <c r="AE93" s="372"/>
      <c r="AF93" s="372"/>
      <c r="AG93" s="372"/>
      <c r="AH93" s="372"/>
      <c r="AI93" s="372"/>
      <c r="AJ93" s="372"/>
      <c r="AK93" s="372"/>
      <c r="AL93" s="372"/>
      <c r="AM93" s="372"/>
      <c r="AN93" s="372"/>
      <c r="AO93" s="372"/>
      <c r="AP93" s="372"/>
      <c r="AS93" s="372"/>
      <c r="AT93" s="372"/>
      <c r="AU93" s="372"/>
      <c r="AV93" s="372"/>
      <c r="AW93" s="372"/>
      <c r="AX93" s="372"/>
      <c r="AY93" s="372"/>
      <c r="AZ93" s="372"/>
      <c r="BA93" s="372"/>
      <c r="BB93" s="372"/>
      <c r="BC93" s="372"/>
      <c r="BD93" s="372"/>
      <c r="BE93" s="372"/>
    </row>
    <row r="94" spans="1:57" x14ac:dyDescent="0.2">
      <c r="P94" s="372"/>
      <c r="Q94" s="372"/>
      <c r="R94" s="372"/>
      <c r="S94" s="372"/>
      <c r="T94" s="372"/>
      <c r="U94" s="372"/>
      <c r="V94" s="372"/>
      <c r="W94" s="372"/>
      <c r="X94" s="372"/>
      <c r="Y94" s="372"/>
      <c r="Z94" s="372"/>
      <c r="AA94" s="372"/>
      <c r="AB94" s="372"/>
      <c r="AC94" s="372"/>
      <c r="AD94" s="372"/>
      <c r="AE94" s="372"/>
      <c r="AF94" s="372"/>
      <c r="AG94" s="372"/>
      <c r="AH94" s="372"/>
      <c r="AI94" s="372"/>
      <c r="AJ94" s="372"/>
      <c r="AK94" s="372"/>
      <c r="AL94" s="372"/>
      <c r="AM94" s="372"/>
      <c r="AN94" s="372"/>
      <c r="AO94" s="372"/>
      <c r="AP94" s="372"/>
      <c r="AS94" s="372"/>
      <c r="AT94" s="372"/>
      <c r="AU94" s="372"/>
      <c r="AV94" s="372"/>
      <c r="AW94" s="372"/>
      <c r="AX94" s="372"/>
      <c r="AY94" s="372"/>
      <c r="AZ94" s="372"/>
      <c r="BA94" s="372"/>
      <c r="BB94" s="372"/>
      <c r="BC94" s="372"/>
      <c r="BD94" s="372"/>
      <c r="BE94" s="372"/>
    </row>
    <row r="95" spans="1:57" x14ac:dyDescent="0.2">
      <c r="P95" s="372"/>
      <c r="Q95" s="372"/>
      <c r="R95" s="372"/>
      <c r="S95" s="372"/>
      <c r="T95" s="372"/>
      <c r="U95" s="372"/>
      <c r="V95" s="372"/>
      <c r="W95" s="372"/>
      <c r="X95" s="372"/>
      <c r="Y95" s="372"/>
      <c r="Z95" s="372"/>
      <c r="AA95" s="372"/>
      <c r="AB95" s="372"/>
      <c r="AC95" s="372"/>
      <c r="AD95" s="372"/>
      <c r="AE95" s="372"/>
      <c r="AF95" s="372"/>
      <c r="AG95" s="372"/>
      <c r="AH95" s="372"/>
      <c r="AI95" s="372"/>
      <c r="AJ95" s="372"/>
      <c r="AK95" s="372"/>
      <c r="AL95" s="372"/>
      <c r="AM95" s="372"/>
      <c r="AN95" s="372"/>
      <c r="AO95" s="372"/>
      <c r="AP95" s="372"/>
      <c r="AS95" s="372"/>
      <c r="AT95" s="372"/>
      <c r="AU95" s="372"/>
      <c r="AV95" s="372"/>
      <c r="AW95" s="372"/>
      <c r="AX95" s="372"/>
      <c r="AY95" s="372"/>
      <c r="AZ95" s="372"/>
      <c r="BA95" s="372"/>
      <c r="BB95" s="372"/>
      <c r="BC95" s="372"/>
      <c r="BD95" s="372"/>
      <c r="BE95" s="372"/>
    </row>
    <row r="96" spans="1:57" x14ac:dyDescent="0.2">
      <c r="P96" s="372"/>
      <c r="Q96" s="372"/>
      <c r="R96" s="372"/>
      <c r="S96" s="372"/>
      <c r="T96" s="372"/>
      <c r="U96" s="372"/>
      <c r="V96" s="372"/>
      <c r="W96" s="372"/>
      <c r="X96" s="372"/>
      <c r="Y96" s="372"/>
      <c r="Z96" s="372"/>
      <c r="AA96" s="372"/>
      <c r="AB96" s="372"/>
      <c r="AC96" s="372"/>
      <c r="AD96" s="372"/>
      <c r="AE96" s="372"/>
      <c r="AF96" s="372"/>
      <c r="AG96" s="372"/>
      <c r="AH96" s="372"/>
      <c r="AI96" s="372"/>
      <c r="AJ96" s="372"/>
      <c r="AK96" s="372"/>
      <c r="AL96" s="372"/>
      <c r="AM96" s="372"/>
      <c r="AN96" s="372"/>
      <c r="AO96" s="372"/>
      <c r="AP96" s="372"/>
      <c r="AS96" s="372"/>
      <c r="AT96" s="372"/>
      <c r="AU96" s="372"/>
      <c r="AV96" s="372"/>
      <c r="AW96" s="372"/>
      <c r="AX96" s="372"/>
      <c r="AY96" s="372"/>
      <c r="AZ96" s="372"/>
      <c r="BA96" s="372"/>
      <c r="BB96" s="372"/>
      <c r="BC96" s="372"/>
      <c r="BD96" s="372"/>
      <c r="BE96" s="372"/>
    </row>
    <row r="97" spans="16:57" x14ac:dyDescent="0.2">
      <c r="P97" s="372"/>
      <c r="Q97" s="372"/>
      <c r="R97" s="372"/>
      <c r="S97" s="372"/>
      <c r="T97" s="372"/>
      <c r="U97" s="372"/>
      <c r="V97" s="372"/>
      <c r="W97" s="372"/>
      <c r="X97" s="372"/>
      <c r="Y97" s="372"/>
      <c r="Z97" s="372"/>
      <c r="AA97" s="372"/>
      <c r="AB97" s="372"/>
      <c r="AC97" s="372"/>
      <c r="AD97" s="372"/>
      <c r="AE97" s="372"/>
      <c r="AF97" s="372"/>
      <c r="AG97" s="372"/>
      <c r="AH97" s="372"/>
      <c r="AI97" s="372"/>
      <c r="AJ97" s="372"/>
      <c r="AK97" s="372"/>
      <c r="AL97" s="372"/>
      <c r="AM97" s="372"/>
      <c r="AN97" s="372"/>
      <c r="AO97" s="372"/>
      <c r="AP97" s="372"/>
      <c r="AS97" s="372"/>
      <c r="AT97" s="372"/>
      <c r="AU97" s="372"/>
      <c r="AV97" s="372"/>
      <c r="AW97" s="372"/>
      <c r="AX97" s="372"/>
      <c r="AY97" s="372"/>
      <c r="AZ97" s="372"/>
      <c r="BA97" s="372"/>
      <c r="BB97" s="372"/>
      <c r="BC97" s="372"/>
      <c r="BD97" s="372"/>
      <c r="BE97" s="372"/>
    </row>
    <row r="98" spans="16:57" x14ac:dyDescent="0.2">
      <c r="P98" s="372"/>
      <c r="Q98" s="372"/>
      <c r="R98" s="372"/>
      <c r="S98" s="372"/>
      <c r="T98" s="372"/>
      <c r="U98" s="372"/>
      <c r="V98" s="372"/>
      <c r="W98" s="372"/>
      <c r="X98" s="372"/>
      <c r="Y98" s="372"/>
      <c r="Z98" s="372"/>
      <c r="AA98" s="372"/>
      <c r="AB98" s="372"/>
      <c r="AC98" s="372"/>
      <c r="AD98" s="372"/>
      <c r="AE98" s="372"/>
      <c r="AF98" s="372"/>
      <c r="AG98" s="372"/>
      <c r="AH98" s="372"/>
      <c r="AI98" s="372"/>
      <c r="AJ98" s="372"/>
      <c r="AK98" s="372"/>
      <c r="AL98" s="372"/>
      <c r="AM98" s="372"/>
      <c r="AN98" s="372"/>
      <c r="AO98" s="372"/>
      <c r="AP98" s="372"/>
      <c r="AS98" s="372"/>
      <c r="AT98" s="372"/>
      <c r="AU98" s="372"/>
      <c r="AV98" s="372"/>
      <c r="AW98" s="372"/>
      <c r="AX98" s="372"/>
      <c r="AY98" s="372"/>
      <c r="AZ98" s="372"/>
      <c r="BA98" s="372"/>
      <c r="BB98" s="372"/>
      <c r="BC98" s="372"/>
      <c r="BD98" s="372"/>
      <c r="BE98" s="372"/>
    </row>
    <row r="99" spans="16:57" x14ac:dyDescent="0.2">
      <c r="P99" s="372"/>
      <c r="Q99" s="372"/>
      <c r="R99" s="372"/>
      <c r="S99" s="372"/>
      <c r="T99" s="372"/>
      <c r="U99" s="372"/>
      <c r="V99" s="372"/>
      <c r="W99" s="372"/>
      <c r="X99" s="372"/>
      <c r="Y99" s="372"/>
      <c r="Z99" s="372"/>
      <c r="AA99" s="372"/>
      <c r="AB99" s="372"/>
      <c r="AC99" s="372"/>
      <c r="AD99" s="372"/>
      <c r="AE99" s="372"/>
      <c r="AF99" s="372"/>
      <c r="AG99" s="372"/>
      <c r="AH99" s="372"/>
      <c r="AI99" s="372"/>
      <c r="AJ99" s="372"/>
      <c r="AK99" s="372"/>
      <c r="AL99" s="372"/>
      <c r="AM99" s="372"/>
      <c r="AN99" s="372"/>
      <c r="AO99" s="372"/>
      <c r="AP99" s="372"/>
      <c r="AS99" s="372"/>
      <c r="AT99" s="372"/>
      <c r="AU99" s="372"/>
      <c r="AV99" s="372"/>
      <c r="AW99" s="372"/>
      <c r="AX99" s="372"/>
      <c r="AY99" s="372"/>
      <c r="AZ99" s="372"/>
      <c r="BA99" s="372"/>
      <c r="BB99" s="372"/>
      <c r="BC99" s="372"/>
      <c r="BD99" s="372"/>
      <c r="BE99" s="372"/>
    </row>
    <row r="100" spans="16:57" x14ac:dyDescent="0.2">
      <c r="P100" s="372"/>
      <c r="Q100" s="372"/>
      <c r="R100" s="372"/>
      <c r="S100" s="372"/>
      <c r="T100" s="372"/>
      <c r="U100" s="372"/>
      <c r="V100" s="372"/>
      <c r="W100" s="372"/>
      <c r="X100" s="372"/>
      <c r="Y100" s="372"/>
      <c r="Z100" s="372"/>
      <c r="AA100" s="372"/>
      <c r="AB100" s="372"/>
      <c r="AC100" s="372"/>
      <c r="AD100" s="372"/>
      <c r="AE100" s="372"/>
      <c r="AF100" s="372"/>
      <c r="AG100" s="372"/>
      <c r="AH100" s="372"/>
      <c r="AI100" s="372"/>
      <c r="AJ100" s="372"/>
      <c r="AK100" s="372"/>
      <c r="AL100" s="372"/>
      <c r="AM100" s="372"/>
      <c r="AN100" s="372"/>
      <c r="AO100" s="372"/>
      <c r="AP100" s="372"/>
      <c r="AS100" s="372"/>
      <c r="AT100" s="372"/>
      <c r="AU100" s="372"/>
      <c r="AV100" s="372"/>
      <c r="AW100" s="372"/>
      <c r="AX100" s="372"/>
      <c r="AY100" s="372"/>
      <c r="AZ100" s="372"/>
      <c r="BA100" s="372"/>
      <c r="BB100" s="372"/>
      <c r="BC100" s="372"/>
      <c r="BD100" s="372"/>
      <c r="BE100" s="372"/>
    </row>
  </sheetData>
  <mergeCells count="37">
    <mergeCell ref="B80:G81"/>
    <mergeCell ref="J80:N80"/>
    <mergeCell ref="J81:N81"/>
    <mergeCell ref="W57:AF57"/>
    <mergeCell ref="P53:Q53"/>
    <mergeCell ref="B56:G56"/>
    <mergeCell ref="H56:N56"/>
    <mergeCell ref="AI49:AN53"/>
    <mergeCell ref="P51:Q51"/>
    <mergeCell ref="P52:Q52"/>
    <mergeCell ref="W51:X51"/>
    <mergeCell ref="W52:X52"/>
    <mergeCell ref="W49:X49"/>
    <mergeCell ref="W50:X50"/>
    <mergeCell ref="W53:X53"/>
    <mergeCell ref="D11:L11"/>
    <mergeCell ref="M11:R11"/>
    <mergeCell ref="W34:AN34"/>
    <mergeCell ref="D44:R44"/>
    <mergeCell ref="AI48:AN48"/>
    <mergeCell ref="W36:Y36"/>
    <mergeCell ref="Z36:AA36"/>
    <mergeCell ref="AB36:AC36"/>
    <mergeCell ref="C3:F3"/>
    <mergeCell ref="G3:H3"/>
    <mergeCell ref="J3:M3"/>
    <mergeCell ref="O3:S3"/>
    <mergeCell ref="W3:AN3"/>
    <mergeCell ref="D5:E5"/>
    <mergeCell ref="G5:H5"/>
    <mergeCell ref="J5:K9"/>
    <mergeCell ref="O5:S5"/>
    <mergeCell ref="C6:C7"/>
    <mergeCell ref="O6:S9"/>
    <mergeCell ref="C8:C9"/>
    <mergeCell ref="D8:D9"/>
    <mergeCell ref="E8:E9"/>
  </mergeCells>
  <dataValidations count="11">
    <dataValidation type="list" allowBlank="1" showInputMessage="1" showErrorMessage="1" sqref="B53" xr:uid="{F23BC7C8-8BF6-4F2A-9DAE-6A83F890BB37}">
      <formula1>Lifetime</formula1>
    </dataValidation>
    <dataValidation type="list" allowBlank="1" showInputMessage="1" showErrorMessage="1" sqref="B54" xr:uid="{D324FBCB-9549-4A02-85DE-69A93AD7EC66}">
      <formula1>Construction</formula1>
    </dataValidation>
    <dataValidation type="list" allowBlank="1" showInputMessage="1" showErrorMessage="1" sqref="F46:F51" xr:uid="{3662CC27-572E-4026-AE49-9901E8E51416}">
      <formula1>Currency</formula1>
    </dataValidation>
    <dataValidation type="list" allowBlank="1" showInputMessage="1" showErrorMessage="1" sqref="G46:G51" xr:uid="{5AD600B1-405D-42C4-AE6A-61D0CF86759E}">
      <formula1>Year</formula1>
    </dataValidation>
    <dataValidation type="list" allowBlank="1" showInputMessage="1" showErrorMessage="1" sqref="H46:H51" xr:uid="{8A5CB519-AF90-43E8-8EA1-722233A8F830}">
      <formula1>Location</formula1>
    </dataValidation>
    <dataValidation type="list" allowBlank="1" showInputMessage="1" showErrorMessage="1" sqref="I13:I43" xr:uid="{1936BDAE-BE71-466C-BF89-AA57DB7D7BD0}">
      <formula1>INDIRECT(IF($D13="Heat Exchanger",SUBSTITUTE($D13," ","")&amp;"_"&amp;SUBSTITUTE(SUBSTITUTE($E13,",","")," ","")&amp;"_Material",SUBSTITUTE($D13," ","")&amp;"_Material"))</formula1>
    </dataValidation>
    <dataValidation type="list" allowBlank="1" showInputMessage="1" showErrorMessage="1" sqref="E21" xr:uid="{753C6D40-1011-4639-954B-CF4A53C8F558}">
      <formula1>INDIRECT(SUBSTITUTE($D22," ",""))</formula1>
    </dataValidation>
    <dataValidation type="list" allowBlank="1" showInputMessage="1" showErrorMessage="1" sqref="I49:J49" xr:uid="{35B4C589-5B8B-49DE-AF7A-D4114C309561}">
      <formula1>INDIRECT(IF($D13="Heat Exchanger",SUBSTITUTE($D13," ","")&amp;"_"&amp;SUBSTITUTE(SUBSTITUTE($E13,",","")," ","")&amp;"_Material",SUBSTITUTE($D13," ","")&amp;"_Material"))</formula1>
    </dataValidation>
    <dataValidation type="list" allowBlank="1" showInputMessage="1" showErrorMessage="1" sqref="E8:E9" xr:uid="{0CBE3534-8988-4EB9-BEC2-5A789BBA0DC6}">
      <formula1>Case</formula1>
    </dataValidation>
    <dataValidation type="list" allowBlank="1" showInputMessage="1" showErrorMessage="1" sqref="E22:E43 E13:E20" xr:uid="{4F397AF7-826B-4E5F-859F-3D1D8F779B79}">
      <formula1>INDIRECT(SUBSTITUTE($D13," ",""))</formula1>
    </dataValidation>
    <dataValidation type="list" allowBlank="1" showInputMessage="1" showErrorMessage="1" sqref="D22:D43 D13:D20" xr:uid="{02690804-658A-4E79-AA94-78AB96DE8770}">
      <formula1>Equipment</formula1>
    </dataValidation>
  </dataValidations>
  <hyperlinks>
    <hyperlink ref="E46" r:id="rId1" xr:uid="{A8C766CA-23DF-408F-8999-894BA5771082}"/>
  </hyperlinks>
  <pageMargins left="0.7" right="0.7" top="0.75" bottom="0.75" header="0.3" footer="0.3"/>
  <pageSetup paperSize="9" orientation="portrait" verticalDpi="1200" r:id="rId2"/>
  <ignoredErrors>
    <ignoredError sqref="T13:T43"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277505" r:id="rId5" name="Button 1">
              <controlPr defaultSize="0" print="0" autoFill="0" autoPict="0" macro="[0]!Plant">
                <anchor moveWithCells="1" sizeWithCells="1">
                  <from>
                    <xdr:col>2</xdr:col>
                    <xdr:colOff>63500</xdr:colOff>
                    <xdr:row>7</xdr:row>
                    <xdr:rowOff>25400</xdr:rowOff>
                  </from>
                  <to>
                    <xdr:col>2</xdr:col>
                    <xdr:colOff>1320800</xdr:colOff>
                    <xdr:row>8</xdr:row>
                    <xdr:rowOff>177800</xdr:rowOff>
                  </to>
                </anchor>
              </controlPr>
            </control>
          </mc:Choice>
        </mc:AlternateContent>
      </controls>
    </mc:Choice>
  </mc:AlternateContent>
  <tableParts count="3">
    <tablePart r:id="rId6"/>
    <tablePart r:id="rId7"/>
    <tablePart r:id="rId8"/>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7236E-3C48-4B46-B69B-B5A33B4FEBF0}">
  <sheetPr codeName="Hoja32"/>
  <dimension ref="A1:AJ69"/>
  <sheetViews>
    <sheetView showGridLines="0" zoomScale="40" zoomScaleNormal="40" workbookViewId="0">
      <selection activeCell="R18" sqref="R18"/>
    </sheetView>
  </sheetViews>
  <sheetFormatPr baseColWidth="10" defaultColWidth="11.1640625" defaultRowHeight="15" x14ac:dyDescent="0.2"/>
  <cols>
    <col min="1" max="2" width="4.5" customWidth="1"/>
    <col min="3" max="19" width="23.5" customWidth="1"/>
    <col min="20" max="22" width="3.5" customWidth="1"/>
    <col min="23" max="34" width="13.6640625" customWidth="1"/>
    <col min="35" max="35" width="4.1640625" customWidth="1"/>
  </cols>
  <sheetData>
    <row r="1" spans="1:36" ht="18.5" customHeight="1" x14ac:dyDescent="0.2">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5" customHeight="1" x14ac:dyDescent="0.2">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5" customHeight="1" x14ac:dyDescent="0.2">
      <c r="A3" s="83"/>
      <c r="B3" s="103"/>
      <c r="C3" s="917" t="s">
        <v>140</v>
      </c>
      <c r="D3" s="918"/>
      <c r="E3" s="918"/>
      <c r="F3" s="919"/>
      <c r="G3" s="917" t="s">
        <v>166</v>
      </c>
      <c r="H3" s="919"/>
      <c r="J3" s="917" t="s">
        <v>534</v>
      </c>
      <c r="K3" s="918"/>
      <c r="L3" s="918"/>
      <c r="M3" s="919"/>
      <c r="O3" s="917" t="str">
        <f>+E6</f>
        <v>Steam cycle &amp; CWT</v>
      </c>
      <c r="P3" s="918"/>
      <c r="Q3" s="918"/>
      <c r="R3" s="918"/>
      <c r="S3" s="919"/>
      <c r="T3" s="104"/>
      <c r="U3" s="103"/>
      <c r="V3" s="103"/>
      <c r="W3" s="970" t="str">
        <f>+E6&amp;" Diagram"</f>
        <v>Steam cycle &amp; CWT Diagram</v>
      </c>
      <c r="X3" s="971"/>
      <c r="Y3" s="971"/>
      <c r="Z3" s="971"/>
      <c r="AA3" s="971"/>
      <c r="AB3" s="971"/>
      <c r="AC3" s="971"/>
      <c r="AD3" s="971"/>
      <c r="AE3" s="971"/>
      <c r="AF3" s="971"/>
      <c r="AG3" s="971"/>
      <c r="AH3" s="972"/>
      <c r="AI3" s="104"/>
      <c r="AJ3" s="361"/>
    </row>
    <row r="4" spans="1:36" ht="18.5" customHeight="1" x14ac:dyDescent="0.2">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61"/>
    </row>
    <row r="5" spans="1:36" ht="18.5" customHeight="1" x14ac:dyDescent="0.25">
      <c r="A5" s="83"/>
      <c r="B5" s="103"/>
      <c r="C5" s="83"/>
      <c r="D5" s="920" t="s">
        <v>143</v>
      </c>
      <c r="E5" s="921"/>
      <c r="F5" s="187"/>
      <c r="G5" s="920" t="s">
        <v>40</v>
      </c>
      <c r="H5" s="921"/>
      <c r="J5" s="688"/>
      <c r="K5" s="689"/>
      <c r="L5" s="190" t="s">
        <v>144</v>
      </c>
      <c r="M5" s="191" t="s">
        <v>145</v>
      </c>
      <c r="O5" s="833" t="s">
        <v>82</v>
      </c>
      <c r="P5" s="834"/>
      <c r="Q5" s="834"/>
      <c r="R5" s="834"/>
      <c r="S5" s="835"/>
      <c r="T5" s="104"/>
      <c r="U5" s="103"/>
      <c r="V5" s="103"/>
      <c r="W5" s="103"/>
      <c r="X5" s="83"/>
      <c r="Y5" s="83"/>
      <c r="Z5" s="83"/>
      <c r="AA5" s="83"/>
      <c r="AB5" s="83"/>
      <c r="AC5" s="83"/>
      <c r="AD5" s="83"/>
      <c r="AE5" s="83"/>
      <c r="AF5" s="83"/>
      <c r="AG5" s="83"/>
      <c r="AH5" s="104"/>
      <c r="AI5" s="104"/>
      <c r="AJ5" s="361"/>
    </row>
    <row r="6" spans="1:36" ht="18.5" customHeight="1" x14ac:dyDescent="0.2">
      <c r="A6" s="83"/>
      <c r="B6" s="103"/>
      <c r="C6" s="979" t="s">
        <v>146</v>
      </c>
      <c r="D6" s="420" t="s">
        <v>147</v>
      </c>
      <c r="E6" s="475" t="str">
        <f>+'Plant Overview'!V44</f>
        <v>Steam cycle &amp; CWT</v>
      </c>
      <c r="F6" s="188"/>
      <c r="G6" s="85"/>
      <c r="H6" s="324" t="s">
        <v>43</v>
      </c>
      <c r="J6" s="690"/>
      <c r="K6" s="691"/>
      <c r="L6" s="93" t="s">
        <v>148</v>
      </c>
      <c r="M6" s="86" t="s">
        <v>149</v>
      </c>
      <c r="O6" s="836"/>
      <c r="P6" s="882"/>
      <c r="Q6" s="882"/>
      <c r="R6" s="882"/>
      <c r="S6" s="883"/>
      <c r="T6" s="104"/>
      <c r="U6" s="103"/>
      <c r="V6" s="103"/>
      <c r="W6" s="103"/>
      <c r="X6" s="83"/>
      <c r="Y6" s="83"/>
      <c r="Z6" s="83"/>
      <c r="AA6" s="83"/>
      <c r="AB6" s="83"/>
      <c r="AC6" s="83"/>
      <c r="AD6" s="83"/>
      <c r="AE6" s="83"/>
      <c r="AF6" s="83"/>
      <c r="AG6" s="83"/>
      <c r="AH6" s="104"/>
      <c r="AI6" s="104"/>
      <c r="AJ6" s="361"/>
    </row>
    <row r="7" spans="1:36" ht="18.5" customHeight="1" x14ac:dyDescent="0.2">
      <c r="A7" s="83"/>
      <c r="B7" s="103"/>
      <c r="C7" s="980"/>
      <c r="D7" s="420" t="s">
        <v>150</v>
      </c>
      <c r="E7" s="409" t="str">
        <f>+'Plant Overview'!W44</f>
        <v>U-800</v>
      </c>
      <c r="F7" s="188"/>
      <c r="G7" s="184"/>
      <c r="H7" s="324" t="s">
        <v>49</v>
      </c>
      <c r="J7" s="690"/>
      <c r="K7" s="691"/>
      <c r="L7" s="190" t="s">
        <v>151</v>
      </c>
      <c r="M7" s="191" t="s">
        <v>152</v>
      </c>
      <c r="O7" s="884"/>
      <c r="P7" s="885"/>
      <c r="Q7" s="885"/>
      <c r="R7" s="885"/>
      <c r="S7" s="886"/>
      <c r="T7" s="104"/>
      <c r="U7" s="103"/>
      <c r="V7" s="103"/>
      <c r="W7" s="103"/>
      <c r="X7" s="83"/>
      <c r="Y7" s="83"/>
      <c r="Z7" s="83"/>
      <c r="AA7" s="83"/>
      <c r="AB7" s="83"/>
      <c r="AC7" s="83"/>
      <c r="AD7" s="83"/>
      <c r="AE7" s="83"/>
      <c r="AF7" s="83"/>
      <c r="AG7" s="83"/>
      <c r="AH7" s="104"/>
      <c r="AI7" s="104"/>
      <c r="AJ7" s="361"/>
    </row>
    <row r="8" spans="1:36" ht="18.5" customHeight="1" x14ac:dyDescent="0.2">
      <c r="A8" s="83"/>
      <c r="B8" s="103"/>
      <c r="C8" s="1013"/>
      <c r="D8" s="1014" t="s">
        <v>153</v>
      </c>
      <c r="E8" s="1016" t="s">
        <v>535</v>
      </c>
      <c r="F8" s="189"/>
      <c r="G8" s="94"/>
      <c r="H8" s="98" t="s">
        <v>51</v>
      </c>
      <c r="J8" s="690"/>
      <c r="K8" s="691"/>
      <c r="L8" s="190" t="s">
        <v>155</v>
      </c>
      <c r="M8" s="191" t="s">
        <v>156</v>
      </c>
      <c r="O8" s="884"/>
      <c r="P8" s="885"/>
      <c r="Q8" s="885"/>
      <c r="R8" s="885"/>
      <c r="S8" s="886"/>
      <c r="T8" s="104"/>
      <c r="U8" s="103"/>
      <c r="V8" s="103"/>
      <c r="W8" s="103"/>
      <c r="X8" s="83"/>
      <c r="Y8" s="83"/>
      <c r="Z8" s="83"/>
      <c r="AA8" s="83"/>
      <c r="AB8" s="83"/>
      <c r="AC8" s="83"/>
      <c r="AD8" s="83"/>
      <c r="AE8" s="83"/>
      <c r="AF8" s="83"/>
      <c r="AG8" s="83"/>
      <c r="AH8" s="104"/>
      <c r="AI8" s="104"/>
      <c r="AJ8" s="361"/>
    </row>
    <row r="9" spans="1:36" ht="18.5" customHeight="1" x14ac:dyDescent="0.2">
      <c r="A9" s="83"/>
      <c r="B9" s="103"/>
      <c r="C9" s="881"/>
      <c r="D9" s="1015"/>
      <c r="E9" s="1017"/>
      <c r="F9" s="189"/>
      <c r="G9" s="108"/>
      <c r="H9" s="310" t="s">
        <v>54</v>
      </c>
      <c r="J9" s="692"/>
      <c r="K9" s="693"/>
      <c r="L9" s="190" t="s">
        <v>157</v>
      </c>
      <c r="M9" s="191" t="s">
        <v>158</v>
      </c>
      <c r="O9" s="887"/>
      <c r="P9" s="888"/>
      <c r="Q9" s="888"/>
      <c r="R9" s="888"/>
      <c r="S9" s="889"/>
      <c r="T9" s="104"/>
      <c r="U9" s="103"/>
      <c r="V9" s="103"/>
      <c r="W9" s="103"/>
      <c r="X9" s="83"/>
      <c r="Y9" s="83"/>
      <c r="Z9" s="83"/>
      <c r="AA9" s="83"/>
      <c r="AB9" s="83"/>
      <c r="AC9" s="83"/>
      <c r="AD9" s="83"/>
      <c r="AE9" s="83"/>
      <c r="AF9" s="83"/>
      <c r="AG9" s="83"/>
      <c r="AH9" s="104"/>
      <c r="AI9" s="104"/>
      <c r="AJ9" s="361"/>
    </row>
    <row r="10" spans="1:36" ht="18.5" customHeight="1" x14ac:dyDescent="0.2">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61"/>
    </row>
    <row r="11" spans="1:36" ht="18.5" customHeight="1" x14ac:dyDescent="0.2">
      <c r="A11" s="83"/>
      <c r="B11" s="103"/>
      <c r="C11" s="83"/>
      <c r="D11" s="917" t="s">
        <v>536</v>
      </c>
      <c r="E11" s="918"/>
      <c r="F11" s="918"/>
      <c r="G11" s="918"/>
      <c r="H11" s="918"/>
      <c r="I11" s="918"/>
      <c r="J11" s="918"/>
      <c r="K11" s="917" t="s">
        <v>537</v>
      </c>
      <c r="L11" s="918"/>
      <c r="M11" s="918"/>
      <c r="N11" s="918"/>
      <c r="O11" s="919"/>
      <c r="P11" s="917" t="s">
        <v>538</v>
      </c>
      <c r="Q11" s="918"/>
      <c r="R11" s="919"/>
      <c r="S11" s="83"/>
      <c r="T11" s="104"/>
      <c r="U11" s="103"/>
      <c r="V11" s="103"/>
      <c r="W11" s="103"/>
      <c r="X11" s="83"/>
      <c r="Y11" s="83"/>
      <c r="Z11" s="83"/>
      <c r="AA11" s="83"/>
      <c r="AB11" s="83"/>
      <c r="AC11" s="83"/>
      <c r="AD11" s="83"/>
      <c r="AE11" s="83"/>
      <c r="AF11" s="83"/>
      <c r="AG11" s="83"/>
      <c r="AH11" s="104"/>
      <c r="AI11" s="104"/>
      <c r="AJ11" s="361"/>
    </row>
    <row r="12" spans="1:36" ht="18.5" customHeight="1" x14ac:dyDescent="0.2">
      <c r="A12" s="83"/>
      <c r="B12" s="103"/>
      <c r="C12" s="424" t="s">
        <v>161</v>
      </c>
      <c r="D12" s="424" t="s">
        <v>224</v>
      </c>
      <c r="E12" s="424" t="s">
        <v>225</v>
      </c>
      <c r="F12" s="429" t="s">
        <v>226</v>
      </c>
      <c r="G12" s="429" t="s">
        <v>539</v>
      </c>
      <c r="H12" s="429" t="s">
        <v>227</v>
      </c>
      <c r="I12" s="424" t="s">
        <v>228</v>
      </c>
      <c r="J12" s="424" t="s">
        <v>75</v>
      </c>
      <c r="K12" s="415" t="s">
        <v>155</v>
      </c>
      <c r="L12" s="424" t="s">
        <v>157</v>
      </c>
      <c r="M12" s="422" t="s">
        <v>229</v>
      </c>
      <c r="N12" s="423" t="s">
        <v>230</v>
      </c>
      <c r="O12" s="419" t="s">
        <v>231</v>
      </c>
      <c r="P12" s="415" t="s">
        <v>151</v>
      </c>
      <c r="Q12" s="415" t="s">
        <v>148</v>
      </c>
      <c r="R12" s="422" t="s">
        <v>144</v>
      </c>
      <c r="S12" s="419" t="s">
        <v>232</v>
      </c>
      <c r="T12" s="104"/>
      <c r="U12" s="103"/>
      <c r="V12" s="103"/>
      <c r="W12" s="103"/>
      <c r="X12" s="83"/>
      <c r="Y12" s="83"/>
      <c r="Z12" s="83"/>
      <c r="AA12" s="83"/>
      <c r="AB12" s="83"/>
      <c r="AC12" s="83"/>
      <c r="AD12" s="83"/>
      <c r="AE12" s="83"/>
      <c r="AF12" s="83"/>
      <c r="AG12" s="83"/>
      <c r="AH12" s="104"/>
      <c r="AI12" s="104"/>
      <c r="AJ12" s="361"/>
    </row>
    <row r="13" spans="1:36" ht="18.5" customHeight="1" x14ac:dyDescent="0.2">
      <c r="A13" s="83"/>
      <c r="B13" s="103"/>
      <c r="C13" s="182" t="s">
        <v>540</v>
      </c>
      <c r="D13" s="276" t="s">
        <v>420</v>
      </c>
      <c r="E13" s="277" t="s">
        <v>541</v>
      </c>
      <c r="F13" s="277" t="s">
        <v>53</v>
      </c>
      <c r="G13" s="277">
        <v>2011</v>
      </c>
      <c r="H13" s="277" t="s">
        <v>48</v>
      </c>
      <c r="I13" s="277" t="s">
        <v>542</v>
      </c>
      <c r="J13" s="151" t="s">
        <v>57</v>
      </c>
      <c r="K13" s="277">
        <v>1</v>
      </c>
      <c r="L13" s="96">
        <v>0.67</v>
      </c>
      <c r="M13" s="277">
        <v>1</v>
      </c>
      <c r="N13" s="195">
        <v>200</v>
      </c>
      <c r="O13" s="198">
        <v>56.616</v>
      </c>
      <c r="P13" s="197">
        <v>1</v>
      </c>
      <c r="Q13" s="277">
        <v>62.24</v>
      </c>
      <c r="R13" s="195">
        <f>+IF(C13="","",(P13/M13)^K13*O13*(Q13/(N13/M13))^L13)</f>
        <v>25.898565334975661</v>
      </c>
      <c r="S13" s="697" cm="1">
        <f t="array" aca="1" ref="S13" ca="1">+IF(R13="","",R13*INDIRECT(ADDRESS(MATCH(G13,'Cost Conversion'!$B$3:$B$48,0)+2,4,1,1,"Cost conversion"))*INDIRECT(ADDRESS(MATCH(H13,'Cost Conversion'!$F$3:$F$22,0)+2,8,1,1,"Cost conversion"))/IF(F13="$",'Cost Conversion'!$L$2,1))</f>
        <v>28.141714792557291</v>
      </c>
      <c r="T13" s="104"/>
      <c r="U13" s="103"/>
      <c r="V13" s="103"/>
      <c r="W13" s="103"/>
      <c r="X13" s="83"/>
      <c r="Y13" s="83"/>
      <c r="Z13" s="83"/>
      <c r="AA13" s="83"/>
      <c r="AB13" s="83"/>
      <c r="AC13" s="83"/>
      <c r="AD13" s="83"/>
      <c r="AE13" s="83"/>
      <c r="AF13" s="83"/>
      <c r="AG13" s="83"/>
      <c r="AH13" s="104"/>
      <c r="AI13" s="104"/>
      <c r="AJ13" s="361"/>
    </row>
    <row r="14" spans="1:36" ht="18.5" customHeight="1" x14ac:dyDescent="0.2">
      <c r="A14" s="83"/>
      <c r="B14" s="103"/>
      <c r="C14" s="99" t="s">
        <v>543</v>
      </c>
      <c r="D14" s="273" t="s">
        <v>544</v>
      </c>
      <c r="E14" s="96" t="s">
        <v>545</v>
      </c>
      <c r="F14" s="96" t="s">
        <v>236</v>
      </c>
      <c r="G14" s="96">
        <v>2007</v>
      </c>
      <c r="H14" s="96" t="s">
        <v>546</v>
      </c>
      <c r="I14" s="96" t="s">
        <v>547</v>
      </c>
      <c r="J14" s="97" t="s">
        <v>548</v>
      </c>
      <c r="K14" s="96">
        <v>1</v>
      </c>
      <c r="L14" s="96">
        <v>0.67</v>
      </c>
      <c r="M14" s="96">
        <v>1</v>
      </c>
      <c r="N14" s="158">
        <v>0.46888888888888891</v>
      </c>
      <c r="O14" s="158">
        <v>6.5369999999999999</v>
      </c>
      <c r="P14" s="156">
        <v>1</v>
      </c>
      <c r="Q14" s="96">
        <f>41.5279178620785/1000</f>
        <v>4.1527917862078503E-2</v>
      </c>
      <c r="R14" s="158">
        <f>+IF(C14="","",(P14/M14)^K14*O14*(Q14/(N14/M14))^L14)</f>
        <v>1.2883964789148086</v>
      </c>
      <c r="S14" s="175" cm="1">
        <f t="array" aca="1" ref="S14" ca="1">+IF(R14="","",R14*INDIRECT(ADDRESS(MATCH(G14,'Cost Conversion'!$B$3:$B$48,0)+2,4,1,1,"Cost conversion"))*INDIRECT(ADDRESS(MATCH(H14,'Cost Conversion'!$F$3:$F$22,0)+2,8,1,1,"Cost conversion"))/IF(F14="$",'Cost Conversion'!$L$2,1))</f>
        <v>1.3570995140961266</v>
      </c>
      <c r="T14" s="104"/>
      <c r="U14" s="103"/>
      <c r="V14" s="103"/>
      <c r="W14" s="103"/>
      <c r="X14" s="83"/>
      <c r="Y14" s="83"/>
      <c r="Z14" s="83"/>
      <c r="AA14" s="83"/>
      <c r="AB14" s="83"/>
      <c r="AC14" s="83"/>
      <c r="AD14" s="83"/>
      <c r="AE14" s="83"/>
      <c r="AF14" s="83"/>
      <c r="AG14" s="83"/>
      <c r="AH14" s="104"/>
      <c r="AI14" s="104"/>
      <c r="AJ14" s="361"/>
    </row>
    <row r="15" spans="1:36" ht="18.5" customHeight="1" x14ac:dyDescent="0.2">
      <c r="A15" s="83"/>
      <c r="B15" s="103"/>
      <c r="C15" s="99" t="s">
        <v>549</v>
      </c>
      <c r="D15" s="273" t="s">
        <v>550</v>
      </c>
      <c r="E15" s="96" t="s">
        <v>545</v>
      </c>
      <c r="F15" s="96" t="s">
        <v>236</v>
      </c>
      <c r="G15" s="96">
        <v>2007</v>
      </c>
      <c r="H15" s="96" t="s">
        <v>546</v>
      </c>
      <c r="I15" s="96" t="s">
        <v>542</v>
      </c>
      <c r="J15" s="97" t="s">
        <v>57</v>
      </c>
      <c r="K15" s="96">
        <v>1</v>
      </c>
      <c r="L15" s="96">
        <v>0.67</v>
      </c>
      <c r="M15" s="96">
        <v>1</v>
      </c>
      <c r="N15" s="158">
        <v>276.3</v>
      </c>
      <c r="O15" s="96">
        <v>8.7170000000000005</v>
      </c>
      <c r="P15" s="273">
        <v>1</v>
      </c>
      <c r="Q15" s="96">
        <f>+Q13</f>
        <v>62.24</v>
      </c>
      <c r="R15" s="158">
        <f t="shared" ref="R15:R34" si="0">+IF(C15="","",(P15/M15)^K15*O15*(Q15/(N15/M15))^L15)</f>
        <v>3.2112082755614781</v>
      </c>
      <c r="S15" s="175" cm="1">
        <f t="array" aca="1" ref="S15" ca="1">+IF(R15="","",R15*INDIRECT(ADDRESS(MATCH(G15,'Cost Conversion'!$B$3:$B$48,0)+2,4,1,1,"Cost conversion"))*INDIRECT(ADDRESS(MATCH(H15,'Cost Conversion'!$F$3:$F$22,0)+2,8,1,1,"Cost conversion"))/IF(F15="$",'Cost Conversion'!$L$2,1))</f>
        <v>3.382444194582511</v>
      </c>
      <c r="T15" s="104"/>
      <c r="U15" s="103"/>
      <c r="V15" s="103"/>
      <c r="W15" s="103"/>
      <c r="X15" s="83"/>
      <c r="Y15" s="83"/>
      <c r="Z15" s="83"/>
      <c r="AA15" s="83"/>
      <c r="AB15" s="83"/>
      <c r="AC15" s="83"/>
      <c r="AD15" s="83"/>
      <c r="AE15" s="83"/>
      <c r="AF15" s="83"/>
      <c r="AG15" s="83"/>
      <c r="AH15" s="104"/>
      <c r="AI15" s="104"/>
      <c r="AJ15" s="361"/>
    </row>
    <row r="16" spans="1:36" ht="18.5" customHeight="1" x14ac:dyDescent="0.2">
      <c r="A16" s="83"/>
      <c r="B16" s="103"/>
      <c r="C16" s="99" t="s">
        <v>551</v>
      </c>
      <c r="D16" s="273" t="s">
        <v>552</v>
      </c>
      <c r="E16" s="96" t="s">
        <v>553</v>
      </c>
      <c r="F16" s="96" t="s">
        <v>236</v>
      </c>
      <c r="G16" s="96">
        <v>2020</v>
      </c>
      <c r="H16" s="96" t="s">
        <v>237</v>
      </c>
      <c r="I16" s="96" t="s">
        <v>554</v>
      </c>
      <c r="J16" s="97" t="s">
        <v>219</v>
      </c>
      <c r="K16" s="96">
        <v>1</v>
      </c>
      <c r="L16" s="96">
        <v>1</v>
      </c>
      <c r="M16" s="96">
        <v>1</v>
      </c>
      <c r="N16" s="158">
        <v>1</v>
      </c>
      <c r="O16" s="96">
        <v>3.1700646282</v>
      </c>
      <c r="P16" s="273">
        <v>1</v>
      </c>
      <c r="Q16" s="715">
        <f>6785.80422535048/995.6</f>
        <v>6.8157937177083969</v>
      </c>
      <c r="R16" s="158">
        <f t="shared" si="0"/>
        <v>21.606506577615164</v>
      </c>
      <c r="S16" s="175" cm="1">
        <f t="array" aca="1" ref="S16" ca="1">+IF(R16="","",R16*INDIRECT(ADDRESS(MATCH(G16,'Cost Conversion'!$B$3:$B$48,0)+2,4,1,1,"Cost conversion"))*INDIRECT(ADDRESS(MATCH(H16,'Cost Conversion'!$F$3:$F$22,0)+2,8,1,1,"Cost conversion"))/IF(F16="$",'Cost Conversion'!$L$2,1))</f>
        <v>21.865178845236905</v>
      </c>
      <c r="T16" s="104"/>
      <c r="U16" s="103"/>
      <c r="V16" s="103"/>
      <c r="W16" s="103"/>
      <c r="X16" s="83"/>
      <c r="Y16" s="83"/>
      <c r="Z16" s="83"/>
      <c r="AA16" s="83"/>
      <c r="AB16" s="83"/>
      <c r="AC16" s="83"/>
      <c r="AD16" s="83"/>
      <c r="AE16" s="83"/>
      <c r="AF16" s="83"/>
      <c r="AG16" s="83"/>
      <c r="AH16" s="104"/>
      <c r="AI16" s="104"/>
      <c r="AJ16" s="361"/>
    </row>
    <row r="17" spans="1:36" ht="18.5" customHeight="1" x14ac:dyDescent="0.2">
      <c r="A17" s="83"/>
      <c r="B17" s="103"/>
      <c r="C17" s="363" t="s">
        <v>543</v>
      </c>
      <c r="D17" s="273" t="str">
        <f>+D14</f>
        <v>Condenser</v>
      </c>
      <c r="E17" s="96" t="s">
        <v>404</v>
      </c>
      <c r="F17" s="96" t="s">
        <v>236</v>
      </c>
      <c r="G17" s="96">
        <v>2014</v>
      </c>
      <c r="H17" s="96" t="s">
        <v>48</v>
      </c>
      <c r="I17" s="96" t="s">
        <v>547</v>
      </c>
      <c r="J17" s="97" t="s">
        <v>57</v>
      </c>
      <c r="K17" s="96">
        <v>1</v>
      </c>
      <c r="L17" s="96">
        <v>0.67</v>
      </c>
      <c r="M17" s="96">
        <v>1</v>
      </c>
      <c r="N17" s="158">
        <v>680</v>
      </c>
      <c r="O17" s="96">
        <v>13</v>
      </c>
      <c r="P17" s="273">
        <v>1</v>
      </c>
      <c r="Q17" s="96">
        <f>+Q14*1000</f>
        <v>41.527917862078503</v>
      </c>
      <c r="R17" s="158">
        <v>0</v>
      </c>
      <c r="S17" s="175" cm="1">
        <f t="array" aca="1" ref="S17" ca="1">+IF(R17="","",R17*INDIRECT(ADDRESS(MATCH(G17,'Cost Conversion'!$B$3:$B$48,0)+2,4,1,1,"Cost conversion"))*INDIRECT(ADDRESS(MATCH(H17,'Cost Conversion'!$F$3:$F$22,0)+2,8,1,1,"Cost conversion"))/IF(F17="$",'Cost Conversion'!$L$2,1))</f>
        <v>0</v>
      </c>
      <c r="T17" s="104"/>
      <c r="U17" s="103"/>
      <c r="V17" s="103"/>
      <c r="W17" s="103"/>
      <c r="X17" s="83"/>
      <c r="Y17" s="83"/>
      <c r="Z17" s="83"/>
      <c r="AA17" s="83"/>
      <c r="AB17" s="83"/>
      <c r="AC17" s="83"/>
      <c r="AD17" s="83"/>
      <c r="AE17" s="83"/>
      <c r="AF17" s="83"/>
      <c r="AG17" s="83"/>
      <c r="AH17" s="104"/>
      <c r="AI17" s="104"/>
      <c r="AJ17" s="361"/>
    </row>
    <row r="18" spans="1:36" ht="18.5" customHeight="1" x14ac:dyDescent="0.2">
      <c r="A18" s="83"/>
      <c r="B18" s="103"/>
      <c r="C18" s="363"/>
      <c r="D18" s="273"/>
      <c r="E18" s="96"/>
      <c r="F18" s="96"/>
      <c r="G18" s="96"/>
      <c r="H18" s="96"/>
      <c r="I18" s="96"/>
      <c r="J18" s="97"/>
      <c r="M18" s="96"/>
      <c r="O18" s="96"/>
      <c r="P18" s="273"/>
      <c r="Q18" s="96"/>
      <c r="R18" s="158" t="str">
        <f t="shared" si="0"/>
        <v/>
      </c>
      <c r="S18" s="175" t="str" cm="1">
        <f t="array" aca="1" ref="S18" ca="1">+IF(R18="","",R18*INDIRECT(ADDRESS(MATCH(G18,'Cost Conversion'!$B$3:$B$48,0)+2,4,1,1,"Cost conversion"))*INDIRECT(ADDRESS(MATCH(H18,'Cost Conversion'!$F$3:$F$22,0)+2,8,1,1,"Cost conversion"))/IF(F18="$",'Cost Conversion'!$L$2,1))</f>
        <v/>
      </c>
      <c r="T18" s="104"/>
      <c r="U18" s="103"/>
      <c r="V18" s="103"/>
      <c r="W18" s="103"/>
      <c r="X18" s="83"/>
      <c r="Y18" s="83"/>
      <c r="Z18" s="83"/>
      <c r="AA18" s="83"/>
      <c r="AB18" s="83"/>
      <c r="AC18" s="83"/>
      <c r="AD18" s="83"/>
      <c r="AE18" s="83"/>
      <c r="AF18" s="83"/>
      <c r="AG18" s="83"/>
      <c r="AH18" s="104"/>
      <c r="AI18" s="104"/>
      <c r="AJ18" s="361"/>
    </row>
    <row r="19" spans="1:36" ht="18.5" customHeight="1" x14ac:dyDescent="0.2">
      <c r="A19" s="83"/>
      <c r="B19" s="103"/>
      <c r="C19" s="363"/>
      <c r="D19" s="273"/>
      <c r="E19" s="96"/>
      <c r="F19" s="96"/>
      <c r="G19" s="96"/>
      <c r="H19" s="96"/>
      <c r="I19" s="96"/>
      <c r="J19" s="97"/>
      <c r="M19" s="96"/>
      <c r="N19" s="96"/>
      <c r="O19" s="96"/>
      <c r="P19" s="273"/>
      <c r="Q19" s="96"/>
      <c r="R19" s="158" t="str">
        <f t="shared" si="0"/>
        <v/>
      </c>
      <c r="S19" s="175" t="str" cm="1">
        <f t="array" aca="1" ref="S19" ca="1">+IF(R19="","",R19*INDIRECT(ADDRESS(MATCH(G19,'Cost Conversion'!$B$3:$B$48,0)+2,4,1,1,"Cost conversion"))*INDIRECT(ADDRESS(MATCH(H19,'Cost Conversion'!$F$3:$F$22,0)+2,8,1,1,"Cost conversion"))/IF(F19="$",'Cost Conversion'!$L$2,1))</f>
        <v/>
      </c>
      <c r="T19" s="104"/>
      <c r="U19" s="103"/>
      <c r="V19" s="103"/>
      <c r="W19" s="103"/>
      <c r="X19" s="83"/>
      <c r="Y19" s="83"/>
      <c r="Z19" s="83"/>
      <c r="AA19" s="83"/>
      <c r="AB19" s="83"/>
      <c r="AC19" s="83"/>
      <c r="AD19" s="83"/>
      <c r="AE19" s="83"/>
      <c r="AF19" s="83"/>
      <c r="AG19" s="83"/>
      <c r="AH19" s="104"/>
      <c r="AI19" s="104"/>
      <c r="AJ19" s="361"/>
    </row>
    <row r="20" spans="1:36" ht="18.5" customHeight="1" x14ac:dyDescent="0.2">
      <c r="A20" s="83"/>
      <c r="B20" s="103"/>
      <c r="C20" s="363"/>
      <c r="D20" s="273"/>
      <c r="E20" s="96"/>
      <c r="F20" s="96"/>
      <c r="G20" s="96"/>
      <c r="H20" s="96"/>
      <c r="I20" s="96"/>
      <c r="J20" s="97"/>
      <c r="M20" s="96"/>
      <c r="N20" s="96"/>
      <c r="O20" s="96"/>
      <c r="P20" s="273"/>
      <c r="Q20" s="96"/>
      <c r="R20" s="158" t="str">
        <f t="shared" si="0"/>
        <v/>
      </c>
      <c r="S20" s="175" t="str" cm="1">
        <f t="array" aca="1" ref="S20" ca="1">+IF(R20="","",R20*INDIRECT(ADDRESS(MATCH(G20,'Cost Conversion'!$B$3:$B$48,0)+2,4,1,1,"Cost conversion"))*INDIRECT(ADDRESS(MATCH(H20,'Cost Conversion'!$F$3:$F$22,0)+2,8,1,1,"Cost conversion"))/IF(F20="$",'Cost Conversion'!$L$2,1))</f>
        <v/>
      </c>
      <c r="T20" s="104"/>
      <c r="U20" s="103"/>
      <c r="V20" s="103"/>
      <c r="W20" s="103"/>
      <c r="X20" s="83"/>
      <c r="Y20" s="83"/>
      <c r="Z20" s="83"/>
      <c r="AA20" s="83"/>
      <c r="AB20" s="83"/>
      <c r="AC20" s="83"/>
      <c r="AD20" s="83"/>
      <c r="AE20" s="83"/>
      <c r="AF20" s="83"/>
      <c r="AG20" s="83"/>
      <c r="AH20" s="104"/>
      <c r="AI20" s="104"/>
      <c r="AJ20" s="361"/>
    </row>
    <row r="21" spans="1:36" ht="18.5" customHeight="1" x14ac:dyDescent="0.2">
      <c r="A21" s="83"/>
      <c r="B21" s="103"/>
      <c r="C21" s="363"/>
      <c r="D21" s="91"/>
      <c r="E21" s="96"/>
      <c r="F21" s="96"/>
      <c r="G21" s="96"/>
      <c r="H21" s="96"/>
      <c r="I21" s="96"/>
      <c r="J21" s="97"/>
      <c r="K21" s="96"/>
      <c r="L21" s="96"/>
      <c r="M21" s="96"/>
      <c r="N21" s="96"/>
      <c r="O21" s="96"/>
      <c r="P21" s="273"/>
      <c r="Q21" s="96"/>
      <c r="R21" s="158" t="str">
        <f t="shared" si="0"/>
        <v/>
      </c>
      <c r="S21" s="175" t="str" cm="1">
        <f t="array" aca="1" ref="S21" ca="1">+IF(R21="","",R21*INDIRECT(ADDRESS(MATCH(G21,'Cost Conversion'!$B$3:$B$48,0)+2,4,1,1,"Cost conversion"))*INDIRECT(ADDRESS(MATCH(H21,'Cost Conversion'!$F$3:$F$22,0)+2,8,1,1,"Cost conversion"))/IF(F21="$",'Cost Conversion'!$L$2,1))</f>
        <v/>
      </c>
      <c r="T21" s="104"/>
      <c r="U21" s="83"/>
      <c r="V21" s="103"/>
      <c r="W21" s="103"/>
      <c r="X21" s="83"/>
      <c r="Y21" s="83"/>
      <c r="Z21" s="83"/>
      <c r="AA21" s="83"/>
      <c r="AB21" s="83"/>
      <c r="AC21" s="83"/>
      <c r="AD21" s="83"/>
      <c r="AE21" s="83"/>
      <c r="AF21" s="83"/>
      <c r="AG21" s="83"/>
      <c r="AH21" s="104"/>
      <c r="AI21" s="104"/>
      <c r="AJ21" s="361"/>
    </row>
    <row r="22" spans="1:36" ht="18.5" customHeight="1" x14ac:dyDescent="0.2">
      <c r="A22" s="83"/>
      <c r="B22" s="103"/>
      <c r="C22" s="363"/>
      <c r="D22" s="273"/>
      <c r="E22" s="96"/>
      <c r="F22" s="96"/>
      <c r="G22" s="96"/>
      <c r="H22" s="96"/>
      <c r="I22" s="96"/>
      <c r="J22" s="97"/>
      <c r="K22" s="96"/>
      <c r="L22" s="96"/>
      <c r="M22" s="96"/>
      <c r="N22" s="96"/>
      <c r="O22" s="96"/>
      <c r="P22" s="273"/>
      <c r="Q22" s="96"/>
      <c r="R22" s="158" t="str">
        <f t="shared" si="0"/>
        <v/>
      </c>
      <c r="S22" s="175" t="str" cm="1">
        <f t="array" aca="1" ref="S22" ca="1">+IF(R22="","",R22*INDIRECT(ADDRESS(MATCH(G22,'Cost Conversion'!$B$3:$B$48,0)+2,4,1,1,"Cost conversion"))*INDIRECT(ADDRESS(MATCH(H22,'Cost Conversion'!$F$3:$F$22,0)+2,8,1,1,"Cost conversion"))/IF(F22="$",'Cost Conversion'!$L$2,1))</f>
        <v/>
      </c>
      <c r="T22" s="104"/>
      <c r="U22" s="83"/>
      <c r="V22" s="103"/>
      <c r="W22" s="103"/>
      <c r="X22" s="83"/>
      <c r="Y22" s="83"/>
      <c r="Z22" s="83"/>
      <c r="AA22" s="83"/>
      <c r="AB22" s="83"/>
      <c r="AC22" s="83"/>
      <c r="AD22" s="83"/>
      <c r="AE22" s="83"/>
      <c r="AF22" s="83"/>
      <c r="AG22" s="83"/>
      <c r="AH22" s="104"/>
      <c r="AI22" s="104"/>
      <c r="AJ22" s="361"/>
    </row>
    <row r="23" spans="1:36" ht="18.5" customHeight="1" x14ac:dyDescent="0.2">
      <c r="A23" s="83"/>
      <c r="B23" s="103"/>
      <c r="C23" s="363"/>
      <c r="D23" s="273"/>
      <c r="E23" s="96"/>
      <c r="F23" s="96"/>
      <c r="G23" s="96"/>
      <c r="H23" s="96"/>
      <c r="I23" s="96"/>
      <c r="J23" s="97"/>
      <c r="K23" s="96"/>
      <c r="L23" s="96"/>
      <c r="M23" s="96"/>
      <c r="N23" s="96"/>
      <c r="O23" s="96"/>
      <c r="P23" s="273"/>
      <c r="Q23" s="96"/>
      <c r="R23" s="158" t="str">
        <f t="shared" si="0"/>
        <v/>
      </c>
      <c r="S23" s="175" t="str" cm="1">
        <f t="array" aca="1" ref="S23" ca="1">+IF(R23="","",R23*INDIRECT(ADDRESS(MATCH(G23,'Cost Conversion'!$B$3:$B$48,0)+2,4,1,1,"Cost conversion"))*INDIRECT(ADDRESS(MATCH(H23,'Cost Conversion'!$F$3:$F$22,0)+2,8,1,1,"Cost conversion"))/IF(F23="$",'Cost Conversion'!$L$2,1))</f>
        <v/>
      </c>
      <c r="T23" s="104"/>
      <c r="U23" s="83"/>
      <c r="V23" s="103"/>
      <c r="W23" s="103"/>
      <c r="X23" s="83"/>
      <c r="Y23" s="83"/>
      <c r="Z23" s="83"/>
      <c r="AA23" s="83"/>
      <c r="AB23" s="83"/>
      <c r="AC23" s="83"/>
      <c r="AD23" s="83"/>
      <c r="AE23" s="83"/>
      <c r="AF23" s="83"/>
      <c r="AG23" s="83"/>
      <c r="AH23" s="104"/>
      <c r="AI23" s="104"/>
      <c r="AJ23" s="361"/>
    </row>
    <row r="24" spans="1:36" ht="18.5" customHeight="1" x14ac:dyDescent="0.2">
      <c r="A24" s="83"/>
      <c r="B24" s="103"/>
      <c r="C24" s="363"/>
      <c r="D24" s="273"/>
      <c r="E24" s="96"/>
      <c r="F24" s="96"/>
      <c r="G24" s="96"/>
      <c r="H24" s="96"/>
      <c r="I24" s="96"/>
      <c r="J24" s="97"/>
      <c r="K24" s="96"/>
      <c r="L24" s="96"/>
      <c r="M24" s="96"/>
      <c r="N24" s="96"/>
      <c r="O24" s="96"/>
      <c r="P24" s="273"/>
      <c r="Q24" s="96"/>
      <c r="R24" s="158" t="str">
        <f t="shared" si="0"/>
        <v/>
      </c>
      <c r="S24" s="175" t="str" cm="1">
        <f t="array" aca="1" ref="S24" ca="1">+IF(R24="","",R24*INDIRECT(ADDRESS(MATCH(G24,'Cost Conversion'!$B$3:$B$48,0)+2,4,1,1,"Cost conversion"))*INDIRECT(ADDRESS(MATCH(H24,'Cost Conversion'!$F$3:$F$22,0)+2,8,1,1,"Cost conversion"))/IF(F24="$",'Cost Conversion'!$L$2,1))</f>
        <v/>
      </c>
      <c r="T24" s="104"/>
      <c r="U24" s="83"/>
      <c r="V24" s="103"/>
      <c r="W24" s="103"/>
      <c r="X24" s="83"/>
      <c r="Y24" s="83"/>
      <c r="Z24" s="83"/>
      <c r="AA24" s="83"/>
      <c r="AB24" s="83"/>
      <c r="AC24" s="83"/>
      <c r="AD24" s="83"/>
      <c r="AE24" s="83"/>
      <c r="AF24" s="83"/>
      <c r="AG24" s="83"/>
      <c r="AH24" s="104"/>
      <c r="AI24" s="104"/>
      <c r="AJ24" s="361"/>
    </row>
    <row r="25" spans="1:36" ht="18.5" customHeight="1" x14ac:dyDescent="0.2">
      <c r="A25" s="83"/>
      <c r="B25" s="103"/>
      <c r="C25" s="363"/>
      <c r="D25" s="273"/>
      <c r="E25" s="96"/>
      <c r="F25" s="96"/>
      <c r="G25" s="96"/>
      <c r="H25" s="96"/>
      <c r="I25" s="96"/>
      <c r="J25" s="97"/>
      <c r="K25" s="96"/>
      <c r="L25" s="96"/>
      <c r="M25" s="96"/>
      <c r="N25" s="96"/>
      <c r="O25" s="96"/>
      <c r="P25" s="273"/>
      <c r="Q25" s="96"/>
      <c r="R25" s="158" t="str">
        <f t="shared" si="0"/>
        <v/>
      </c>
      <c r="S25" s="175" t="str" cm="1">
        <f t="array" aca="1" ref="S25" ca="1">+IF(R25="","",R25*INDIRECT(ADDRESS(MATCH(G25,'Cost Conversion'!$B$3:$B$48,0)+2,4,1,1,"Cost conversion"))*INDIRECT(ADDRESS(MATCH(H25,'Cost Conversion'!$F$3:$F$22,0)+2,8,1,1,"Cost conversion"))/IF(F25="$",'Cost Conversion'!$L$2,1))</f>
        <v/>
      </c>
      <c r="T25" s="104"/>
      <c r="U25" s="83"/>
      <c r="V25" s="103"/>
      <c r="W25" s="103"/>
      <c r="X25" s="83"/>
      <c r="Y25" s="83"/>
      <c r="Z25" s="83"/>
      <c r="AA25" s="83"/>
      <c r="AB25" s="83"/>
      <c r="AC25" s="83"/>
      <c r="AD25" s="83"/>
      <c r="AE25" s="83"/>
      <c r="AF25" s="83"/>
      <c r="AG25" s="83"/>
      <c r="AH25" s="104"/>
      <c r="AI25" s="104"/>
      <c r="AJ25" s="361"/>
    </row>
    <row r="26" spans="1:36" ht="18.5" customHeight="1" x14ac:dyDescent="0.2">
      <c r="A26" s="83"/>
      <c r="B26" s="103"/>
      <c r="C26" s="363"/>
      <c r="D26" s="273"/>
      <c r="E26" s="96"/>
      <c r="F26" s="96"/>
      <c r="G26" s="96"/>
      <c r="H26" s="96"/>
      <c r="I26" s="96"/>
      <c r="J26" s="97"/>
      <c r="K26" s="96"/>
      <c r="L26" s="96"/>
      <c r="M26" s="96"/>
      <c r="N26" s="96"/>
      <c r="O26" s="96"/>
      <c r="P26" s="273"/>
      <c r="Q26" s="96"/>
      <c r="R26" s="158" t="str">
        <f t="shared" si="0"/>
        <v/>
      </c>
      <c r="S26" s="175" t="str" cm="1">
        <f t="array" aca="1" ref="S26" ca="1">+IF(R26="","",R26*INDIRECT(ADDRESS(MATCH(G26,'Cost Conversion'!$B$3:$B$48,0)+2,4,1,1,"Cost conversion"))*INDIRECT(ADDRESS(MATCH(H26,'Cost Conversion'!$F$3:$F$22,0)+2,8,1,1,"Cost conversion"))/IF(F26="$",'Cost Conversion'!$L$2,1))</f>
        <v/>
      </c>
      <c r="T26" s="104"/>
      <c r="U26" s="83"/>
      <c r="V26" s="103"/>
      <c r="W26" s="103"/>
      <c r="X26" s="83"/>
      <c r="Y26" s="83"/>
      <c r="Z26" s="83"/>
      <c r="AA26" s="83"/>
      <c r="AB26" s="83"/>
      <c r="AC26" s="83"/>
      <c r="AD26" s="83"/>
      <c r="AE26" s="83"/>
      <c r="AF26" s="83"/>
      <c r="AG26" s="83"/>
      <c r="AH26" s="104"/>
      <c r="AI26" s="104"/>
      <c r="AJ26" s="361"/>
    </row>
    <row r="27" spans="1:36" ht="18.5" customHeight="1" x14ac:dyDescent="0.2">
      <c r="A27" s="83"/>
      <c r="B27" s="103"/>
      <c r="C27" s="338"/>
      <c r="D27" s="327"/>
      <c r="E27" s="186"/>
      <c r="F27" s="186"/>
      <c r="G27" s="186"/>
      <c r="H27" s="186"/>
      <c r="I27" s="186"/>
      <c r="J27" s="319"/>
      <c r="K27" s="186"/>
      <c r="L27" s="186"/>
      <c r="M27" s="186"/>
      <c r="N27" s="186"/>
      <c r="O27" s="186"/>
      <c r="P27" s="327"/>
      <c r="Q27" s="186"/>
      <c r="R27" s="158" t="str">
        <f t="shared" si="0"/>
        <v/>
      </c>
      <c r="S27" s="175" t="str" cm="1">
        <f t="array" aca="1" ref="S27" ca="1">+IF(R27="","",R27*INDIRECT(ADDRESS(MATCH(G27,'Cost Conversion'!$B$3:$B$48,0)+2,4,1,1,"Cost conversion"))*INDIRECT(ADDRESS(MATCH(H27,'Cost Conversion'!$F$3:$F$22,0)+2,8,1,1,"Cost conversion"))/IF(F27="$",'Cost Conversion'!$L$2,1))</f>
        <v/>
      </c>
      <c r="T27" s="104"/>
      <c r="U27" s="83"/>
      <c r="V27" s="103"/>
      <c r="W27" s="103"/>
      <c r="X27" s="83"/>
      <c r="Y27" s="83"/>
      <c r="Z27" s="83"/>
      <c r="AA27" s="83"/>
      <c r="AB27" s="83"/>
      <c r="AC27" s="83"/>
      <c r="AD27" s="83"/>
      <c r="AE27" s="83"/>
      <c r="AF27" s="83"/>
      <c r="AG27" s="83"/>
      <c r="AH27" s="104"/>
      <c r="AI27" s="104"/>
      <c r="AJ27" s="361"/>
    </row>
    <row r="28" spans="1:36" ht="18.5" customHeight="1" x14ac:dyDescent="0.2">
      <c r="A28" s="83"/>
      <c r="B28" s="103"/>
      <c r="C28" s="338"/>
      <c r="D28" s="327"/>
      <c r="E28" s="186"/>
      <c r="F28" s="186"/>
      <c r="G28" s="186"/>
      <c r="H28" s="186"/>
      <c r="I28" s="186"/>
      <c r="J28" s="319"/>
      <c r="K28" s="186"/>
      <c r="L28" s="186"/>
      <c r="M28" s="186"/>
      <c r="N28" s="186"/>
      <c r="O28" s="186"/>
      <c r="P28" s="327"/>
      <c r="Q28" s="186"/>
      <c r="R28" s="158" t="str">
        <f t="shared" si="0"/>
        <v/>
      </c>
      <c r="S28" s="175" t="str" cm="1">
        <f t="array" aca="1" ref="S28" ca="1">+IF(R28="","",R28*INDIRECT(ADDRESS(MATCH(G28,'Cost Conversion'!$B$3:$B$48,0)+2,4,1,1,"Cost conversion"))*INDIRECT(ADDRESS(MATCH(H28,'Cost Conversion'!$F$3:$F$22,0)+2,8,1,1,"Cost conversion"))/IF(F28="$",'Cost Conversion'!$L$2,1))</f>
        <v/>
      </c>
      <c r="T28" s="104"/>
      <c r="U28" s="83"/>
      <c r="V28" s="103"/>
      <c r="W28" s="103"/>
      <c r="X28" s="83"/>
      <c r="Y28" s="83"/>
      <c r="Z28" s="83"/>
      <c r="AA28" s="83"/>
      <c r="AB28" s="83"/>
      <c r="AC28" s="83"/>
      <c r="AD28" s="83"/>
      <c r="AE28" s="83"/>
      <c r="AF28" s="83"/>
      <c r="AG28" s="83"/>
      <c r="AH28" s="104"/>
      <c r="AI28" s="104"/>
      <c r="AJ28" s="361"/>
    </row>
    <row r="29" spans="1:36" ht="18.5" customHeight="1" x14ac:dyDescent="0.2">
      <c r="A29" s="83"/>
      <c r="B29" s="103"/>
      <c r="C29" s="363"/>
      <c r="D29" s="273"/>
      <c r="E29" s="96"/>
      <c r="F29" s="96"/>
      <c r="G29" s="96"/>
      <c r="H29" s="96"/>
      <c r="I29" s="96"/>
      <c r="J29" s="97"/>
      <c r="K29" s="320"/>
      <c r="L29" s="320"/>
      <c r="M29" s="320"/>
      <c r="N29" s="320"/>
      <c r="O29" s="320"/>
      <c r="P29" s="311"/>
      <c r="Q29" s="395"/>
      <c r="R29" s="158" t="str">
        <f t="shared" si="0"/>
        <v/>
      </c>
      <c r="S29" s="175" t="str" cm="1">
        <f t="array" aca="1" ref="S29" ca="1">+IF(R29="","",R29*INDIRECT(ADDRESS(MATCH(G29,'Cost Conversion'!$B$3:$B$48,0)+2,4,1,1,"Cost conversion"))*INDIRECT(ADDRESS(MATCH(H29,'Cost Conversion'!$F$3:$F$22,0)+2,8,1,1,"Cost conversion"))/IF(F29="$",'Cost Conversion'!$L$2,1))</f>
        <v/>
      </c>
      <c r="T29" s="104"/>
      <c r="U29" s="83"/>
      <c r="V29" s="103"/>
      <c r="W29" s="103"/>
      <c r="X29" s="83"/>
      <c r="Y29" s="83"/>
      <c r="Z29" s="83"/>
      <c r="AA29" s="83"/>
      <c r="AB29" s="83"/>
      <c r="AC29" s="83"/>
      <c r="AD29" s="83"/>
      <c r="AE29" s="83"/>
      <c r="AF29" s="83"/>
      <c r="AG29" s="83"/>
      <c r="AH29" s="104"/>
      <c r="AI29" s="104"/>
      <c r="AJ29" s="361"/>
    </row>
    <row r="30" spans="1:36" ht="18.5" customHeight="1" x14ac:dyDescent="0.2">
      <c r="A30" s="83"/>
      <c r="B30" s="103"/>
      <c r="C30" s="363"/>
      <c r="D30" s="273"/>
      <c r="E30" s="96"/>
      <c r="F30" s="96"/>
      <c r="G30" s="96"/>
      <c r="H30" s="96"/>
      <c r="I30" s="96"/>
      <c r="J30" s="97"/>
      <c r="K30" s="320"/>
      <c r="L30" s="320"/>
      <c r="M30" s="320"/>
      <c r="N30" s="320"/>
      <c r="O30" s="320"/>
      <c r="P30" s="311"/>
      <c r="Q30" s="395"/>
      <c r="R30" s="158" t="str">
        <f t="shared" si="0"/>
        <v/>
      </c>
      <c r="S30" s="175" t="str" cm="1">
        <f t="array" aca="1" ref="S30" ca="1">+IF(R30="","",R30*INDIRECT(ADDRESS(MATCH(G30,'Cost Conversion'!$B$3:$B$48,0)+2,4,1,1,"Cost conversion"))*INDIRECT(ADDRESS(MATCH(H30,'Cost Conversion'!$F$3:$F$22,0)+2,8,1,1,"Cost conversion"))/IF(F30="$",'Cost Conversion'!$L$2,1))</f>
        <v/>
      </c>
      <c r="T30" s="104"/>
      <c r="U30" s="83"/>
      <c r="V30" s="103"/>
      <c r="W30" s="103"/>
      <c r="X30" s="83"/>
      <c r="Y30" s="83"/>
      <c r="Z30" s="83"/>
      <c r="AA30" s="83"/>
      <c r="AB30" s="83"/>
      <c r="AC30" s="83"/>
      <c r="AD30" s="83"/>
      <c r="AE30" s="83"/>
      <c r="AF30" s="83"/>
      <c r="AG30" s="83"/>
      <c r="AH30" s="104"/>
      <c r="AI30" s="104"/>
      <c r="AJ30" s="361"/>
    </row>
    <row r="31" spans="1:36" ht="18.5" customHeight="1" x14ac:dyDescent="0.2">
      <c r="A31" s="83"/>
      <c r="B31" s="103"/>
      <c r="C31" s="363"/>
      <c r="D31" s="273"/>
      <c r="E31" s="96"/>
      <c r="F31" s="96"/>
      <c r="G31" s="96"/>
      <c r="H31" s="96"/>
      <c r="I31" s="96"/>
      <c r="J31" s="97"/>
      <c r="K31" s="320"/>
      <c r="L31" s="320"/>
      <c r="M31" s="320"/>
      <c r="N31" s="320"/>
      <c r="O31" s="320"/>
      <c r="P31" s="311"/>
      <c r="Q31" s="395"/>
      <c r="R31" s="158" t="str">
        <f t="shared" si="0"/>
        <v/>
      </c>
      <c r="S31" s="175" t="str" cm="1">
        <f t="array" aca="1" ref="S31" ca="1">+IF(R31="","",R31*INDIRECT(ADDRESS(MATCH(G31,'Cost Conversion'!$B$3:$B$48,0)+2,4,1,1,"Cost conversion"))*INDIRECT(ADDRESS(MATCH(H31,'Cost Conversion'!$F$3:$F$22,0)+2,8,1,1,"Cost conversion"))/IF(F31="$",'Cost Conversion'!$L$2,1))</f>
        <v/>
      </c>
      <c r="T31" s="104"/>
      <c r="U31" s="83"/>
      <c r="V31" s="103"/>
      <c r="W31" s="103"/>
      <c r="X31" s="83"/>
      <c r="Y31" s="83"/>
      <c r="Z31" s="83"/>
      <c r="AA31" s="83"/>
      <c r="AB31" s="83"/>
      <c r="AC31" s="83"/>
      <c r="AD31" s="83"/>
      <c r="AE31" s="83"/>
      <c r="AF31" s="83"/>
      <c r="AG31" s="83"/>
      <c r="AH31" s="104"/>
      <c r="AI31" s="104"/>
      <c r="AJ31" s="361"/>
    </row>
    <row r="32" spans="1:36" ht="18.5" customHeight="1" x14ac:dyDescent="0.2">
      <c r="A32" s="83"/>
      <c r="B32" s="103"/>
      <c r="C32" s="363"/>
      <c r="D32" s="273"/>
      <c r="E32" s="96"/>
      <c r="F32" s="96"/>
      <c r="G32" s="96"/>
      <c r="H32" s="96"/>
      <c r="I32" s="96"/>
      <c r="J32" s="97"/>
      <c r="K32" s="320"/>
      <c r="L32" s="320"/>
      <c r="M32" s="320"/>
      <c r="N32" s="320"/>
      <c r="O32" s="320"/>
      <c r="P32" s="311"/>
      <c r="Q32" s="395"/>
      <c r="R32" s="158" t="str">
        <f t="shared" si="0"/>
        <v/>
      </c>
      <c r="S32" s="175" t="str" cm="1">
        <f t="array" aca="1" ref="S32" ca="1">+IF(R32="","",R32*INDIRECT(ADDRESS(MATCH(G32,'Cost Conversion'!$B$3:$B$48,0)+2,4,1,1,"Cost conversion"))*INDIRECT(ADDRESS(MATCH(H32,'Cost Conversion'!$F$3:$F$22,0)+2,8,1,1,"Cost conversion"))/IF(F32="$",'Cost Conversion'!$L$2,1))</f>
        <v/>
      </c>
      <c r="T32" s="104"/>
      <c r="U32" s="83"/>
      <c r="V32" s="91"/>
      <c r="W32" s="103"/>
      <c r="X32" s="83"/>
      <c r="Y32" s="83"/>
      <c r="Z32" s="83"/>
      <c r="AA32" s="83"/>
      <c r="AB32" s="83"/>
      <c r="AC32" s="83"/>
      <c r="AD32" s="83"/>
      <c r="AE32" s="83"/>
      <c r="AF32" s="83"/>
      <c r="AG32" s="83"/>
      <c r="AH32" s="104"/>
      <c r="AI32" s="104"/>
      <c r="AJ32" s="361"/>
    </row>
    <row r="33" spans="1:36" ht="18.5" customHeight="1" x14ac:dyDescent="0.2">
      <c r="A33" s="83"/>
      <c r="B33" s="103"/>
      <c r="C33" s="363"/>
      <c r="D33" s="273"/>
      <c r="E33" s="96"/>
      <c r="F33" s="96"/>
      <c r="G33" s="96"/>
      <c r="H33" s="96"/>
      <c r="I33" s="96"/>
      <c r="J33" s="97"/>
      <c r="K33" s="320"/>
      <c r="L33" s="320"/>
      <c r="M33" s="330"/>
      <c r="N33" s="330"/>
      <c r="O33" s="330"/>
      <c r="P33" s="273"/>
      <c r="Q33" s="96"/>
      <c r="R33" s="158" t="str">
        <f t="shared" si="0"/>
        <v/>
      </c>
      <c r="S33" s="175" t="str" cm="1">
        <f t="array" aca="1" ref="S33" ca="1">+IF(R33="","",R33*INDIRECT(ADDRESS(MATCH(G33,'Cost Conversion'!$B$3:$B$48,0)+2,4,1,1,"Cost conversion"))*INDIRECT(ADDRESS(MATCH(H33,'Cost Conversion'!$F$3:$F$22,0)+2,8,1,1,"Cost conversion"))/IF(F33="$",'Cost Conversion'!$L$2,1))</f>
        <v/>
      </c>
      <c r="T33" s="104"/>
      <c r="U33" s="83"/>
      <c r="V33" s="103"/>
      <c r="W33" s="103"/>
      <c r="X33" s="83"/>
      <c r="Y33" s="83"/>
      <c r="Z33" s="83"/>
      <c r="AA33" s="83"/>
      <c r="AB33" s="83"/>
      <c r="AC33" s="83"/>
      <c r="AD33" s="83"/>
      <c r="AE33" s="83"/>
      <c r="AF33" s="83"/>
      <c r="AG33" s="83"/>
      <c r="AH33" s="104"/>
      <c r="AI33" s="104"/>
      <c r="AJ33" s="361"/>
    </row>
    <row r="34" spans="1:36" ht="18.5" customHeight="1" x14ac:dyDescent="0.2">
      <c r="A34" s="83"/>
      <c r="B34" s="103"/>
      <c r="C34" s="364"/>
      <c r="D34" s="329"/>
      <c r="E34" s="196"/>
      <c r="F34" s="196"/>
      <c r="G34" s="96"/>
      <c r="H34" s="96"/>
      <c r="I34" s="96"/>
      <c r="J34" s="97"/>
      <c r="K34" s="96"/>
      <c r="M34" s="365"/>
      <c r="N34" s="365"/>
      <c r="O34" s="365"/>
      <c r="P34" s="927"/>
      <c r="Q34" s="928"/>
      <c r="R34" s="158" t="str">
        <f t="shared" si="0"/>
        <v/>
      </c>
      <c r="S34" s="175" t="str" cm="1">
        <f t="array" aca="1" ref="S34" ca="1">+IF(R34="","",R34*INDIRECT(ADDRESS(MATCH(G34,'Cost Conversion'!$B$3:$B$48,0)+2,4,1,1,"Cost conversion"))*INDIRECT(ADDRESS(MATCH(H34,'Cost Conversion'!$F$3:$F$22,0)+2,8,1,1,"Cost conversion"))/IF(F34="$",'Cost Conversion'!$L$2,1))</f>
        <v/>
      </c>
      <c r="T34" s="104"/>
      <c r="U34" s="83"/>
      <c r="V34" s="103"/>
      <c r="W34" s="103"/>
      <c r="X34" s="83"/>
      <c r="Y34" s="83"/>
      <c r="Z34" s="83"/>
      <c r="AA34" s="83"/>
      <c r="AB34" s="83"/>
      <c r="AC34" s="83"/>
      <c r="AD34" s="83"/>
      <c r="AE34" s="83"/>
      <c r="AF34" s="83"/>
      <c r="AG34" s="83"/>
      <c r="AH34" s="104"/>
      <c r="AI34" s="104"/>
      <c r="AJ34" s="361"/>
    </row>
    <row r="35" spans="1:36" ht="18.5" customHeight="1" x14ac:dyDescent="0.2">
      <c r="A35" s="83"/>
      <c r="B35" s="103"/>
      <c r="C35" s="332"/>
      <c r="D35" s="333"/>
      <c r="E35" s="333"/>
      <c r="F35" s="333"/>
      <c r="G35" s="333"/>
      <c r="H35" s="333"/>
      <c r="I35" s="333"/>
      <c r="J35" s="333"/>
      <c r="K35" s="333"/>
      <c r="L35" s="333"/>
      <c r="M35" s="333"/>
      <c r="N35" s="333"/>
      <c r="O35" s="333"/>
      <c r="P35" s="333"/>
      <c r="Q35" s="333"/>
      <c r="R35" s="334"/>
      <c r="S35" s="420" t="s">
        <v>274</v>
      </c>
      <c r="T35" s="104"/>
      <c r="U35" s="83"/>
      <c r="V35" s="103"/>
      <c r="W35" s="103"/>
      <c r="X35" s="83"/>
      <c r="Y35" s="83"/>
      <c r="Z35" s="83"/>
      <c r="AA35" s="83"/>
      <c r="AB35" s="83"/>
      <c r="AC35" s="83"/>
      <c r="AD35" s="83"/>
      <c r="AE35" s="83"/>
      <c r="AF35" s="83"/>
      <c r="AG35" s="83"/>
      <c r="AH35" s="104"/>
      <c r="AI35" s="104"/>
      <c r="AJ35" s="361"/>
    </row>
    <row r="36" spans="1:36" ht="18.5" customHeight="1" x14ac:dyDescent="0.2">
      <c r="A36" s="83"/>
      <c r="B36" s="103"/>
      <c r="C36" s="335"/>
      <c r="D36" s="336"/>
      <c r="E36" s="336"/>
      <c r="F36" s="336"/>
      <c r="G36" s="336"/>
      <c r="H36" s="336"/>
      <c r="I36" s="336"/>
      <c r="J36" s="336"/>
      <c r="K36" s="336"/>
      <c r="L36" s="336"/>
      <c r="M36" s="336"/>
      <c r="N36" s="336"/>
      <c r="O36" s="336"/>
      <c r="P36" s="336"/>
      <c r="Q36" s="336"/>
      <c r="R36" s="337"/>
      <c r="S36" s="249">
        <f ca="1">IF(SUM(S13:S34)&gt;0,SUM(S13:S34),"")</f>
        <v>54.746437346472831</v>
      </c>
      <c r="T36" s="104"/>
      <c r="U36" s="83"/>
      <c r="V36" s="103"/>
      <c r="W36" s="105"/>
      <c r="X36" s="106"/>
      <c r="Y36" s="106"/>
      <c r="Z36" s="106"/>
      <c r="AA36" s="106"/>
      <c r="AB36" s="106"/>
      <c r="AC36" s="106"/>
      <c r="AD36" s="106"/>
      <c r="AE36" s="106"/>
      <c r="AF36" s="106"/>
      <c r="AG36" s="106"/>
      <c r="AH36" s="107"/>
      <c r="AI36" s="104"/>
      <c r="AJ36" s="361"/>
    </row>
    <row r="37" spans="1:36" ht="18.5" customHeight="1" x14ac:dyDescent="0.2">
      <c r="A37" s="83"/>
      <c r="B37" s="105"/>
      <c r="C37" s="106"/>
      <c r="D37" s="106"/>
      <c r="E37" s="106"/>
      <c r="F37" s="106"/>
      <c r="G37" s="106"/>
      <c r="H37" s="106"/>
      <c r="I37" s="106"/>
      <c r="J37" s="106"/>
      <c r="K37" s="106"/>
      <c r="L37" s="106"/>
      <c r="M37" s="106"/>
      <c r="N37" s="106"/>
      <c r="O37" s="106"/>
      <c r="P37" s="106"/>
      <c r="Q37" s="106"/>
      <c r="R37" s="106"/>
      <c r="S37" s="326"/>
      <c r="T37" s="107"/>
      <c r="U37" s="83"/>
      <c r="V37" s="105"/>
      <c r="W37" s="106"/>
      <c r="X37" s="106"/>
      <c r="Y37" s="106"/>
      <c r="Z37" s="106"/>
      <c r="AA37" s="106"/>
      <c r="AB37" s="106"/>
      <c r="AC37" s="106"/>
      <c r="AD37" s="106"/>
      <c r="AE37" s="106"/>
      <c r="AF37" s="106"/>
      <c r="AG37" s="106"/>
      <c r="AH37" s="106"/>
      <c r="AI37" s="107"/>
      <c r="AJ37" s="361"/>
    </row>
    <row r="38" spans="1:36" ht="18.5" customHeight="1" x14ac:dyDescent="0.2">
      <c r="A38" s="83"/>
      <c r="B38" s="83"/>
      <c r="C38" s="83"/>
      <c r="D38" s="83"/>
      <c r="E38" s="83"/>
      <c r="F38" s="83"/>
      <c r="G38" s="83"/>
      <c r="H38" s="83"/>
      <c r="I38" s="83"/>
      <c r="J38" s="83"/>
      <c r="K38" s="83"/>
      <c r="L38" s="83"/>
      <c r="M38" s="160"/>
      <c r="N38" s="83"/>
      <c r="O38" s="83"/>
      <c r="P38" s="83"/>
      <c r="Q38" s="83"/>
      <c r="S38" s="83"/>
      <c r="T38" s="83"/>
      <c r="U38" s="83"/>
      <c r="V38" s="83"/>
      <c r="W38" s="83"/>
      <c r="X38" s="83"/>
      <c r="Y38" s="83"/>
      <c r="Z38" s="83"/>
      <c r="AA38" s="83"/>
      <c r="AB38" s="83"/>
      <c r="AC38" s="83"/>
      <c r="AD38" s="83"/>
      <c r="AE38" s="83"/>
      <c r="AF38" s="83"/>
      <c r="AG38" s="83"/>
      <c r="AH38" s="83"/>
      <c r="AI38" s="83"/>
      <c r="AJ38" s="361"/>
    </row>
    <row r="39" spans="1:36" ht="18.5" customHeight="1" x14ac:dyDescent="0.2">
      <c r="A39" s="83"/>
      <c r="B39" s="917" t="str">
        <f>+"BEC Distribution: "&amp;E6</f>
        <v>BEC Distribution: Steam cycle &amp; CWT</v>
      </c>
      <c r="C39" s="918"/>
      <c r="D39" s="918"/>
      <c r="E39" s="918"/>
      <c r="F39" s="918"/>
      <c r="G39" s="917" t="str">
        <f>+"Estimate Benchmark: "&amp;E6</f>
        <v>Estimate Benchmark: Steam cycle &amp; CWT</v>
      </c>
      <c r="H39" s="918"/>
      <c r="I39" s="918"/>
      <c r="J39" s="919"/>
      <c r="K39" s="917" t="s">
        <v>555</v>
      </c>
      <c r="L39" s="918"/>
      <c r="M39" s="919"/>
      <c r="N39" s="160"/>
      <c r="O39" s="160"/>
      <c r="P39" s="160"/>
      <c r="Q39" s="83"/>
      <c r="R39" s="83"/>
      <c r="S39" s="83"/>
      <c r="T39" s="83"/>
      <c r="U39" s="83"/>
      <c r="V39" s="83"/>
      <c r="W39" s="83"/>
      <c r="X39" s="157"/>
      <c r="Y39" s="157"/>
      <c r="Z39" s="157"/>
      <c r="AA39" s="157"/>
      <c r="AB39" s="157"/>
      <c r="AC39" s="157"/>
      <c r="AD39" s="157"/>
      <c r="AE39" s="157"/>
      <c r="AF39" s="157"/>
      <c r="AG39" s="157"/>
      <c r="AH39" s="157"/>
      <c r="AI39" s="83"/>
      <c r="AJ39" s="361"/>
    </row>
    <row r="40" spans="1:36" ht="18.5" customHeight="1" x14ac:dyDescent="0.2">
      <c r="A40" s="83"/>
      <c r="B40" s="100"/>
      <c r="C40" s="296"/>
      <c r="D40" s="281"/>
      <c r="E40" s="281"/>
      <c r="F40" s="113"/>
      <c r="G40" s="299"/>
      <c r="H40" s="296"/>
      <c r="I40" s="296"/>
      <c r="J40" s="300"/>
      <c r="K40" s="589" t="s">
        <v>83</v>
      </c>
      <c r="L40" s="1018" t="s">
        <v>556</v>
      </c>
      <c r="M40" s="1019"/>
      <c r="N40" s="160"/>
      <c r="O40" s="160"/>
      <c r="P40" s="160"/>
      <c r="Q40" s="83"/>
      <c r="R40" s="83"/>
      <c r="S40" s="83"/>
      <c r="T40" s="83"/>
      <c r="U40" s="83"/>
      <c r="V40" s="83"/>
      <c r="W40" s="83"/>
      <c r="X40" s="157"/>
      <c r="Y40" s="157"/>
      <c r="Z40" s="157"/>
      <c r="AA40" s="157"/>
      <c r="AB40" s="157">
        <v>1995</v>
      </c>
      <c r="AC40" s="157">
        <v>381.1</v>
      </c>
      <c r="AD40" s="157">
        <v>1.5825242718446602</v>
      </c>
      <c r="AE40" s="157"/>
      <c r="AF40" s="157"/>
      <c r="AG40" s="157"/>
      <c r="AH40" s="157"/>
      <c r="AI40" s="83"/>
      <c r="AJ40" s="361"/>
    </row>
    <row r="41" spans="1:36" ht="18.5" customHeight="1" x14ac:dyDescent="0.2">
      <c r="A41" s="83"/>
      <c r="B41" s="103"/>
      <c r="C41" s="160"/>
      <c r="F41" s="84"/>
      <c r="G41" s="301"/>
      <c r="H41" s="160"/>
      <c r="I41" s="160"/>
      <c r="J41" s="160"/>
      <c r="K41" s="470" t="str">
        <f>+IF(C13="","",TEXT(C13,0))</f>
        <v>T-901</v>
      </c>
      <c r="L41" s="1011"/>
      <c r="M41" s="1012"/>
      <c r="N41" s="160"/>
      <c r="O41" s="160"/>
      <c r="P41" s="160"/>
      <c r="Q41" s="83"/>
      <c r="R41" s="83"/>
      <c r="S41" s="83"/>
      <c r="T41" s="83"/>
      <c r="U41" s="83"/>
      <c r="V41" s="83"/>
      <c r="W41" s="83"/>
      <c r="X41" s="157"/>
      <c r="Y41" s="157"/>
      <c r="Z41" s="157"/>
      <c r="AA41" s="157"/>
      <c r="AB41" s="157">
        <v>1996</v>
      </c>
      <c r="AC41" s="157">
        <v>381.7</v>
      </c>
      <c r="AD41" s="157">
        <v>1.5800366780193871</v>
      </c>
      <c r="AE41" s="157"/>
      <c r="AF41" s="157"/>
      <c r="AG41" s="157"/>
      <c r="AH41" s="157"/>
      <c r="AI41" s="83"/>
      <c r="AJ41" s="361"/>
    </row>
    <row r="42" spans="1:36" ht="18.5" customHeight="1" x14ac:dyDescent="0.2">
      <c r="A42" s="83"/>
      <c r="B42" s="103"/>
      <c r="C42" s="160"/>
      <c r="F42" s="84"/>
      <c r="G42" s="301"/>
      <c r="H42" s="160"/>
      <c r="I42" s="160"/>
      <c r="J42" s="160"/>
      <c r="K42" s="471"/>
      <c r="L42" s="1020"/>
      <c r="M42" s="1021"/>
      <c r="N42" s="160"/>
      <c r="O42" s="160"/>
      <c r="P42" s="160"/>
      <c r="Q42" s="83"/>
      <c r="R42" s="83"/>
      <c r="S42" s="83"/>
      <c r="T42" s="83"/>
      <c r="U42" s="83"/>
      <c r="V42" s="83"/>
      <c r="W42" s="83"/>
      <c r="X42" s="157"/>
      <c r="Y42" s="157"/>
      <c r="Z42" s="157"/>
      <c r="AA42" s="157"/>
      <c r="AB42" s="157">
        <v>1997</v>
      </c>
      <c r="AC42" s="157">
        <v>386.5</v>
      </c>
      <c r="AD42" s="157">
        <v>1.5604139715394567</v>
      </c>
      <c r="AE42" s="157"/>
      <c r="AF42" s="157"/>
      <c r="AG42" s="157"/>
      <c r="AH42" s="157"/>
      <c r="AI42" s="83"/>
      <c r="AJ42" s="361"/>
    </row>
    <row r="43" spans="1:36" ht="18.5" customHeight="1" x14ac:dyDescent="0.2">
      <c r="A43" s="83"/>
      <c r="B43" s="103"/>
      <c r="C43" s="160"/>
      <c r="F43" s="84"/>
      <c r="G43" s="301"/>
      <c r="H43" s="160"/>
      <c r="I43" s="160"/>
      <c r="J43" s="160"/>
      <c r="K43" s="471"/>
      <c r="L43" s="1020"/>
      <c r="M43" s="1021"/>
      <c r="N43" s="160"/>
      <c r="O43" s="160"/>
      <c r="P43" s="160"/>
      <c r="Q43" s="83"/>
      <c r="R43" s="83"/>
      <c r="S43" s="83"/>
      <c r="T43" s="83"/>
      <c r="U43" s="83"/>
      <c r="V43" s="83"/>
      <c r="W43" s="83"/>
      <c r="X43" s="157"/>
      <c r="Y43" s="157"/>
      <c r="Z43" s="157"/>
      <c r="AA43" s="157"/>
      <c r="AB43" s="157"/>
      <c r="AC43" s="157"/>
      <c r="AD43" s="157"/>
      <c r="AE43" s="157"/>
      <c r="AF43" s="157"/>
      <c r="AG43" s="157"/>
      <c r="AH43" s="157"/>
      <c r="AI43" s="83"/>
      <c r="AJ43" s="361"/>
    </row>
    <row r="44" spans="1:36" ht="18.5" customHeight="1" x14ac:dyDescent="0.2">
      <c r="A44" s="83"/>
      <c r="B44" s="103"/>
      <c r="C44" s="160"/>
      <c r="F44" s="84"/>
      <c r="G44" s="301"/>
      <c r="H44" s="160"/>
      <c r="I44" s="160"/>
      <c r="J44" s="160"/>
      <c r="K44" s="471"/>
      <c r="L44" s="1020"/>
      <c r="M44" s="1021"/>
      <c r="N44" s="160"/>
      <c r="O44" s="160"/>
      <c r="P44" s="160"/>
      <c r="Q44" s="83"/>
      <c r="R44" s="83"/>
      <c r="S44" s="83"/>
      <c r="T44" s="83"/>
      <c r="U44" s="83"/>
      <c r="V44" s="83"/>
      <c r="W44" s="83"/>
      <c r="X44" s="157"/>
      <c r="Y44" s="157"/>
      <c r="Z44" s="157"/>
      <c r="AA44" s="157"/>
      <c r="AB44" s="157">
        <v>1998</v>
      </c>
      <c r="AC44" s="157">
        <v>389.5</v>
      </c>
      <c r="AD44" s="157">
        <v>1.548395378690629</v>
      </c>
      <c r="AE44" s="157"/>
      <c r="AF44" s="157"/>
      <c r="AG44" s="157"/>
      <c r="AH44" s="157"/>
      <c r="AI44" s="83"/>
      <c r="AJ44" s="83"/>
    </row>
    <row r="45" spans="1:36" ht="18.5" customHeight="1" x14ac:dyDescent="0.2">
      <c r="A45" s="83"/>
      <c r="B45" s="103"/>
      <c r="C45" s="160"/>
      <c r="F45" s="84"/>
      <c r="G45" s="301"/>
      <c r="H45" s="160"/>
      <c r="I45" s="160"/>
      <c r="J45" s="160"/>
      <c r="K45" s="471"/>
      <c r="L45" s="320"/>
      <c r="M45" s="297"/>
      <c r="N45" s="160"/>
      <c r="O45" s="160"/>
      <c r="P45" s="160"/>
      <c r="Q45" s="83"/>
      <c r="R45" s="83"/>
      <c r="S45" s="83"/>
      <c r="T45" s="83"/>
      <c r="U45" s="83"/>
      <c r="V45" s="83"/>
      <c r="W45" s="83"/>
      <c r="X45" s="157"/>
      <c r="Y45" s="157"/>
      <c r="Z45" s="157"/>
      <c r="AA45" s="157"/>
      <c r="AB45" s="157">
        <v>1999</v>
      </c>
      <c r="AC45" s="157">
        <v>390.6</v>
      </c>
      <c r="AD45" s="157">
        <v>1.5440348182283665</v>
      </c>
      <c r="AE45" s="157"/>
      <c r="AF45" s="157"/>
      <c r="AG45" s="157"/>
      <c r="AH45" s="157"/>
      <c r="AI45" s="83"/>
      <c r="AJ45" s="83"/>
    </row>
    <row r="46" spans="1:36" ht="18.5" customHeight="1" x14ac:dyDescent="0.2">
      <c r="A46" s="83"/>
      <c r="B46" s="103"/>
      <c r="C46" s="160"/>
      <c r="F46" s="84"/>
      <c r="G46" s="301"/>
      <c r="H46" s="160"/>
      <c r="I46" s="160"/>
      <c r="J46" s="160"/>
      <c r="K46" s="471"/>
      <c r="L46" s="320"/>
      <c r="M46" s="297"/>
      <c r="N46" s="160"/>
      <c r="O46" s="160"/>
      <c r="P46" s="160"/>
      <c r="Q46" s="83"/>
      <c r="R46" s="83"/>
      <c r="S46" s="83"/>
      <c r="T46" s="83"/>
      <c r="U46" s="83"/>
      <c r="V46" s="83"/>
      <c r="W46" s="83"/>
      <c r="X46" s="157"/>
      <c r="Y46" s="157"/>
      <c r="Z46" s="157"/>
      <c r="AA46" s="157"/>
      <c r="AB46" s="157">
        <v>2000</v>
      </c>
      <c r="AC46" s="157">
        <v>394.1</v>
      </c>
      <c r="AD46" s="157">
        <v>1.5303222532352194</v>
      </c>
      <c r="AE46" s="157"/>
      <c r="AF46" s="157"/>
      <c r="AG46" s="157"/>
      <c r="AH46" s="157"/>
      <c r="AI46" s="83"/>
      <c r="AJ46" s="83"/>
    </row>
    <row r="47" spans="1:36" ht="18.5" customHeight="1" x14ac:dyDescent="0.2">
      <c r="A47" s="83"/>
      <c r="B47" s="103"/>
      <c r="C47" s="160"/>
      <c r="F47" s="84"/>
      <c r="G47" s="301"/>
      <c r="H47" s="160"/>
      <c r="I47" s="160"/>
      <c r="J47" s="160"/>
      <c r="K47" s="471" t="str">
        <f>+IF(C19="","",TEXT(C19,0))</f>
        <v/>
      </c>
      <c r="L47" s="320"/>
      <c r="M47" s="297"/>
      <c r="N47" s="160"/>
      <c r="O47" s="160"/>
      <c r="P47" s="160"/>
      <c r="Q47" s="83"/>
      <c r="R47" s="83"/>
      <c r="S47" s="83"/>
      <c r="T47" s="83"/>
      <c r="U47" s="83"/>
      <c r="V47" s="83"/>
      <c r="W47" s="83"/>
      <c r="X47" s="157"/>
      <c r="Y47" s="157"/>
      <c r="Z47" s="157"/>
      <c r="AA47" s="157"/>
      <c r="AB47" s="157">
        <v>2001</v>
      </c>
      <c r="AC47" s="157">
        <v>394.3</v>
      </c>
      <c r="AD47" s="157">
        <v>1.5295460309409079</v>
      </c>
      <c r="AE47" s="157"/>
      <c r="AF47" s="157"/>
      <c r="AG47" s="157"/>
      <c r="AH47" s="157"/>
      <c r="AI47" s="83"/>
      <c r="AJ47" s="83"/>
    </row>
    <row r="48" spans="1:36" ht="18.5" customHeight="1" x14ac:dyDescent="0.2">
      <c r="A48" s="83"/>
      <c r="B48" s="103"/>
      <c r="C48" s="160"/>
      <c r="F48" s="84"/>
      <c r="G48" s="301"/>
      <c r="H48" s="160"/>
      <c r="I48" s="160"/>
      <c r="J48" s="160"/>
      <c r="K48" s="471"/>
      <c r="L48" s="320"/>
      <c r="M48" s="297"/>
      <c r="N48" s="160"/>
      <c r="O48" s="160"/>
      <c r="P48" s="160"/>
      <c r="Q48" s="83"/>
      <c r="R48" s="83"/>
      <c r="S48" s="83"/>
      <c r="T48" s="83"/>
      <c r="U48" s="83"/>
      <c r="V48" s="83"/>
      <c r="W48" s="83"/>
      <c r="X48" s="157"/>
      <c r="Y48" s="157"/>
      <c r="Z48" s="157"/>
      <c r="AA48" s="157"/>
      <c r="AB48" s="157">
        <v>2002</v>
      </c>
      <c r="AC48" s="157">
        <v>395.6</v>
      </c>
      <c r="AD48" s="157">
        <v>1.5245197168857432</v>
      </c>
      <c r="AE48" s="157"/>
      <c r="AF48" s="157"/>
      <c r="AG48" s="157"/>
      <c r="AH48" s="157"/>
      <c r="AI48" s="83"/>
      <c r="AJ48" s="83"/>
    </row>
    <row r="49" spans="1:36" ht="18.5" customHeight="1" x14ac:dyDescent="0.2">
      <c r="A49" s="83"/>
      <c r="B49" s="103"/>
      <c r="C49" s="160"/>
      <c r="F49" s="84"/>
      <c r="G49" s="301"/>
      <c r="H49" s="160"/>
      <c r="I49" s="160"/>
      <c r="J49" s="160"/>
      <c r="K49" s="471"/>
      <c r="L49" s="320"/>
      <c r="M49" s="297"/>
      <c r="N49" s="160"/>
      <c r="O49" s="160"/>
      <c r="P49" s="160"/>
      <c r="Q49" s="83"/>
      <c r="R49" s="83"/>
      <c r="S49" s="83"/>
      <c r="T49" s="83"/>
      <c r="U49" s="83"/>
      <c r="V49" s="83"/>
      <c r="W49" s="83"/>
      <c r="X49" s="157"/>
      <c r="Y49" s="157"/>
      <c r="Z49" s="157"/>
      <c r="AA49" s="157"/>
      <c r="AB49" s="157">
        <v>2003</v>
      </c>
      <c r="AC49" s="157">
        <v>402</v>
      </c>
      <c r="AD49" s="157">
        <v>1.5002487562189055</v>
      </c>
      <c r="AE49" s="157"/>
      <c r="AF49" s="157"/>
      <c r="AG49" s="157"/>
      <c r="AH49" s="157"/>
      <c r="AI49" s="83"/>
      <c r="AJ49" s="83"/>
    </row>
    <row r="50" spans="1:36" ht="18.5" customHeight="1" x14ac:dyDescent="0.2">
      <c r="A50" s="83"/>
      <c r="B50" s="103"/>
      <c r="C50" s="160"/>
      <c r="F50" s="84"/>
      <c r="G50" s="301"/>
      <c r="H50" s="160"/>
      <c r="I50" s="160"/>
      <c r="J50" s="160"/>
      <c r="K50" s="471"/>
      <c r="L50" s="320"/>
      <c r="M50" s="297"/>
      <c r="N50" s="160"/>
      <c r="O50" s="160"/>
      <c r="P50" s="160"/>
      <c r="Q50" s="83"/>
      <c r="R50" s="83"/>
      <c r="S50" s="83"/>
      <c r="T50" s="83"/>
      <c r="U50" s="83"/>
      <c r="V50" s="83"/>
      <c r="W50" s="83"/>
      <c r="X50" s="157"/>
      <c r="Y50" s="157"/>
      <c r="Z50" s="157"/>
      <c r="AA50" s="157"/>
      <c r="AB50" s="157">
        <v>2004</v>
      </c>
      <c r="AC50" s="157">
        <v>444.2</v>
      </c>
      <c r="AD50" s="157">
        <v>1.3577217469608285</v>
      </c>
      <c r="AE50" s="157"/>
      <c r="AF50" s="157"/>
      <c r="AG50" s="157"/>
      <c r="AH50" s="157"/>
      <c r="AI50" s="83"/>
      <c r="AJ50" s="83"/>
    </row>
    <row r="51" spans="1:36" ht="18.5" customHeight="1" x14ac:dyDescent="0.2">
      <c r="A51" s="83"/>
      <c r="B51" s="103"/>
      <c r="C51" s="160"/>
      <c r="F51" s="84"/>
      <c r="G51" s="301"/>
      <c r="H51" s="160"/>
      <c r="I51" s="160"/>
      <c r="J51" s="160"/>
      <c r="K51" s="471"/>
      <c r="L51" s="320"/>
      <c r="M51" s="297"/>
      <c r="N51" s="160"/>
      <c r="O51" s="160"/>
      <c r="P51" s="160"/>
      <c r="Q51" s="83"/>
      <c r="R51" s="83"/>
      <c r="S51" s="83"/>
      <c r="T51" s="83"/>
      <c r="U51" s="83"/>
      <c r="V51" s="83"/>
      <c r="W51" s="83"/>
      <c r="X51" s="157"/>
      <c r="Y51" s="157"/>
      <c r="Z51" s="157"/>
      <c r="AA51" s="157"/>
      <c r="AB51" s="157">
        <v>2005</v>
      </c>
      <c r="AC51" s="157">
        <v>468.2</v>
      </c>
      <c r="AD51" s="157">
        <v>1.2881247330200769</v>
      </c>
      <c r="AE51" s="157"/>
      <c r="AF51" s="157"/>
      <c r="AG51" s="157"/>
      <c r="AH51" s="157"/>
      <c r="AI51" s="83"/>
      <c r="AJ51" s="83"/>
    </row>
    <row r="52" spans="1:36" ht="18.5" customHeight="1" x14ac:dyDescent="0.2">
      <c r="A52" s="83"/>
      <c r="B52" s="103"/>
      <c r="C52" s="160"/>
      <c r="F52" s="84"/>
      <c r="G52" s="301"/>
      <c r="H52" s="160"/>
      <c r="I52" s="160"/>
      <c r="J52" s="160"/>
      <c r="K52" s="471"/>
      <c r="L52" s="320"/>
      <c r="M52" s="297"/>
      <c r="N52" s="160"/>
      <c r="O52" s="160"/>
      <c r="P52" s="160"/>
      <c r="Q52" s="83"/>
      <c r="R52" s="83"/>
      <c r="S52" s="83"/>
      <c r="T52" s="83"/>
      <c r="U52" s="83"/>
      <c r="V52" s="83"/>
      <c r="W52" s="83"/>
      <c r="X52" s="157"/>
      <c r="Y52" s="157"/>
      <c r="Z52" s="157"/>
      <c r="AA52" s="157"/>
      <c r="AB52" s="157"/>
      <c r="AC52" s="157"/>
      <c r="AD52" s="157"/>
      <c r="AE52" s="157"/>
      <c r="AF52" s="157"/>
      <c r="AG52" s="157"/>
      <c r="AH52" s="157"/>
      <c r="AI52" s="83"/>
      <c r="AJ52" s="83"/>
    </row>
    <row r="53" spans="1:36" ht="18.5" customHeight="1" x14ac:dyDescent="0.2">
      <c r="A53" s="83"/>
      <c r="B53" s="103"/>
      <c r="C53" s="160"/>
      <c r="F53" s="84"/>
      <c r="G53" s="301"/>
      <c r="H53" s="160"/>
      <c r="I53" s="160"/>
      <c r="J53" s="160"/>
      <c r="K53" s="472"/>
      <c r="L53" s="320"/>
      <c r="M53" s="297"/>
      <c r="N53" s="160"/>
      <c r="O53" s="160"/>
      <c r="P53" s="160"/>
      <c r="Q53" s="83"/>
      <c r="R53" s="83"/>
      <c r="S53" s="83"/>
      <c r="T53" s="83"/>
      <c r="U53" s="83"/>
      <c r="V53" s="83"/>
      <c r="W53" s="83"/>
      <c r="X53" s="157"/>
      <c r="Y53" s="157"/>
      <c r="Z53" s="157"/>
      <c r="AA53" s="157"/>
      <c r="AB53" s="157">
        <v>2006</v>
      </c>
      <c r="AC53" s="157">
        <v>499.6</v>
      </c>
      <c r="AD53" s="157">
        <v>1.2071657325860687</v>
      </c>
      <c r="AE53" s="157"/>
      <c r="AF53" s="157"/>
      <c r="AG53" s="157"/>
      <c r="AH53" s="157"/>
      <c r="AI53" s="83"/>
      <c r="AJ53" s="83"/>
    </row>
    <row r="54" spans="1:36" ht="18.5" customHeight="1" x14ac:dyDescent="0.2">
      <c r="A54" s="83"/>
      <c r="B54" s="103"/>
      <c r="C54" s="160"/>
      <c r="F54" s="84"/>
      <c r="G54" s="301"/>
      <c r="H54" s="160"/>
      <c r="I54" s="160"/>
      <c r="J54" s="160"/>
      <c r="K54" s="472"/>
      <c r="L54" s="320"/>
      <c r="M54" s="297"/>
      <c r="N54" s="160"/>
      <c r="O54" s="160"/>
      <c r="P54" s="160"/>
      <c r="Q54" s="83"/>
      <c r="R54" s="83"/>
      <c r="S54" s="83"/>
      <c r="T54" s="83"/>
      <c r="U54" s="83"/>
      <c r="V54" s="83"/>
      <c r="W54" s="83"/>
      <c r="X54" s="157"/>
      <c r="Y54" s="157"/>
      <c r="Z54" s="157"/>
      <c r="AA54" s="157"/>
      <c r="AB54" s="157">
        <v>2007</v>
      </c>
      <c r="AC54" s="157">
        <v>525.4</v>
      </c>
      <c r="AD54" s="157">
        <v>1.147887323943662</v>
      </c>
      <c r="AE54" s="157"/>
      <c r="AF54" s="157"/>
      <c r="AG54" s="157"/>
      <c r="AH54" s="157"/>
      <c r="AI54" s="83"/>
      <c r="AJ54" s="83"/>
    </row>
    <row r="55" spans="1:36" ht="18.5" customHeight="1" x14ac:dyDescent="0.2">
      <c r="A55" s="83"/>
      <c r="B55" s="103"/>
      <c r="C55" s="160"/>
      <c r="F55" s="84"/>
      <c r="G55" s="301"/>
      <c r="H55" s="160"/>
      <c r="I55" s="160"/>
      <c r="J55" s="160"/>
      <c r="K55" s="472"/>
      <c r="L55" s="320"/>
      <c r="M55" s="297"/>
      <c r="N55" s="160"/>
      <c r="O55" s="160"/>
      <c r="P55" s="160"/>
      <c r="Q55" s="83"/>
      <c r="R55" s="83"/>
      <c r="S55" s="83"/>
      <c r="T55" s="83"/>
      <c r="U55" s="83"/>
      <c r="V55" s="83"/>
      <c r="W55" s="83"/>
      <c r="X55" s="157"/>
      <c r="Y55" s="157"/>
      <c r="Z55" s="157"/>
      <c r="AA55" s="157"/>
      <c r="AB55" s="157">
        <v>2008</v>
      </c>
      <c r="AC55" s="157">
        <v>575.4</v>
      </c>
      <c r="AD55" s="157">
        <v>1.0481404240528329</v>
      </c>
      <c r="AE55" s="157"/>
      <c r="AF55" s="157"/>
      <c r="AG55" s="157"/>
      <c r="AH55" s="157"/>
      <c r="AI55" s="83"/>
      <c r="AJ55" s="83"/>
    </row>
    <row r="56" spans="1:36" ht="18.5" customHeight="1" x14ac:dyDescent="0.2">
      <c r="A56" s="83"/>
      <c r="B56" s="103"/>
      <c r="C56" s="160"/>
      <c r="F56" s="84"/>
      <c r="G56" s="301"/>
      <c r="H56" s="160"/>
      <c r="I56" s="160"/>
      <c r="J56" s="160"/>
      <c r="K56" s="472"/>
      <c r="L56" s="320"/>
      <c r="M56" s="297"/>
      <c r="N56" s="160"/>
      <c r="O56" s="160"/>
      <c r="P56" s="160"/>
      <c r="Q56" s="83"/>
      <c r="R56" s="83"/>
      <c r="S56" s="83"/>
      <c r="T56" s="83"/>
      <c r="U56" s="83"/>
      <c r="V56" s="83"/>
      <c r="W56" s="83"/>
      <c r="X56" s="157"/>
      <c r="Y56" s="157"/>
      <c r="Z56" s="157"/>
      <c r="AA56" s="157"/>
      <c r="AB56" s="157">
        <v>2009</v>
      </c>
      <c r="AC56" s="157">
        <v>521.9</v>
      </c>
      <c r="AD56" s="157">
        <v>1.1555853611803029</v>
      </c>
      <c r="AE56" s="157"/>
      <c r="AF56" s="157"/>
      <c r="AG56" s="157"/>
      <c r="AH56" s="157"/>
      <c r="AI56" s="83"/>
      <c r="AJ56" s="83"/>
    </row>
    <row r="57" spans="1:36" ht="18.5" customHeight="1" x14ac:dyDescent="0.2">
      <c r="A57" s="83"/>
      <c r="B57" s="103"/>
      <c r="C57" s="160"/>
      <c r="D57" s="160"/>
      <c r="E57" s="160"/>
      <c r="F57" s="297"/>
      <c r="G57" s="301"/>
      <c r="H57" s="160"/>
      <c r="I57" s="160"/>
      <c r="J57" s="160"/>
      <c r="K57" s="472"/>
      <c r="L57" s="320"/>
      <c r="M57" s="297"/>
      <c r="N57" s="160"/>
      <c r="O57" s="160"/>
      <c r="P57" s="160"/>
      <c r="Q57" s="83"/>
      <c r="R57" s="83"/>
      <c r="S57" s="83"/>
      <c r="T57" s="83"/>
      <c r="U57" s="83"/>
      <c r="V57" s="83"/>
      <c r="W57" s="83"/>
      <c r="X57" s="157"/>
      <c r="Y57" s="157"/>
      <c r="Z57" s="157"/>
      <c r="AA57" s="157"/>
      <c r="AB57" s="157">
        <v>2010</v>
      </c>
      <c r="AC57" s="157">
        <v>550.79999999999995</v>
      </c>
      <c r="AD57" s="157">
        <v>1.0949527959331882</v>
      </c>
      <c r="AE57" s="157"/>
      <c r="AF57" s="157"/>
      <c r="AG57" s="157"/>
      <c r="AH57" s="157"/>
      <c r="AI57" s="83"/>
      <c r="AJ57" s="83"/>
    </row>
    <row r="58" spans="1:36" ht="18.5" customHeight="1" x14ac:dyDescent="0.2">
      <c r="A58" s="83"/>
      <c r="B58" s="103"/>
      <c r="C58" s="160"/>
      <c r="D58" s="160"/>
      <c r="E58" s="160"/>
      <c r="F58" s="297"/>
      <c r="G58" s="301"/>
      <c r="H58" s="160"/>
      <c r="I58" s="160"/>
      <c r="J58" s="160"/>
      <c r="K58" s="472"/>
      <c r="L58" s="320"/>
      <c r="M58" s="297"/>
      <c r="N58" s="160"/>
      <c r="O58" s="160"/>
      <c r="P58" s="160"/>
      <c r="Q58" s="83"/>
      <c r="R58" s="83"/>
      <c r="S58" s="83"/>
      <c r="T58" s="83"/>
      <c r="U58" s="83"/>
      <c r="V58" s="83"/>
      <c r="W58" s="83"/>
      <c r="X58" s="157"/>
      <c r="Y58" s="157"/>
      <c r="Z58" s="157"/>
      <c r="AA58" s="157"/>
      <c r="AB58" s="157">
        <v>2011</v>
      </c>
      <c r="AC58" s="157">
        <v>585.70000000000005</v>
      </c>
      <c r="AD58" s="157">
        <v>1.0297080416595525</v>
      </c>
      <c r="AE58" s="157"/>
      <c r="AF58" s="157"/>
      <c r="AG58" s="157"/>
      <c r="AH58" s="157"/>
      <c r="AI58" s="83"/>
      <c r="AJ58" s="83"/>
    </row>
    <row r="59" spans="1:36" ht="18.5" customHeight="1" x14ac:dyDescent="0.2">
      <c r="A59" s="83"/>
      <c r="B59" s="103"/>
      <c r="C59" s="160"/>
      <c r="D59" s="160"/>
      <c r="E59" s="160"/>
      <c r="F59" s="297"/>
      <c r="G59" s="301"/>
      <c r="H59" s="160"/>
      <c r="I59" s="160"/>
      <c r="J59" s="160"/>
      <c r="K59" s="472"/>
      <c r="L59" s="320"/>
      <c r="M59" s="297"/>
      <c r="N59" s="160"/>
      <c r="O59" s="160"/>
      <c r="P59" s="160"/>
      <c r="Q59" s="83"/>
      <c r="R59" s="83"/>
      <c r="S59" s="83"/>
      <c r="T59" s="83"/>
      <c r="U59" s="83"/>
      <c r="V59" s="83"/>
      <c r="W59" s="83"/>
      <c r="X59" s="157"/>
      <c r="Y59" s="157"/>
      <c r="Z59" s="157"/>
      <c r="AA59" s="157"/>
      <c r="AB59" s="157">
        <v>2012</v>
      </c>
      <c r="AC59" s="157">
        <v>584.6</v>
      </c>
      <c r="AD59" s="157">
        <v>1.0316455696202531</v>
      </c>
      <c r="AE59" s="157"/>
      <c r="AF59" s="157"/>
      <c r="AG59" s="157"/>
      <c r="AH59" s="157"/>
      <c r="AI59" s="83"/>
      <c r="AJ59" s="83"/>
    </row>
    <row r="60" spans="1:36" ht="18.5" customHeight="1" x14ac:dyDescent="0.2">
      <c r="A60" s="83"/>
      <c r="B60" s="103"/>
      <c r="C60" s="160"/>
      <c r="D60" s="160"/>
      <c r="E60" s="160"/>
      <c r="F60" s="297"/>
      <c r="G60" s="301"/>
      <c r="H60" s="160"/>
      <c r="I60" s="160"/>
      <c r="J60" s="160"/>
      <c r="K60" s="472"/>
      <c r="L60" s="320"/>
      <c r="M60" s="297"/>
      <c r="N60" s="160"/>
      <c r="O60" s="160"/>
      <c r="P60" s="160"/>
      <c r="Q60" s="83"/>
      <c r="R60" s="83"/>
      <c r="S60" s="83"/>
      <c r="T60" s="83"/>
      <c r="U60" s="83"/>
      <c r="V60" s="83"/>
      <c r="W60" s="83"/>
      <c r="X60" s="157"/>
      <c r="Y60" s="157"/>
      <c r="Z60" s="157"/>
      <c r="AA60" s="157"/>
      <c r="AB60" s="157">
        <v>2013</v>
      </c>
      <c r="AC60" s="157">
        <v>567.29999999999995</v>
      </c>
      <c r="AD60" s="157">
        <v>1.0631059404195313</v>
      </c>
      <c r="AE60" s="157"/>
      <c r="AF60" s="157"/>
      <c r="AG60" s="157"/>
      <c r="AH60" s="157"/>
      <c r="AI60" s="83"/>
      <c r="AJ60" s="83"/>
    </row>
    <row r="61" spans="1:36" ht="18.5" customHeight="1" x14ac:dyDescent="0.2">
      <c r="A61" s="83"/>
      <c r="B61" s="103"/>
      <c r="C61" s="160"/>
      <c r="D61" s="160"/>
      <c r="E61" s="160"/>
      <c r="F61" s="297"/>
      <c r="G61" s="301"/>
      <c r="H61" s="160"/>
      <c r="I61" s="160"/>
      <c r="J61" s="160"/>
      <c r="K61" s="472"/>
      <c r="L61" s="320"/>
      <c r="M61" s="297"/>
      <c r="N61" s="160"/>
      <c r="O61" s="160"/>
      <c r="P61" s="160"/>
      <c r="Q61" s="83"/>
      <c r="R61" s="83"/>
      <c r="S61" s="83"/>
      <c r="T61" s="83"/>
      <c r="U61" s="83"/>
      <c r="V61" s="83"/>
      <c r="W61" s="83"/>
      <c r="X61" s="157"/>
      <c r="Y61" s="157"/>
      <c r="Z61" s="157"/>
      <c r="AA61" s="157"/>
      <c r="AB61" s="157">
        <v>2014</v>
      </c>
      <c r="AC61" s="157">
        <v>576.1</v>
      </c>
      <c r="AD61" s="157">
        <v>1.0468668633917722</v>
      </c>
      <c r="AE61" s="157"/>
      <c r="AF61" s="157"/>
      <c r="AG61" s="157"/>
      <c r="AH61" s="157"/>
      <c r="AI61" s="83"/>
      <c r="AJ61" s="83"/>
    </row>
    <row r="62" spans="1:36" ht="18.5" customHeight="1" x14ac:dyDescent="0.2">
      <c r="A62" s="83"/>
      <c r="B62" s="103"/>
      <c r="C62" s="160"/>
      <c r="D62" s="160"/>
      <c r="E62" s="160"/>
      <c r="F62" s="297"/>
      <c r="G62" s="301"/>
      <c r="H62" s="160"/>
      <c r="I62" s="160"/>
      <c r="J62" s="160"/>
      <c r="K62" s="472"/>
      <c r="L62" s="320"/>
      <c r="M62" s="297"/>
      <c r="N62" s="160"/>
      <c r="O62" s="160"/>
      <c r="P62" s="160"/>
      <c r="Q62" s="83"/>
      <c r="R62" s="83"/>
      <c r="S62" s="83"/>
      <c r="T62" s="83"/>
      <c r="U62" s="83"/>
      <c r="V62" s="83"/>
      <c r="W62" s="83"/>
      <c r="X62" s="157"/>
      <c r="Y62" s="157"/>
      <c r="Z62" s="157"/>
      <c r="AA62" s="157"/>
      <c r="AB62" s="157">
        <v>2015</v>
      </c>
      <c r="AC62" s="157">
        <v>556.79999999999995</v>
      </c>
      <c r="AD62" s="157">
        <v>1.0831537356321841</v>
      </c>
      <c r="AE62" s="157"/>
      <c r="AF62" s="157"/>
      <c r="AG62" s="157"/>
      <c r="AH62" s="157"/>
      <c r="AI62" s="83"/>
      <c r="AJ62" s="83"/>
    </row>
    <row r="63" spans="1:36" ht="18.5" customHeight="1" x14ac:dyDescent="0.2">
      <c r="A63" s="83"/>
      <c r="B63" s="103"/>
      <c r="C63" s="160"/>
      <c r="D63" s="160"/>
      <c r="E63" s="160"/>
      <c r="F63" s="297"/>
      <c r="G63" s="301"/>
      <c r="H63" s="160"/>
      <c r="I63" s="160"/>
      <c r="J63" s="160"/>
      <c r="K63" s="472"/>
      <c r="L63" s="320"/>
      <c r="M63" s="297"/>
      <c r="N63" s="160"/>
      <c r="O63" s="160"/>
      <c r="P63" s="160"/>
      <c r="Q63" s="83"/>
      <c r="R63" s="83"/>
      <c r="S63" s="83"/>
      <c r="T63" s="83"/>
      <c r="U63" s="83"/>
      <c r="V63" s="83"/>
      <c r="W63" s="83"/>
      <c r="X63" s="157"/>
      <c r="Y63" s="157"/>
      <c r="Z63" s="157"/>
      <c r="AA63" s="157"/>
      <c r="AB63" s="157"/>
      <c r="AC63" s="157"/>
      <c r="AD63" s="157"/>
      <c r="AE63" s="157"/>
      <c r="AF63" s="157"/>
      <c r="AG63" s="157"/>
      <c r="AH63" s="157"/>
      <c r="AI63" s="83"/>
      <c r="AJ63" s="83"/>
    </row>
    <row r="64" spans="1:36" ht="18.5" customHeight="1" x14ac:dyDescent="0.2">
      <c r="A64" s="83"/>
      <c r="B64" s="933" t="s">
        <v>557</v>
      </c>
      <c r="C64" s="934"/>
      <c r="D64" s="934"/>
      <c r="E64" s="934"/>
      <c r="F64" s="935"/>
      <c r="G64" s="88" t="s">
        <v>252</v>
      </c>
      <c r="H64" s="88" t="s">
        <v>2</v>
      </c>
      <c r="I64" s="1022" t="s">
        <v>82</v>
      </c>
      <c r="J64" s="1022"/>
      <c r="K64" s="472"/>
      <c r="L64" s="320"/>
      <c r="M64" s="297"/>
      <c r="N64" s="160"/>
      <c r="O64" s="160"/>
      <c r="P64" s="160"/>
      <c r="Q64" s="83"/>
      <c r="R64" s="83"/>
      <c r="S64" s="83"/>
      <c r="T64" s="83"/>
      <c r="U64" s="83"/>
      <c r="V64" s="83"/>
      <c r="W64" s="83"/>
      <c r="X64" s="157"/>
      <c r="Y64" s="157"/>
      <c r="Z64" s="157"/>
      <c r="AA64" s="157"/>
      <c r="AB64" s="157"/>
      <c r="AC64" s="157"/>
      <c r="AD64" s="157"/>
      <c r="AE64" s="157"/>
      <c r="AF64" s="157"/>
      <c r="AG64" s="157"/>
      <c r="AH64" s="157"/>
      <c r="AI64" s="83"/>
      <c r="AJ64" s="83"/>
    </row>
    <row r="65" spans="1:36" ht="18.5" customHeight="1" x14ac:dyDescent="0.2">
      <c r="A65" s="83"/>
      <c r="B65" s="936"/>
      <c r="C65" s="937"/>
      <c r="D65" s="937"/>
      <c r="E65" s="937"/>
      <c r="F65" s="938"/>
      <c r="G65" s="494"/>
      <c r="H65" s="494"/>
      <c r="I65" s="1023"/>
      <c r="J65" s="1024"/>
      <c r="K65" s="473"/>
      <c r="L65" s="474"/>
      <c r="M65" s="298"/>
      <c r="N65" s="160"/>
      <c r="O65" s="160"/>
      <c r="P65" s="160"/>
      <c r="Q65" s="83"/>
      <c r="R65" s="83"/>
      <c r="S65" s="83"/>
      <c r="T65" s="83"/>
      <c r="U65" s="83"/>
      <c r="V65" s="83"/>
      <c r="W65" s="83"/>
      <c r="X65" s="157"/>
      <c r="Y65" s="157"/>
      <c r="Z65" s="157"/>
      <c r="AA65" s="157"/>
      <c r="AB65" s="157"/>
      <c r="AC65" s="157"/>
      <c r="AD65" s="157"/>
      <c r="AE65" s="157"/>
      <c r="AF65" s="157"/>
      <c r="AG65" s="157"/>
      <c r="AH65" s="157"/>
      <c r="AI65" s="83"/>
      <c r="AJ65" s="83"/>
    </row>
    <row r="66" spans="1:36" ht="18.5" customHeight="1" x14ac:dyDescent="0.2">
      <c r="A66" s="83"/>
      <c r="B66" s="83"/>
      <c r="C66" s="160"/>
      <c r="D66" s="160"/>
      <c r="E66" s="160"/>
      <c r="F66" s="160"/>
      <c r="G66" s="160"/>
      <c r="H66" s="160"/>
      <c r="I66" s="160"/>
      <c r="J66" s="160"/>
      <c r="K66" s="160"/>
      <c r="L66" s="160"/>
      <c r="M66" s="160"/>
      <c r="N66" s="160"/>
      <c r="O66" s="160"/>
      <c r="P66" s="160"/>
      <c r="Q66" s="83"/>
      <c r="R66" s="83"/>
      <c r="S66" s="83"/>
      <c r="T66" s="83"/>
      <c r="U66" s="83"/>
      <c r="V66" s="83"/>
      <c r="W66" s="83"/>
      <c r="X66" s="157"/>
      <c r="Y66" s="157"/>
      <c r="Z66" s="157"/>
      <c r="AA66" s="157"/>
      <c r="AB66" s="157"/>
      <c r="AC66" s="157"/>
      <c r="AD66" s="157"/>
      <c r="AE66" s="157"/>
      <c r="AF66" s="157"/>
      <c r="AG66" s="157"/>
      <c r="AH66" s="157"/>
      <c r="AI66" s="83"/>
      <c r="AJ66" s="83"/>
    </row>
    <row r="67" spans="1:36" x14ac:dyDescent="0.2">
      <c r="A67" s="83"/>
      <c r="B67" s="83"/>
      <c r="C67" s="160"/>
      <c r="D67" s="160"/>
      <c r="E67" s="160"/>
      <c r="F67" s="160"/>
      <c r="G67" s="160"/>
      <c r="H67" s="160"/>
      <c r="I67" s="160"/>
      <c r="J67" s="160"/>
      <c r="K67" s="160"/>
      <c r="L67" s="160"/>
      <c r="M67" s="160"/>
      <c r="N67" s="160"/>
      <c r="O67" s="160"/>
      <c r="P67" s="160"/>
      <c r="Q67" s="83"/>
      <c r="R67" s="83"/>
      <c r="S67" s="83"/>
      <c r="T67" s="83"/>
      <c r="U67" s="83"/>
      <c r="V67" s="83"/>
      <c r="W67" s="83"/>
      <c r="X67" s="83"/>
      <c r="Y67" s="83"/>
      <c r="Z67" s="83"/>
      <c r="AA67" s="83"/>
      <c r="AB67" s="83"/>
      <c r="AC67" s="83"/>
      <c r="AD67" s="83"/>
      <c r="AE67" s="83"/>
      <c r="AF67" s="83"/>
      <c r="AG67" s="83"/>
      <c r="AH67" s="83"/>
      <c r="AI67" s="83"/>
      <c r="AJ67" s="83"/>
    </row>
    <row r="68" spans="1:36" x14ac:dyDescent="0.2">
      <c r="A68" s="83"/>
      <c r="B68" s="83"/>
      <c r="C68" s="160"/>
      <c r="D68" s="160"/>
      <c r="E68" s="160"/>
      <c r="F68" s="160"/>
      <c r="G68" s="160"/>
      <c r="H68" s="160"/>
      <c r="I68" s="160"/>
      <c r="J68" s="160"/>
      <c r="K68" s="160"/>
      <c r="L68" s="160"/>
      <c r="M68" s="160"/>
      <c r="N68" s="160"/>
      <c r="O68" s="160"/>
      <c r="P68" s="160"/>
      <c r="Q68" s="83"/>
      <c r="R68" s="83"/>
      <c r="S68" s="83"/>
      <c r="T68" s="83"/>
      <c r="U68" s="83"/>
      <c r="V68" s="83"/>
      <c r="W68" s="83"/>
      <c r="X68" s="83"/>
      <c r="Y68" s="83"/>
      <c r="Z68" s="83"/>
      <c r="AA68" s="83"/>
      <c r="AB68" s="83"/>
      <c r="AC68" s="83"/>
      <c r="AD68" s="83"/>
      <c r="AE68" s="83"/>
      <c r="AF68" s="83"/>
      <c r="AG68" s="83"/>
      <c r="AH68" s="83"/>
      <c r="AI68" s="83"/>
      <c r="AJ68" s="83"/>
    </row>
    <row r="69" spans="1:36" x14ac:dyDescent="0.2">
      <c r="A69" s="83"/>
      <c r="B69" s="83"/>
      <c r="C69" s="160"/>
      <c r="D69" s="160"/>
      <c r="E69" s="160"/>
      <c r="F69" s="160"/>
      <c r="G69" s="160"/>
      <c r="H69" s="160"/>
      <c r="I69" s="160"/>
      <c r="J69" s="160"/>
      <c r="K69" s="160"/>
      <c r="L69" s="160"/>
      <c r="M69" s="160"/>
      <c r="N69" s="160"/>
      <c r="O69" s="160"/>
      <c r="P69" s="160"/>
      <c r="Q69" s="83"/>
      <c r="R69" s="83"/>
      <c r="S69" s="83"/>
      <c r="T69" s="83"/>
      <c r="U69" s="83"/>
      <c r="V69" s="83"/>
      <c r="W69" s="83"/>
      <c r="X69" s="83"/>
      <c r="Y69" s="83"/>
      <c r="Z69" s="83"/>
      <c r="AA69" s="83"/>
      <c r="AB69" s="83"/>
      <c r="AC69" s="83"/>
      <c r="AD69" s="83"/>
      <c r="AE69" s="83"/>
      <c r="AF69" s="83"/>
      <c r="AG69" s="83"/>
      <c r="AH69" s="83"/>
      <c r="AI69" s="83"/>
      <c r="AJ69" s="83"/>
    </row>
  </sheetData>
  <mergeCells count="28">
    <mergeCell ref="L42:M42"/>
    <mergeCell ref="L43:M43"/>
    <mergeCell ref="L44:M44"/>
    <mergeCell ref="B64:F65"/>
    <mergeCell ref="I64:J64"/>
    <mergeCell ref="I65:J65"/>
    <mergeCell ref="W3:AH3"/>
    <mergeCell ref="L41:M41"/>
    <mergeCell ref="C6:C7"/>
    <mergeCell ref="O6:S9"/>
    <mergeCell ref="C8:C9"/>
    <mergeCell ref="D8:D9"/>
    <mergeCell ref="E8:E9"/>
    <mergeCell ref="D11:J11"/>
    <mergeCell ref="K11:O11"/>
    <mergeCell ref="P11:R11"/>
    <mergeCell ref="P34:Q34"/>
    <mergeCell ref="B39:F39"/>
    <mergeCell ref="G39:J39"/>
    <mergeCell ref="K39:M39"/>
    <mergeCell ref="L40:M40"/>
    <mergeCell ref="D5:E5"/>
    <mergeCell ref="G5:H5"/>
    <mergeCell ref="O5:S5"/>
    <mergeCell ref="C3:F3"/>
    <mergeCell ref="G3:H3"/>
    <mergeCell ref="J3:M3"/>
    <mergeCell ref="O3:S3"/>
  </mergeCells>
  <dataValidations count="4">
    <dataValidation type="list" allowBlank="1" showInputMessage="1" showErrorMessage="1" sqref="F13:F34" xr:uid="{22995038-D347-4A63-B003-F44B7370E3D5}">
      <formula1>Currency</formula1>
    </dataValidation>
    <dataValidation type="list" allowBlank="1" showInputMessage="1" showErrorMessage="1" sqref="G13:G34" xr:uid="{3D4B41B9-9483-4C95-98AE-3A281215C3E6}">
      <formula1>Year</formula1>
    </dataValidation>
    <dataValidation type="list" allowBlank="1" showInputMessage="1" showErrorMessage="1" sqref="H13:H34" xr:uid="{62B6BB45-030E-4628-AC67-A2F8C2000712}">
      <formula1>Location</formula1>
    </dataValidation>
    <dataValidation type="list" allowBlank="1" showInputMessage="1" showErrorMessage="1" sqref="E8:E9" xr:uid="{E41F026B-50C6-4FDD-A205-5B963124C2BC}">
      <formula1>Case</formula1>
    </dataValidation>
  </dataValidations>
  <pageMargins left="0.7" right="0.7" top="0.75" bottom="0.75" header="0.3" footer="0.3"/>
  <pageSetup paperSize="9" orientation="portrait" verticalDpi="0" r:id="rId1"/>
  <drawing r:id="rId2"/>
  <legacyDrawing r:id="rId3"/>
  <oleObjects>
    <mc:AlternateContent xmlns:mc="http://schemas.openxmlformats.org/markup-compatibility/2006">
      <mc:Choice Requires="x14">
        <oleObject progId="Visio.Drawing.15" shapeId="292869" r:id="rId4">
          <objectPr defaultSize="0" r:id="rId5">
            <anchor moveWithCells="1">
              <from>
                <xdr:col>23</xdr:col>
                <xdr:colOff>0</xdr:colOff>
                <xdr:row>30</xdr:row>
                <xdr:rowOff>0</xdr:rowOff>
              </from>
              <to>
                <xdr:col>24</xdr:col>
                <xdr:colOff>25400</xdr:colOff>
                <xdr:row>33</xdr:row>
                <xdr:rowOff>215900</xdr:rowOff>
              </to>
            </anchor>
          </objectPr>
        </oleObject>
      </mc:Choice>
      <mc:Fallback>
        <oleObject progId="Visio.Drawing.15" shapeId="292869" r:id="rId4"/>
      </mc:Fallback>
    </mc:AlternateContent>
  </oleObjects>
  <mc:AlternateContent xmlns:mc="http://schemas.openxmlformats.org/markup-compatibility/2006">
    <mc:Choice Requires="x14">
      <controls>
        <mc:AlternateContent xmlns:mc="http://schemas.openxmlformats.org/markup-compatibility/2006">
          <mc:Choice Requires="x14">
            <control shapeId="292865" r:id="rId6" name="Button 1">
              <controlPr defaultSize="0" print="0" autoFill="0" autoPict="0" macro="[0]!Plant">
                <anchor moveWithCells="1" sizeWithCells="1">
                  <from>
                    <xdr:col>2</xdr:col>
                    <xdr:colOff>63500</xdr:colOff>
                    <xdr:row>7</xdr:row>
                    <xdr:rowOff>25400</xdr:rowOff>
                  </from>
                  <to>
                    <xdr:col>2</xdr:col>
                    <xdr:colOff>1587500</xdr:colOff>
                    <xdr:row>8</xdr:row>
                    <xdr:rowOff>177800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4646F-722E-471F-B8B1-4109FB6DCE01}">
  <sheetPr codeName="Hoja33"/>
  <dimension ref="A1:BE100"/>
  <sheetViews>
    <sheetView showGridLines="0" zoomScale="40" zoomScaleNormal="40" workbookViewId="0">
      <selection activeCell="AI49" sqref="AI49:AN53"/>
    </sheetView>
  </sheetViews>
  <sheetFormatPr baseColWidth="10" defaultColWidth="11.1640625" defaultRowHeight="15" x14ac:dyDescent="0.2"/>
  <cols>
    <col min="1" max="2" width="3.33203125" customWidth="1"/>
    <col min="3" max="19" width="19.6640625" customWidth="1"/>
    <col min="20" max="22" width="4" customWidth="1"/>
    <col min="23" max="40" width="12.83203125" customWidth="1"/>
    <col min="41" max="41" width="3.1640625" customWidth="1"/>
    <col min="43" max="43" width="11.1640625" style="372"/>
    <col min="44" max="44" width="11.1640625" style="372" customWidth="1"/>
  </cols>
  <sheetData>
    <row r="1" spans="1:44" ht="16.25" customHeight="1" x14ac:dyDescent="0.2">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15"/>
      <c r="AR1" s="371"/>
    </row>
    <row r="2" spans="1:44" ht="16.25" customHeight="1" x14ac:dyDescent="0.2">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15"/>
      <c r="AR2" s="371"/>
    </row>
    <row r="3" spans="1:44" ht="16.25" customHeight="1" x14ac:dyDescent="0.2">
      <c r="A3" s="83"/>
      <c r="B3" s="103"/>
      <c r="C3" s="917" t="s">
        <v>140</v>
      </c>
      <c r="D3" s="918"/>
      <c r="E3" s="918"/>
      <c r="F3" s="918"/>
      <c r="G3" s="917" t="s">
        <v>141</v>
      </c>
      <c r="H3" s="919"/>
      <c r="J3" s="917" t="s">
        <v>142</v>
      </c>
      <c r="K3" s="918"/>
      <c r="L3" s="918"/>
      <c r="M3" s="919"/>
      <c r="N3" s="186"/>
      <c r="O3" s="917" t="str">
        <f>+E6</f>
        <v>Steam cycle &amp; CWT</v>
      </c>
      <c r="P3" s="918"/>
      <c r="Q3" s="918"/>
      <c r="R3" s="918"/>
      <c r="S3" s="919"/>
      <c r="T3" s="104"/>
      <c r="U3" s="104"/>
      <c r="V3" s="83"/>
      <c r="W3" s="970" t="str">
        <f>+E6&amp;" Diagram"</f>
        <v>Steam cycle &amp; CWT Diagram</v>
      </c>
      <c r="X3" s="971"/>
      <c r="Y3" s="971"/>
      <c r="Z3" s="971"/>
      <c r="AA3" s="971"/>
      <c r="AB3" s="971"/>
      <c r="AC3" s="971"/>
      <c r="AD3" s="971"/>
      <c r="AE3" s="971"/>
      <c r="AF3" s="971"/>
      <c r="AG3" s="971"/>
      <c r="AH3" s="971"/>
      <c r="AI3" s="971"/>
      <c r="AJ3" s="971"/>
      <c r="AK3" s="971"/>
      <c r="AL3" s="971"/>
      <c r="AM3" s="971"/>
      <c r="AN3" s="972"/>
      <c r="AO3" s="104"/>
      <c r="AP3" s="83"/>
      <c r="AQ3" s="215"/>
      <c r="AR3" s="371"/>
    </row>
    <row r="4" spans="1:44" ht="16.25" customHeight="1" x14ac:dyDescent="0.2">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15"/>
      <c r="AR4" s="371"/>
    </row>
    <row r="5" spans="1:44" ht="16.25" customHeight="1" x14ac:dyDescent="0.2">
      <c r="A5" s="83"/>
      <c r="B5" s="103"/>
      <c r="C5" s="83"/>
      <c r="D5" s="920" t="s">
        <v>143</v>
      </c>
      <c r="E5" s="921"/>
      <c r="F5" s="83"/>
      <c r="G5" s="920" t="s">
        <v>40</v>
      </c>
      <c r="H5" s="921"/>
      <c r="J5" s="973"/>
      <c r="K5" s="974"/>
      <c r="L5" s="190" t="s">
        <v>144</v>
      </c>
      <c r="M5" s="191" t="s">
        <v>145</v>
      </c>
      <c r="N5" s="394"/>
      <c r="O5" s="833" t="s">
        <v>82</v>
      </c>
      <c r="P5" s="834"/>
      <c r="Q5" s="834"/>
      <c r="R5" s="834"/>
      <c r="S5" s="835"/>
      <c r="T5" s="104"/>
      <c r="U5" s="104"/>
      <c r="V5" s="83"/>
      <c r="W5" s="83"/>
      <c r="X5" s="83"/>
      <c r="Y5" s="83"/>
      <c r="Z5" s="83"/>
      <c r="AA5" s="83"/>
      <c r="AB5" s="83"/>
      <c r="AC5" s="83"/>
      <c r="AD5" s="83"/>
      <c r="AE5" s="83"/>
      <c r="AF5" s="83"/>
      <c r="AG5" s="83"/>
      <c r="AH5" s="83"/>
      <c r="AI5" s="83"/>
      <c r="AJ5" s="83"/>
      <c r="AK5" s="83"/>
      <c r="AL5" s="83"/>
      <c r="AM5" s="83"/>
      <c r="AN5" s="83"/>
      <c r="AO5" s="104"/>
      <c r="AP5" s="83"/>
      <c r="AQ5" s="215"/>
      <c r="AR5" s="371"/>
    </row>
    <row r="6" spans="1:44" ht="16.25" customHeight="1" x14ac:dyDescent="0.2">
      <c r="A6" s="83"/>
      <c r="B6" s="103"/>
      <c r="C6" s="979" t="s">
        <v>146</v>
      </c>
      <c r="D6" s="242" t="s">
        <v>147</v>
      </c>
      <c r="E6" s="409" t="str">
        <f>+'Plant Overview'!V44</f>
        <v>Steam cycle &amp; CWT</v>
      </c>
      <c r="F6" s="83"/>
      <c r="G6" s="85"/>
      <c r="H6" s="324" t="s">
        <v>43</v>
      </c>
      <c r="J6" s="975"/>
      <c r="K6" s="976"/>
      <c r="L6" s="169" t="s">
        <v>148</v>
      </c>
      <c r="M6" s="86" t="s">
        <v>149</v>
      </c>
      <c r="N6" s="394"/>
      <c r="O6" s="488"/>
      <c r="P6" s="394"/>
      <c r="Q6" s="394"/>
      <c r="R6" s="394"/>
      <c r="S6" s="489"/>
      <c r="T6" s="104"/>
      <c r="U6" s="104"/>
      <c r="V6" s="83"/>
      <c r="W6" s="83"/>
      <c r="X6" s="83"/>
      <c r="Y6" s="83"/>
      <c r="Z6" s="83"/>
      <c r="AA6" s="83"/>
      <c r="AB6" s="83"/>
      <c r="AC6" s="83"/>
      <c r="AD6" s="83"/>
      <c r="AE6" s="83"/>
      <c r="AF6" s="83"/>
      <c r="AG6" s="83"/>
      <c r="AH6" s="83"/>
      <c r="AI6" s="83"/>
      <c r="AJ6" s="83"/>
      <c r="AK6" s="83"/>
      <c r="AL6" s="83"/>
      <c r="AM6" s="83"/>
      <c r="AN6" s="83"/>
      <c r="AO6" s="104"/>
      <c r="AP6" s="83"/>
      <c r="AQ6" s="215"/>
      <c r="AR6" s="371"/>
    </row>
    <row r="7" spans="1:44" ht="16.25" customHeight="1" x14ac:dyDescent="0.2">
      <c r="A7" s="83"/>
      <c r="B7" s="103"/>
      <c r="C7" s="980"/>
      <c r="D7" s="242" t="s">
        <v>150</v>
      </c>
      <c r="E7" s="409" t="str">
        <f>+'Plant Overview'!W44</f>
        <v>U-800</v>
      </c>
      <c r="F7" s="83"/>
      <c r="G7" s="95"/>
      <c r="H7" s="324" t="s">
        <v>49</v>
      </c>
      <c r="J7" s="975"/>
      <c r="K7" s="976"/>
      <c r="L7" s="190" t="s">
        <v>151</v>
      </c>
      <c r="M7" s="191" t="s">
        <v>152</v>
      </c>
      <c r="N7" s="394"/>
      <c r="O7" s="488"/>
      <c r="P7" s="394"/>
      <c r="Q7" s="394"/>
      <c r="R7" s="394"/>
      <c r="S7" s="489"/>
      <c r="T7" s="104"/>
      <c r="U7" s="104"/>
      <c r="V7" s="83"/>
      <c r="W7" s="83"/>
      <c r="X7" s="83"/>
      <c r="Y7" s="83"/>
      <c r="Z7" s="83"/>
      <c r="AA7" s="83"/>
      <c r="AB7" s="83"/>
      <c r="AC7" s="83"/>
      <c r="AD7" s="83"/>
      <c r="AE7" s="83"/>
      <c r="AF7" s="83"/>
      <c r="AG7" s="83"/>
      <c r="AH7" s="83"/>
      <c r="AI7" s="83"/>
      <c r="AJ7" s="83"/>
      <c r="AK7" s="83"/>
      <c r="AL7" s="83"/>
      <c r="AM7" s="83"/>
      <c r="AN7" s="83"/>
      <c r="AO7" s="104"/>
      <c r="AP7" s="83"/>
      <c r="AQ7" s="215"/>
      <c r="AR7" s="371"/>
    </row>
    <row r="8" spans="1:44" ht="16.25" customHeight="1" x14ac:dyDescent="0.2">
      <c r="A8" s="83"/>
      <c r="B8" s="103"/>
      <c r="C8" s="880"/>
      <c r="D8" s="981" t="s">
        <v>153</v>
      </c>
      <c r="E8" s="983" t="s">
        <v>398</v>
      </c>
      <c r="F8" s="83"/>
      <c r="G8" s="94"/>
      <c r="H8" s="98" t="s">
        <v>51</v>
      </c>
      <c r="J8" s="975"/>
      <c r="K8" s="976"/>
      <c r="L8" s="190" t="s">
        <v>155</v>
      </c>
      <c r="M8" s="191" t="s">
        <v>156</v>
      </c>
      <c r="N8" s="394"/>
      <c r="O8" s="488"/>
      <c r="P8" s="394"/>
      <c r="Q8" s="394"/>
      <c r="R8" s="394"/>
      <c r="S8" s="489"/>
      <c r="T8" s="104"/>
      <c r="U8" s="104"/>
      <c r="V8" s="83"/>
      <c r="W8" s="83"/>
      <c r="X8" s="83"/>
      <c r="Y8" s="83"/>
      <c r="Z8" s="83"/>
      <c r="AA8" s="83"/>
      <c r="AB8" s="83"/>
      <c r="AC8" s="83"/>
      <c r="AD8" s="83"/>
      <c r="AE8" s="83"/>
      <c r="AF8" s="83"/>
      <c r="AG8" s="83"/>
      <c r="AH8" s="83"/>
      <c r="AI8" s="83"/>
      <c r="AJ8" s="83"/>
      <c r="AK8" s="83"/>
      <c r="AL8" s="83"/>
      <c r="AM8" s="83"/>
      <c r="AN8" s="83"/>
      <c r="AO8" s="104"/>
      <c r="AP8" s="83"/>
      <c r="AQ8" s="215"/>
      <c r="AR8" s="371"/>
    </row>
    <row r="9" spans="1:44" ht="16.25" customHeight="1" x14ac:dyDescent="0.2">
      <c r="A9" s="83"/>
      <c r="B9" s="103"/>
      <c r="C9" s="881"/>
      <c r="D9" s="982"/>
      <c r="E9" s="984"/>
      <c r="F9" s="83"/>
      <c r="G9" s="108"/>
      <c r="H9" s="310" t="s">
        <v>54</v>
      </c>
      <c r="J9" s="977"/>
      <c r="K9" s="978"/>
      <c r="L9" s="190" t="s">
        <v>157</v>
      </c>
      <c r="M9" s="191" t="s">
        <v>158</v>
      </c>
      <c r="N9" s="394"/>
      <c r="O9" s="490"/>
      <c r="P9" s="491"/>
      <c r="Q9" s="491"/>
      <c r="R9" s="491"/>
      <c r="S9" s="492"/>
      <c r="T9" s="104"/>
      <c r="U9" s="104"/>
      <c r="V9" s="83"/>
      <c r="W9" s="83"/>
      <c r="X9" s="83"/>
      <c r="Y9" s="83"/>
      <c r="Z9" s="83"/>
      <c r="AA9" s="83"/>
      <c r="AB9" s="83"/>
      <c r="AC9" s="83"/>
      <c r="AD9" s="83"/>
      <c r="AE9" s="83"/>
      <c r="AF9" s="83"/>
      <c r="AG9" s="83"/>
      <c r="AH9" s="83"/>
      <c r="AI9" s="83"/>
      <c r="AJ9" s="83"/>
      <c r="AK9" s="83"/>
      <c r="AL9" s="83"/>
      <c r="AM9" s="83"/>
      <c r="AN9" s="83"/>
      <c r="AO9" s="104"/>
      <c r="AP9" s="83"/>
      <c r="AQ9" s="215"/>
      <c r="AR9" s="371"/>
    </row>
    <row r="10" spans="1:44" ht="16.25" customHeight="1" x14ac:dyDescent="0.2">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15"/>
      <c r="AR10" s="371"/>
    </row>
    <row r="11" spans="1:44" ht="16.25" customHeight="1" x14ac:dyDescent="0.2">
      <c r="A11" s="83"/>
      <c r="B11" s="103"/>
      <c r="C11" s="83"/>
      <c r="D11" s="917" t="s">
        <v>159</v>
      </c>
      <c r="E11" s="918"/>
      <c r="F11" s="918"/>
      <c r="G11" s="918"/>
      <c r="H11" s="918"/>
      <c r="I11" s="918"/>
      <c r="J11" s="918"/>
      <c r="K11" s="918"/>
      <c r="L11" s="919"/>
      <c r="M11" s="917" t="s">
        <v>160</v>
      </c>
      <c r="N11" s="918"/>
      <c r="O11" s="918"/>
      <c r="P11" s="918"/>
      <c r="Q11" s="918"/>
      <c r="R11" s="919"/>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15"/>
      <c r="AR11" s="371"/>
    </row>
    <row r="12" spans="1:44" ht="16.25" customHeight="1" x14ac:dyDescent="0.2">
      <c r="A12" s="83"/>
      <c r="B12" s="103"/>
      <c r="C12" s="416" t="s">
        <v>161</v>
      </c>
      <c r="D12" s="572" t="s">
        <v>141</v>
      </c>
      <c r="E12" s="572" t="s">
        <v>162</v>
      </c>
      <c r="F12" s="417" t="s">
        <v>163</v>
      </c>
      <c r="G12" s="417" t="s">
        <v>164</v>
      </c>
      <c r="H12" s="418" t="s">
        <v>75</v>
      </c>
      <c r="I12" s="572" t="s">
        <v>165</v>
      </c>
      <c r="J12" s="569" t="s">
        <v>166</v>
      </c>
      <c r="K12" s="417" t="s">
        <v>167</v>
      </c>
      <c r="L12" s="417" t="s">
        <v>168</v>
      </c>
      <c r="M12" s="420" t="s">
        <v>169</v>
      </c>
      <c r="N12" s="420" t="s">
        <v>170</v>
      </c>
      <c r="O12" s="420" t="s">
        <v>171</v>
      </c>
      <c r="P12" s="420" t="s">
        <v>172</v>
      </c>
      <c r="Q12" s="420" t="s">
        <v>173</v>
      </c>
      <c r="R12" s="419" t="s">
        <v>174</v>
      </c>
      <c r="S12" s="420" t="s">
        <v>175</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15"/>
      <c r="AR12" s="371"/>
    </row>
    <row r="13" spans="1:44" ht="16.25" customHeight="1" x14ac:dyDescent="0.2">
      <c r="A13" s="83"/>
      <c r="B13" s="103"/>
      <c r="C13" s="182"/>
      <c r="D13" s="208" t="s">
        <v>420</v>
      </c>
      <c r="E13" s="208" t="s">
        <v>421</v>
      </c>
      <c r="F13" s="96">
        <f>1000*13.9966910424795</f>
        <v>13996.691042479499</v>
      </c>
      <c r="G13" s="96" t="s">
        <v>187</v>
      </c>
      <c r="H13" s="96" t="s">
        <v>186</v>
      </c>
      <c r="I13" s="96" t="s">
        <v>182</v>
      </c>
      <c r="J13" s="96" t="str">
        <f>+IF(F13&gt;'Equipment Data'!$G$211,"yes","No")</f>
        <v>yes</v>
      </c>
      <c r="K13" s="96">
        <v>0.67</v>
      </c>
      <c r="L13" s="96" t="s">
        <v>187</v>
      </c>
      <c r="M13" s="156">
        <f>+IF(AND(D13="Turbine",E13="Radial"),IF(F13&lt;'Equipment Data'!$M$211,10^('Equipment Data'!$C$211+'Equipment Data'!$D$211*LOG10(F13)+'Equipment Data'!$E$211*LOG10(F13)*LOG10(F13)),10^('Equipment Data'!$C$211+'Equipment Data'!$D$211*LOG10('Equipment Data'!$M$211)+'Equipment Data'!$E$211*LOG10('Equipment Data'!$M$211)*LOG10('Equipment Data'!$M$211))*(F13/'Equipment Data'!$M$211)^K13),"N/A")</f>
        <v>1043061.5050293243</v>
      </c>
      <c r="N13" s="96" t="s">
        <v>187</v>
      </c>
      <c r="O13" s="96" t="s">
        <v>187</v>
      </c>
      <c r="P13" s="96">
        <f>+IF(I13="Cl",'Equipment Data'!$F$211,IF(I13="CS",'Equipment Data'!$G$211,IF(I13="Cu",'Equipment Data'!$H$211,IF(I13="SS",'Equipment Data'!$I$211,IF(I13="Ni",'Equipment Data'!$J$211,IF(I13="Ti",'Equipment Data'!$K$211,"N/A"))))))</f>
        <v>3.5</v>
      </c>
      <c r="Q13" s="153">
        <f>+M13*P13</f>
        <v>3650715.2676026351</v>
      </c>
      <c r="R13" s="151">
        <v>1</v>
      </c>
      <c r="S13" s="199">
        <f>+IF(Tabla2587901201356330[[#This Row],[Equipment]]="","",Q13*R13/10^6)</f>
        <v>3.6507152676026351</v>
      </c>
      <c r="T13" s="587">
        <f ca="1">+$S$52/$R$52*S13</f>
        <v>5.8925226363115017</v>
      </c>
      <c r="U13" s="104"/>
      <c r="V13" s="83"/>
      <c r="W13" s="83"/>
      <c r="X13" s="83"/>
      <c r="Y13" s="83"/>
      <c r="Z13" s="83"/>
      <c r="AA13" s="83"/>
      <c r="AB13" s="83"/>
      <c r="AC13" s="83"/>
      <c r="AD13" s="83"/>
      <c r="AE13" s="83"/>
      <c r="AF13" s="83"/>
      <c r="AG13" s="83"/>
      <c r="AH13" s="83"/>
      <c r="AI13" s="83"/>
      <c r="AJ13" s="83"/>
      <c r="AK13" s="83"/>
      <c r="AL13" s="83"/>
      <c r="AM13" s="83"/>
      <c r="AN13" s="83"/>
      <c r="AO13" s="104"/>
      <c r="AP13" s="83"/>
      <c r="AQ13" s="215"/>
      <c r="AR13" s="371"/>
    </row>
    <row r="14" spans="1:44" ht="16.25" customHeight="1" x14ac:dyDescent="0.2">
      <c r="A14" s="83"/>
      <c r="B14" s="103"/>
      <c r="C14" s="99"/>
      <c r="D14" s="208" t="s">
        <v>420</v>
      </c>
      <c r="E14" s="208" t="s">
        <v>421</v>
      </c>
      <c r="F14" s="96">
        <f>1000*3.39682474828312</f>
        <v>3396.8247482831198</v>
      </c>
      <c r="G14" s="96" t="s">
        <v>187</v>
      </c>
      <c r="H14" s="96" t="s">
        <v>186</v>
      </c>
      <c r="I14" s="96" t="s">
        <v>182</v>
      </c>
      <c r="J14" s="96" t="str">
        <f>+IF(F14&gt;'Equipment Data'!$G$211,"yes","No")</f>
        <v>yes</v>
      </c>
      <c r="K14" s="96">
        <v>0.67</v>
      </c>
      <c r="L14" s="96" t="s">
        <v>187</v>
      </c>
      <c r="M14" s="156">
        <f>+IF(AND(D14="Turbine",E14="Radial"),IF(F14&lt;'Equipment Data'!$M$211,10^('Equipment Data'!$C$211+'Equipment Data'!$D$211*LOG10(F14)+'Equipment Data'!$E$211*LOG10(F14)*LOG10(F14)),10^('Equipment Data'!$C$211+'Equipment Data'!$D$211*LOG10('Equipment Data'!$M$211)+'Equipment Data'!$E$211*LOG10('Equipment Data'!$M$211)*LOG10('Equipment Data'!$M$211))*(F14/'Equipment Data'!$M$211)^K14),"N/A")</f>
        <v>403916.80284385319</v>
      </c>
      <c r="N14" s="96" t="s">
        <v>187</v>
      </c>
      <c r="O14" s="96" t="s">
        <v>187</v>
      </c>
      <c r="P14" s="96">
        <f>+IF(I14="Cl",'Equipment Data'!$F$211,IF(I14="CS",'Equipment Data'!$G$211,IF(I14="Cu",'Equipment Data'!$H$211,IF(I14="SS",'Equipment Data'!$I$211,IF(I14="Ni",'Equipment Data'!$J$211,IF(I14="Ti",'Equipment Data'!$K$211,"N/A"))))))</f>
        <v>3.5</v>
      </c>
      <c r="Q14" s="153">
        <f>+M14*P14</f>
        <v>1413708.8099534861</v>
      </c>
      <c r="R14" s="97">
        <v>1</v>
      </c>
      <c r="S14" s="193">
        <f>+IF(Tabla2587901201356330[[#This Row],[Equipment]]="","",Q14*R14/10^6)</f>
        <v>1.413708809953486</v>
      </c>
      <c r="T14" s="587">
        <f t="shared" ref="T14:T43" ca="1" si="0">+$S$52/$R$52*S14</f>
        <v>2.2818298752929835</v>
      </c>
      <c r="U14" s="104"/>
      <c r="V14" s="83"/>
      <c r="W14" s="83"/>
      <c r="X14" s="83"/>
      <c r="Y14" s="83"/>
      <c r="Z14" s="83"/>
      <c r="AA14" s="83"/>
      <c r="AB14" s="83"/>
      <c r="AC14" s="83"/>
      <c r="AD14" s="83"/>
      <c r="AE14" s="83"/>
      <c r="AF14" s="83"/>
      <c r="AG14" s="83"/>
      <c r="AH14" s="83"/>
      <c r="AI14" s="83"/>
      <c r="AJ14" s="83"/>
      <c r="AK14" s="83"/>
      <c r="AL14" s="83"/>
      <c r="AM14" s="83"/>
      <c r="AN14" s="83"/>
      <c r="AO14" s="104"/>
      <c r="AP14" s="83"/>
      <c r="AQ14" s="215"/>
      <c r="AR14" s="371"/>
    </row>
    <row r="15" spans="1:44" ht="16.25" customHeight="1" x14ac:dyDescent="0.2">
      <c r="A15" s="83"/>
      <c r="B15" s="103"/>
      <c r="C15" s="99"/>
      <c r="D15" s="208" t="s">
        <v>420</v>
      </c>
      <c r="E15" s="208" t="s">
        <v>421</v>
      </c>
      <c r="F15" s="96">
        <f>1000*5.38960738478201</f>
        <v>5389.6073847820098</v>
      </c>
      <c r="G15" s="96" t="s">
        <v>187</v>
      </c>
      <c r="H15" s="96" t="s">
        <v>186</v>
      </c>
      <c r="I15" s="96" t="s">
        <v>182</v>
      </c>
      <c r="J15" s="96" t="str">
        <f>+IF(F15&gt;'Equipment Data'!$G$211,"yes","No")</f>
        <v>yes</v>
      </c>
      <c r="K15" s="96">
        <v>0.67</v>
      </c>
      <c r="L15" s="96" t="s">
        <v>187</v>
      </c>
      <c r="M15" s="156">
        <f>+IF(AND(D15="Turbine",E15="Radial"),IF(F15&lt;'Equipment Data'!$M$211,10^('Equipment Data'!$C$211+'Equipment Data'!$D$211*LOG10(F15)+'Equipment Data'!$E$211*LOG10(F15)*LOG10(F15)),10^('Equipment Data'!$C$211+'Equipment Data'!$D$211*LOG10('Equipment Data'!$M$211)+'Equipment Data'!$E$211*LOG10('Equipment Data'!$M$211)*LOG10('Equipment Data'!$M$211))*(F15/'Equipment Data'!$M$211)^K15),"N/A")</f>
        <v>550321.13525187888</v>
      </c>
      <c r="N15" s="96" t="s">
        <v>187</v>
      </c>
      <c r="O15" s="96" t="s">
        <v>187</v>
      </c>
      <c r="P15" s="96">
        <f>+IF(I15="Cl",'Equipment Data'!$F$211,IF(I15="CS",'Equipment Data'!$G$211,IF(I15="Cu",'Equipment Data'!$H$211,IF(I15="SS",'Equipment Data'!$I$211,IF(I15="Ni",'Equipment Data'!$J$211,IF(I15="Ti",'Equipment Data'!$K$211,"N/A"))))))</f>
        <v>3.5</v>
      </c>
      <c r="Q15" s="153">
        <f>+M15*P15</f>
        <v>1926123.9733815761</v>
      </c>
      <c r="R15" s="97">
        <v>1</v>
      </c>
      <c r="S15" s="193">
        <f>+IF(Tabla2587901201356330[[#This Row],[Equipment]]="","",Q15*R15/10^6)</f>
        <v>1.926123973381576</v>
      </c>
      <c r="T15" s="587">
        <f t="shared" ca="1" si="0"/>
        <v>3.1089055928884779</v>
      </c>
      <c r="U15" s="104"/>
      <c r="V15" s="83"/>
      <c r="W15" s="83"/>
      <c r="X15" s="83"/>
      <c r="Y15" s="83"/>
      <c r="Z15" s="83"/>
      <c r="AA15" s="83"/>
      <c r="AB15" s="83"/>
      <c r="AC15" s="83"/>
      <c r="AD15" s="83"/>
      <c r="AE15" s="83"/>
      <c r="AF15" s="83"/>
      <c r="AG15" s="83"/>
      <c r="AH15" s="83"/>
      <c r="AI15" s="83"/>
      <c r="AJ15" s="83"/>
      <c r="AK15" s="83"/>
      <c r="AL15" s="83"/>
      <c r="AM15" s="83"/>
      <c r="AN15" s="83"/>
      <c r="AO15" s="104"/>
      <c r="AP15" s="83"/>
      <c r="AQ15" s="215"/>
      <c r="AR15" s="371"/>
    </row>
    <row r="16" spans="1:44" ht="16.25" customHeight="1" x14ac:dyDescent="0.2">
      <c r="A16" s="83"/>
      <c r="B16" s="103"/>
      <c r="C16" s="99"/>
      <c r="D16" s="208" t="s">
        <v>192</v>
      </c>
      <c r="E16" s="208" t="s">
        <v>193</v>
      </c>
      <c r="F16" s="96">
        <f>+F13+F14+F15</f>
        <v>22783.123175544628</v>
      </c>
      <c r="G16" s="96" t="s">
        <v>187</v>
      </c>
      <c r="H16" s="96" t="s">
        <v>186</v>
      </c>
      <c r="I16" s="96" t="s">
        <v>187</v>
      </c>
      <c r="J16" s="96" t="str">
        <f>+IF(F16&gt;'Equipment Data'!$H$40,"yes","No")</f>
        <v>yes</v>
      </c>
      <c r="K16" s="96">
        <v>0.67</v>
      </c>
      <c r="L16" s="96" t="s">
        <v>187</v>
      </c>
      <c r="M16" s="156">
        <f>+IF(AND(D16="Drive",E16="Explosion Proof"),IF(F16&lt;'Equipment Data'!$H$40,10^('Equipment Data'!$C$40+'Equipment Data'!$D$40*LOG10(F16)+'Equipment Data'!$E$40*LOG10(F16)*LOG10(F16)),10^('Equipment Data'!$C$40+LOG10('Equipment Data'!$H$40)*'Equipment Data'!$D$40+'Equipment Data'!$E$40*LOG10('Equipment Data'!$H$40)*LOG10('Equipment Data'!$H$40))*(F16/'Equipment Data'!$H$40)^K16),"N/A")</f>
        <v>693940.27265511791</v>
      </c>
      <c r="N16" s="96" t="s">
        <v>187</v>
      </c>
      <c r="O16" s="96" t="s">
        <v>187</v>
      </c>
      <c r="P16" s="152">
        <f>+'Equipment Data'!$F$40</f>
        <v>1.5</v>
      </c>
      <c r="Q16" s="153">
        <f t="shared" ref="Q16:Q17" si="1">+M16*P16</f>
        <v>1040910.4089826769</v>
      </c>
      <c r="R16" s="97">
        <v>1</v>
      </c>
      <c r="S16" s="193">
        <f>+IF(Tabla2587901201356330[[#This Row],[Equipment]]="","",Q16*R16/10^6)</f>
        <v>1.0409104089826768</v>
      </c>
      <c r="T16" s="587">
        <f t="shared" ca="1" si="0"/>
        <v>1.68010586904262</v>
      </c>
      <c r="U16" s="104"/>
      <c r="V16" s="83"/>
      <c r="W16" s="83"/>
      <c r="X16" s="83"/>
      <c r="Y16" s="83"/>
      <c r="Z16" s="83"/>
      <c r="AA16" s="83"/>
      <c r="AB16" s="83"/>
      <c r="AC16" s="83"/>
      <c r="AD16" s="83"/>
      <c r="AE16" s="83"/>
      <c r="AF16" s="83"/>
      <c r="AG16" s="83"/>
      <c r="AH16" s="83"/>
      <c r="AI16" s="83"/>
      <c r="AJ16" s="83"/>
      <c r="AK16" s="83"/>
      <c r="AL16" s="83"/>
      <c r="AM16" s="83"/>
      <c r="AN16" s="83"/>
      <c r="AO16" s="104"/>
      <c r="AP16" s="83"/>
      <c r="AQ16" s="215"/>
      <c r="AR16" s="371"/>
    </row>
    <row r="17" spans="1:44" ht="16.25" customHeight="1" x14ac:dyDescent="0.2">
      <c r="A17" s="83"/>
      <c r="B17" s="103"/>
      <c r="C17" s="99"/>
      <c r="D17" s="208" t="s">
        <v>194</v>
      </c>
      <c r="E17" s="208" t="s">
        <v>195</v>
      </c>
      <c r="F17" s="152">
        <f>+X38*1000/3600/AD38</f>
        <v>2458.8059508129963</v>
      </c>
      <c r="G17" s="96">
        <v>4.8000000000000001E-2</v>
      </c>
      <c r="H17" s="96" t="s">
        <v>196</v>
      </c>
      <c r="I17" s="96" t="s">
        <v>364</v>
      </c>
      <c r="J17" s="96" t="str">
        <f>+IF(F17&gt;'Equipment Data'!$L$126,"yes","No")</f>
        <v>yes</v>
      </c>
      <c r="K17" s="96">
        <v>0.67</v>
      </c>
      <c r="L17" s="96" t="s">
        <v>198</v>
      </c>
      <c r="M17" s="156">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140632.35557580125</v>
      </c>
      <c r="N17" s="152">
        <v>1.25</v>
      </c>
      <c r="O17" s="96">
        <f>+IF(I17="CS/CS",'Equipment Data'!$C$149,IF(I17="CS/Cu",'Equipment Data'!$D$149,IF(I17="Cu/Cu",'Equipment Data'!$E$149,IF(I17="CS/SS",'Equipment Data'!$F$149,IF(I17="SS/SS",'Equipment Data'!$G$149,IF(I17="CS/Ni",'Equipment Data'!$H$149,IF(I17="Ni/Ni",'Equipment Data'!$I$149,IF(I17="CS/Ti",'Equipment Data'!$J$149,IF(I17="Ti/Ti",'Equipment Data'!$K$149,"N/A")))))))))</f>
        <v>1.81</v>
      </c>
      <c r="P17" s="152">
        <f>+'Equipment Data'!$I$126+'Equipment Data'!$J$126*N17*O17</f>
        <v>5.3857499999999998</v>
      </c>
      <c r="Q17" s="153">
        <f t="shared" si="1"/>
        <v>757410.7090423716</v>
      </c>
      <c r="R17" s="97">
        <v>1</v>
      </c>
      <c r="S17" s="193">
        <f>+IF(Tabla2587901201356330[[#This Row],[Equipment]]="","",Q17*R17/10^6)</f>
        <v>0.75741070904237162</v>
      </c>
      <c r="T17" s="587">
        <f t="shared" ca="1" si="0"/>
        <v>1.2225165264525648</v>
      </c>
      <c r="U17" s="104"/>
      <c r="V17" s="83"/>
      <c r="W17" s="83"/>
      <c r="X17" s="83"/>
      <c r="Y17" s="83"/>
      <c r="Z17" s="83"/>
      <c r="AA17" s="83"/>
      <c r="AB17" s="83"/>
      <c r="AC17" s="83"/>
      <c r="AD17" s="83"/>
      <c r="AE17" s="83"/>
      <c r="AF17" s="83"/>
      <c r="AG17" s="83"/>
      <c r="AH17" s="83"/>
      <c r="AI17" s="83"/>
      <c r="AJ17" s="83"/>
      <c r="AK17" s="83"/>
      <c r="AL17" s="83"/>
      <c r="AM17" s="83"/>
      <c r="AN17" s="83"/>
      <c r="AO17" s="104"/>
      <c r="AP17" s="83"/>
      <c r="AQ17" s="215"/>
      <c r="AR17" s="371"/>
    </row>
    <row r="18" spans="1:44" ht="16.25" customHeight="1" x14ac:dyDescent="0.2">
      <c r="A18" s="83"/>
      <c r="B18" s="103"/>
      <c r="C18" s="99"/>
      <c r="D18" s="208"/>
      <c r="E18" s="208"/>
      <c r="F18" s="152"/>
      <c r="G18" s="96"/>
      <c r="H18" s="96"/>
      <c r="I18" s="96"/>
      <c r="J18" s="96"/>
      <c r="K18" s="96"/>
      <c r="L18" s="96"/>
      <c r="M18" s="156"/>
      <c r="N18" s="152"/>
      <c r="O18" s="96"/>
      <c r="P18" s="152"/>
      <c r="Q18" s="153"/>
      <c r="R18" s="97"/>
      <c r="S18" s="193" t="str">
        <f>+IF(Tabla2587901201356330[[#This Row],[Equipment]]="","",Q18*R18/10^6)</f>
        <v/>
      </c>
      <c r="T18" s="587" t="e">
        <f t="shared" ca="1" si="0"/>
        <v>#VALUE!</v>
      </c>
      <c r="U18" s="104"/>
      <c r="V18" s="83"/>
      <c r="W18" s="83"/>
      <c r="X18" s="83"/>
      <c r="Y18" s="83"/>
      <c r="Z18" s="83"/>
      <c r="AA18" s="83"/>
      <c r="AB18" s="83"/>
      <c r="AC18" s="83"/>
      <c r="AD18" s="83"/>
      <c r="AE18" s="83"/>
      <c r="AF18" s="83"/>
      <c r="AG18" s="83"/>
      <c r="AH18" s="83"/>
      <c r="AI18" s="83"/>
      <c r="AJ18" s="83"/>
      <c r="AK18" s="83"/>
      <c r="AL18" s="83"/>
      <c r="AM18" s="83"/>
      <c r="AN18" s="83"/>
      <c r="AO18" s="104"/>
      <c r="AP18" s="83"/>
      <c r="AQ18" s="215"/>
      <c r="AR18" s="371"/>
    </row>
    <row r="19" spans="1:44" ht="16.25" customHeight="1" x14ac:dyDescent="0.2">
      <c r="A19" s="83"/>
      <c r="B19" s="103"/>
      <c r="C19" s="99"/>
      <c r="D19" s="208"/>
      <c r="E19" s="208"/>
      <c r="F19" s="152"/>
      <c r="G19" s="96"/>
      <c r="H19" s="96"/>
      <c r="I19" s="96"/>
      <c r="J19" s="96"/>
      <c r="K19" s="96"/>
      <c r="L19" s="96"/>
      <c r="M19" s="156"/>
      <c r="N19" s="152"/>
      <c r="O19" s="96"/>
      <c r="P19" s="152"/>
      <c r="Q19" s="153"/>
      <c r="R19" s="97"/>
      <c r="S19" s="193" t="str">
        <f>+IF(Tabla2587901201356330[[#This Row],[Equipment]]="","",Q19*R19/10^6)</f>
        <v/>
      </c>
      <c r="T19" s="587" t="e">
        <f t="shared" ca="1" si="0"/>
        <v>#VALUE!</v>
      </c>
      <c r="U19" s="104"/>
      <c r="V19" s="83"/>
      <c r="W19" s="83"/>
      <c r="X19" s="83"/>
      <c r="Y19" s="83"/>
      <c r="Z19" s="83"/>
      <c r="AA19" s="83"/>
      <c r="AB19" s="83"/>
      <c r="AC19" s="83"/>
      <c r="AD19" s="83"/>
      <c r="AE19" s="83"/>
      <c r="AF19" s="83"/>
      <c r="AG19" s="83"/>
      <c r="AH19" s="83"/>
      <c r="AI19" s="83"/>
      <c r="AJ19" s="83"/>
      <c r="AK19" s="83"/>
      <c r="AL19" s="83"/>
      <c r="AM19" s="83"/>
      <c r="AN19" s="83"/>
      <c r="AO19" s="104"/>
      <c r="AP19" s="83"/>
      <c r="AQ19" s="215"/>
      <c r="AR19" s="371"/>
    </row>
    <row r="20" spans="1:44" ht="16.25" customHeight="1" x14ac:dyDescent="0.2">
      <c r="A20" s="83"/>
      <c r="B20" s="103"/>
      <c r="C20" s="99"/>
      <c r="D20" s="208"/>
      <c r="E20" s="208"/>
      <c r="F20" s="152"/>
      <c r="G20" s="96"/>
      <c r="H20" s="96"/>
      <c r="I20" s="96"/>
      <c r="J20" s="96"/>
      <c r="K20" s="96"/>
      <c r="L20" s="96"/>
      <c r="M20" s="156"/>
      <c r="N20" s="152"/>
      <c r="O20" s="96"/>
      <c r="P20" s="152"/>
      <c r="Q20" s="153"/>
      <c r="R20" s="97"/>
      <c r="S20" s="193" t="str">
        <f>+IF(Tabla2587901201356330[[#This Row],[Equipment]]="","",Q20*R20/10^6)</f>
        <v/>
      </c>
      <c r="T20" s="587"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15"/>
      <c r="AR20" s="371"/>
    </row>
    <row r="21" spans="1:44" ht="16.25" customHeight="1" x14ac:dyDescent="0.2">
      <c r="A21" s="83"/>
      <c r="B21" s="103"/>
      <c r="C21" s="99"/>
      <c r="D21" s="208"/>
      <c r="E21" s="208"/>
      <c r="F21" s="152"/>
      <c r="G21" s="96"/>
      <c r="H21" s="96"/>
      <c r="I21" s="96"/>
      <c r="J21" s="96"/>
      <c r="K21" s="96"/>
      <c r="L21" s="96"/>
      <c r="M21" s="156"/>
      <c r="N21" s="152"/>
      <c r="O21" s="96"/>
      <c r="P21" s="152"/>
      <c r="Q21" s="153"/>
      <c r="R21" s="97"/>
      <c r="S21" s="193" t="str">
        <f>+IF(Tabla2587901201356330[[#This Row],[Equipment]]="","",Q21*R21/10^6)</f>
        <v/>
      </c>
      <c r="T21" s="587"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15"/>
      <c r="AR21" s="371"/>
    </row>
    <row r="22" spans="1:44" ht="16.25" customHeight="1" x14ac:dyDescent="0.2">
      <c r="A22" s="83"/>
      <c r="B22" s="103"/>
      <c r="C22" s="99"/>
      <c r="D22" s="208"/>
      <c r="E22" s="208"/>
      <c r="F22" s="152"/>
      <c r="G22" s="96"/>
      <c r="H22" s="96"/>
      <c r="I22" s="96"/>
      <c r="J22" s="96"/>
      <c r="K22" s="96"/>
      <c r="L22" s="96"/>
      <c r="M22" s="156"/>
      <c r="N22" s="152"/>
      <c r="O22" s="96"/>
      <c r="P22" s="152"/>
      <c r="Q22" s="153"/>
      <c r="R22" s="97"/>
      <c r="S22" s="193" t="str">
        <f>+IF(Tabla2587901201356330[[#This Row],[Equipment]]="","",Q22*R22/10^6)</f>
        <v/>
      </c>
      <c r="T22" s="587"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15"/>
      <c r="AR22" s="371"/>
    </row>
    <row r="23" spans="1:44" ht="16.25" customHeight="1" x14ac:dyDescent="0.2">
      <c r="A23" s="83"/>
      <c r="B23" s="103"/>
      <c r="C23" s="99"/>
      <c r="D23" s="208"/>
      <c r="E23" s="208"/>
      <c r="F23" s="152"/>
      <c r="G23" s="96"/>
      <c r="H23" s="96"/>
      <c r="I23" s="96"/>
      <c r="J23" s="96"/>
      <c r="K23" s="96"/>
      <c r="L23" s="96"/>
      <c r="M23" s="156"/>
      <c r="N23" s="158"/>
      <c r="O23" s="96"/>
      <c r="P23" s="158"/>
      <c r="Q23" s="153"/>
      <c r="R23" s="97"/>
      <c r="S23" s="193" t="str">
        <f>+IF(Tabla2587901201356330[[#This Row],[Equipment]]="","",Q23*R23/10^6)</f>
        <v/>
      </c>
      <c r="T23" s="587"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15"/>
      <c r="AR23" s="371"/>
    </row>
    <row r="24" spans="1:44" ht="16.25" customHeight="1" x14ac:dyDescent="0.2">
      <c r="A24" s="83"/>
      <c r="B24" s="103"/>
      <c r="C24" s="99"/>
      <c r="D24" s="208"/>
      <c r="E24" s="208"/>
      <c r="F24" s="152"/>
      <c r="G24" s="96"/>
      <c r="H24" s="96"/>
      <c r="I24" s="96"/>
      <c r="J24" s="96"/>
      <c r="K24" s="96"/>
      <c r="L24" s="96"/>
      <c r="M24" s="156"/>
      <c r="N24" s="96"/>
      <c r="O24" s="96"/>
      <c r="P24" s="152"/>
      <c r="Q24" s="153"/>
      <c r="R24" s="97"/>
      <c r="S24" s="193" t="str">
        <f>+IF(Tabla2587901201356330[[#This Row],[Equipment]]="","",Q24*R24/10^6)</f>
        <v/>
      </c>
      <c r="T24" s="587"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15"/>
      <c r="AR24" s="371"/>
    </row>
    <row r="25" spans="1:44" ht="16.25" customHeight="1" x14ac:dyDescent="0.2">
      <c r="A25" s="83"/>
      <c r="B25" s="103"/>
      <c r="C25" s="99"/>
      <c r="D25" s="208"/>
      <c r="E25" s="208"/>
      <c r="F25" s="158"/>
      <c r="G25" s="96"/>
      <c r="H25" s="96"/>
      <c r="I25" s="96"/>
      <c r="J25" s="96"/>
      <c r="K25" s="96"/>
      <c r="L25" s="158"/>
      <c r="M25" s="156"/>
      <c r="N25" s="155"/>
      <c r="O25" s="96"/>
      <c r="P25" s="153"/>
      <c r="Q25" s="153"/>
      <c r="R25" s="97"/>
      <c r="S25" s="193" t="str">
        <f>+IF(Tabla2587901201356330[[#This Row],[Equipment]]="","",Q25*R25/10^6)</f>
        <v/>
      </c>
      <c r="T25" s="587"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15"/>
      <c r="AR25" s="371"/>
    </row>
    <row r="26" spans="1:44" ht="16.25" customHeight="1" x14ac:dyDescent="0.2">
      <c r="A26" s="83"/>
      <c r="B26" s="103"/>
      <c r="C26" s="99"/>
      <c r="D26" s="208"/>
      <c r="E26" s="208"/>
      <c r="F26" s="158"/>
      <c r="G26" s="158"/>
      <c r="H26" s="395" t="str">
        <f>IF(Tabla2788911211366431[[#This Row],[Subtype]]="","",VLOOKUP(Tabla2788911211366431[[#This Row],[Subtype]],'Unit-X00 Equipment'!$E$13:$H$107,4,FALSE))</f>
        <v/>
      </c>
      <c r="I26" s="96"/>
      <c r="J26" s="96"/>
      <c r="K26" s="96"/>
      <c r="L26" s="96"/>
      <c r="M26" s="234"/>
      <c r="N26" s="158"/>
      <c r="O26" s="158"/>
      <c r="P26" s="158"/>
      <c r="Q26" s="158"/>
      <c r="R26" s="97"/>
      <c r="S26" s="193" t="str">
        <f>+IF(Tabla2587901201356330[[#This Row],[Equipment]]="","",Q26*R26/10^6)</f>
        <v/>
      </c>
      <c r="T26" s="587"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15"/>
      <c r="AR26" s="371"/>
    </row>
    <row r="27" spans="1:44" ht="16.25" customHeight="1" x14ac:dyDescent="0.2">
      <c r="A27" s="83"/>
      <c r="B27" s="103"/>
      <c r="C27" s="99"/>
      <c r="D27" s="208"/>
      <c r="E27" s="208"/>
      <c r="F27" s="158"/>
      <c r="G27" s="158"/>
      <c r="H27" s="395" t="str">
        <f>IF(Tabla2788911211366431[[#This Row],[Subtype]]="","",VLOOKUP(Tabla2788911211366431[[#This Row],[Subtype]],'Unit-X00 Equipment'!$E$13:$H$107,4,FALSE))</f>
        <v/>
      </c>
      <c r="I27" s="96"/>
      <c r="J27" s="96"/>
      <c r="K27" s="96"/>
      <c r="L27" s="96"/>
      <c r="M27" s="234"/>
      <c r="N27" s="158"/>
      <c r="O27" s="158"/>
      <c r="P27" s="158"/>
      <c r="Q27" s="158"/>
      <c r="R27" s="97"/>
      <c r="S27" s="193" t="str">
        <f>+IF(Tabla2587901201356330[[#This Row],[Equipment]]="","",Q27*R27/10^6)</f>
        <v/>
      </c>
      <c r="T27" s="587"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15"/>
      <c r="AR27" s="371"/>
    </row>
    <row r="28" spans="1:44" ht="16.25" customHeight="1" x14ac:dyDescent="0.2">
      <c r="A28" s="83"/>
      <c r="B28" s="103"/>
      <c r="C28" s="99"/>
      <c r="D28" s="208"/>
      <c r="E28" s="208"/>
      <c r="F28" s="158"/>
      <c r="G28" s="158"/>
      <c r="H28" s="395" t="str">
        <f>IF(Tabla2788911211366431[[#This Row],[Subtype]]="","",VLOOKUP(Tabla2788911211366431[[#This Row],[Subtype]],'Unit-X00 Equipment'!$E$13:$H$107,4,FALSE))</f>
        <v/>
      </c>
      <c r="I28" s="96"/>
      <c r="J28" s="96"/>
      <c r="K28" s="96"/>
      <c r="L28" s="96"/>
      <c r="M28" s="234"/>
      <c r="N28" s="158"/>
      <c r="O28" s="158"/>
      <c r="P28" s="158"/>
      <c r="Q28" s="158"/>
      <c r="R28" s="97"/>
      <c r="S28" s="193" t="str">
        <f>+IF(Tabla2587901201356330[[#This Row],[Equipment]]="","",Q28*R28/10^6)</f>
        <v/>
      </c>
      <c r="T28" s="587"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15"/>
      <c r="AR28" s="371"/>
    </row>
    <row r="29" spans="1:44" ht="16.25" customHeight="1" x14ac:dyDescent="0.2">
      <c r="A29" s="83"/>
      <c r="B29" s="103"/>
      <c r="C29" s="99"/>
      <c r="D29" s="208"/>
      <c r="E29" s="208"/>
      <c r="F29" s="158"/>
      <c r="G29" s="158"/>
      <c r="H29" s="395" t="str">
        <f>IF(Tabla2788911211366431[[#This Row],[Subtype]]="","",VLOOKUP(Tabla2788911211366431[[#This Row],[Subtype]],'Unit-X00 Equipment'!$E$13:$H$107,4,FALSE))</f>
        <v/>
      </c>
      <c r="I29" s="96"/>
      <c r="J29" s="96"/>
      <c r="K29" s="96"/>
      <c r="L29" s="96"/>
      <c r="M29" s="234"/>
      <c r="N29" s="158"/>
      <c r="O29" s="158"/>
      <c r="P29" s="158"/>
      <c r="Q29" s="158"/>
      <c r="R29" s="97"/>
      <c r="S29" s="193" t="str">
        <f>+IF(Tabla2587901201356330[[#This Row],[Equipment]]="","",Q29*R29/10^6)</f>
        <v/>
      </c>
      <c r="T29" s="587"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15"/>
      <c r="AR29" s="371"/>
    </row>
    <row r="30" spans="1:44" ht="16.25" customHeight="1" x14ac:dyDescent="0.2">
      <c r="A30" s="83"/>
      <c r="B30" s="103"/>
      <c r="C30" s="99"/>
      <c r="D30" s="208"/>
      <c r="E30" s="208"/>
      <c r="F30" s="158"/>
      <c r="G30" s="158"/>
      <c r="H30" s="395" t="str">
        <f>IF(Tabla2788911211366431[[#This Row],[Subtype]]="","",VLOOKUP(Tabla2788911211366431[[#This Row],[Subtype]],'Unit-X00 Equipment'!$E$13:$H$107,4,FALSE))</f>
        <v/>
      </c>
      <c r="I30" s="96"/>
      <c r="J30" s="96"/>
      <c r="K30" s="96"/>
      <c r="L30" s="96"/>
      <c r="M30" s="234"/>
      <c r="N30" s="158"/>
      <c r="O30" s="158"/>
      <c r="P30" s="158"/>
      <c r="Q30" s="158"/>
      <c r="R30" s="97"/>
      <c r="S30" s="193" t="str">
        <f>+IF(Tabla2587901201356330[[#This Row],[Equipment]]="","",Q30*R30/10^6)</f>
        <v/>
      </c>
      <c r="T30" s="587"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15"/>
      <c r="AR30" s="371"/>
    </row>
    <row r="31" spans="1:44" ht="16.25" customHeight="1" x14ac:dyDescent="0.2">
      <c r="A31" s="83"/>
      <c r="B31" s="103"/>
      <c r="C31" s="99"/>
      <c r="D31" s="208"/>
      <c r="E31" s="208"/>
      <c r="F31" s="158"/>
      <c r="G31" s="158"/>
      <c r="H31" s="395" t="str">
        <f>IF(Tabla2788911211366431[[#This Row],[Subtype]]="","",VLOOKUP(Tabla2788911211366431[[#This Row],[Subtype]],'Unit-X00 Equipment'!$E$13:$H$107,4,FALSE))</f>
        <v/>
      </c>
      <c r="I31" s="96"/>
      <c r="J31" s="96"/>
      <c r="K31" s="96"/>
      <c r="L31" s="96"/>
      <c r="M31" s="234"/>
      <c r="N31" s="158"/>
      <c r="O31" s="158"/>
      <c r="P31" s="158"/>
      <c r="Q31" s="158"/>
      <c r="R31" s="97"/>
      <c r="S31" s="193" t="str">
        <f>+IF(Tabla2587901201356330[[#This Row],[Equipment]]="","",Q31*R31/10^6)</f>
        <v/>
      </c>
      <c r="T31" s="587"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15"/>
      <c r="AR31" s="371"/>
    </row>
    <row r="32" spans="1:44" ht="16.25" customHeight="1" x14ac:dyDescent="0.2">
      <c r="A32" s="83"/>
      <c r="B32" s="103"/>
      <c r="C32" s="99"/>
      <c r="D32" s="208"/>
      <c r="E32" s="208"/>
      <c r="F32" s="158"/>
      <c r="G32" s="158"/>
      <c r="H32" s="395" t="str">
        <f>IF(Tabla2788911211366431[[#This Row],[Subtype]]="","",VLOOKUP(Tabla2788911211366431[[#This Row],[Subtype]],'Unit-X00 Equipment'!$E$13:$H$107,4,FALSE))</f>
        <v/>
      </c>
      <c r="I32" s="96"/>
      <c r="J32" s="96"/>
      <c r="K32" s="96"/>
      <c r="L32" s="96"/>
      <c r="M32" s="156"/>
      <c r="N32" s="96"/>
      <c r="O32" s="96"/>
      <c r="P32" s="152"/>
      <c r="Q32" s="153"/>
      <c r="R32" s="97"/>
      <c r="S32" s="193" t="str">
        <f>+IF(Tabla2587901201356330[[#This Row],[Equipment]]="","",Q32*R32/10^6)</f>
        <v/>
      </c>
      <c r="T32" s="587"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15"/>
      <c r="AR32" s="371"/>
    </row>
    <row r="33" spans="1:44" ht="16.25" customHeight="1" x14ac:dyDescent="0.2">
      <c r="A33" s="83"/>
      <c r="B33" s="103"/>
      <c r="C33" s="99"/>
      <c r="D33" s="208"/>
      <c r="E33" s="208"/>
      <c r="F33" s="158"/>
      <c r="G33" s="158"/>
      <c r="H33" s="395" t="str">
        <f>IF(Tabla2788911211366431[[#This Row],[Subtype]]="","",VLOOKUP(Tabla2788911211366431[[#This Row],[Subtype]],'Unit-X00 Equipment'!$E$13:$H$107,4,FALSE))</f>
        <v/>
      </c>
      <c r="I33" s="96"/>
      <c r="J33" s="96"/>
      <c r="K33" s="96"/>
      <c r="L33" s="96"/>
      <c r="M33" s="156"/>
      <c r="N33" s="96"/>
      <c r="O33" s="96"/>
      <c r="P33" s="158"/>
      <c r="Q33" s="153"/>
      <c r="R33" s="97"/>
      <c r="S33" s="193" t="str">
        <f>+IF(Tabla2587901201356330[[#This Row],[Equipment]]="","",Q33*R33/10^6)</f>
        <v/>
      </c>
      <c r="T33" s="587"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15"/>
      <c r="AR33" s="371"/>
    </row>
    <row r="34" spans="1:44" ht="16.25" customHeight="1" x14ac:dyDescent="0.2">
      <c r="A34" s="83"/>
      <c r="B34" s="103"/>
      <c r="C34" s="363"/>
      <c r="D34" s="208"/>
      <c r="E34" s="208"/>
      <c r="F34" s="158"/>
      <c r="G34" s="158"/>
      <c r="H34" s="395" t="str">
        <f>IF(Tabla2788911211366431[[#This Row],[Subtype]]="","",VLOOKUP(Tabla2788911211366431[[#This Row],[Subtype]],'Unit-X00 Equipment'!$E$13:$H$107,4,FALSE))</f>
        <v/>
      </c>
      <c r="I34" s="96"/>
      <c r="J34" s="96"/>
      <c r="K34" s="96"/>
      <c r="L34" s="96"/>
      <c r="M34" s="156"/>
      <c r="N34" s="96"/>
      <c r="O34" s="96"/>
      <c r="P34" s="96"/>
      <c r="Q34" s="153"/>
      <c r="R34" s="97"/>
      <c r="S34" s="193" t="str">
        <f>+IF(Tabla2587901201356330[[#This Row],[Equipment]]="","",Q34*R34/10^6)</f>
        <v/>
      </c>
      <c r="T34" s="587" t="e">
        <f t="shared" ca="1" si="0"/>
        <v>#VALUE!</v>
      </c>
      <c r="U34" s="83"/>
      <c r="V34" s="112"/>
      <c r="W34" s="914" t="str">
        <f>+E6&amp;" Calculations"</f>
        <v>Steam cycle &amp; CWT Calculations</v>
      </c>
      <c r="X34" s="915"/>
      <c r="Y34" s="915"/>
      <c r="Z34" s="915"/>
      <c r="AA34" s="915"/>
      <c r="AB34" s="915"/>
      <c r="AC34" s="915"/>
      <c r="AD34" s="915"/>
      <c r="AE34" s="915"/>
      <c r="AF34" s="915"/>
      <c r="AG34" s="915"/>
      <c r="AH34" s="915"/>
      <c r="AI34" s="915"/>
      <c r="AJ34" s="915"/>
      <c r="AK34" s="915"/>
      <c r="AL34" s="915"/>
      <c r="AM34" s="915"/>
      <c r="AN34" s="916"/>
      <c r="AO34" s="104"/>
      <c r="AP34" s="83"/>
      <c r="AQ34" s="215"/>
      <c r="AR34" s="371"/>
    </row>
    <row r="35" spans="1:44" ht="16.25" customHeight="1" x14ac:dyDescent="0.2">
      <c r="A35" s="83"/>
      <c r="B35" s="103"/>
      <c r="C35" s="363"/>
      <c r="D35" s="208"/>
      <c r="E35" s="208"/>
      <c r="F35" s="158"/>
      <c r="G35" s="158"/>
      <c r="H35" s="395" t="str">
        <f>IF(Tabla2788911211366431[[#This Row],[Subtype]]="","",VLOOKUP(Tabla2788911211366431[[#This Row],[Subtype]],'Unit-X00 Equipment'!$E$13:$H$107,4,FALSE))</f>
        <v/>
      </c>
      <c r="I35" s="96"/>
      <c r="J35" s="96"/>
      <c r="K35" s="96"/>
      <c r="L35" s="96"/>
      <c r="M35" s="156"/>
      <c r="N35" s="96"/>
      <c r="O35" s="96"/>
      <c r="P35" s="96"/>
      <c r="Q35" s="153"/>
      <c r="R35" s="97"/>
      <c r="S35" s="193" t="str">
        <f>+IF(Tabla2587901201356330[[#This Row],[Equipment]]="","",Q35*R35/10^6)</f>
        <v/>
      </c>
      <c r="T35" s="587" t="e">
        <f t="shared" ca="1" si="0"/>
        <v>#VALUE!</v>
      </c>
      <c r="U35" s="83"/>
      <c r="V35" s="311"/>
      <c r="W35" s="395"/>
      <c r="X35" s="395"/>
      <c r="Y35" s="395"/>
      <c r="Z35" s="395"/>
      <c r="AA35" s="395"/>
      <c r="AB35" s="96"/>
      <c r="AC35" s="395"/>
      <c r="AD35" s="395"/>
      <c r="AE35" s="395"/>
      <c r="AF35" s="395"/>
      <c r="AG35" s="395"/>
      <c r="AH35" s="395"/>
      <c r="AI35" s="395"/>
      <c r="AJ35" s="395"/>
      <c r="AK35" s="395"/>
      <c r="AL35" s="395"/>
      <c r="AM35" s="395"/>
      <c r="AN35" s="395"/>
      <c r="AO35" s="104"/>
      <c r="AP35" s="83"/>
      <c r="AQ35" s="215"/>
      <c r="AR35" s="371"/>
    </row>
    <row r="36" spans="1:44" ht="16.25" customHeight="1" x14ac:dyDescent="0.2">
      <c r="A36" s="83"/>
      <c r="B36" s="103"/>
      <c r="C36" s="363"/>
      <c r="D36" s="208"/>
      <c r="E36" s="208"/>
      <c r="F36" s="158"/>
      <c r="G36" s="158"/>
      <c r="H36" s="395" t="str">
        <f>IF(Tabla2788911211366431[[#This Row],[Subtype]]="","",VLOOKUP(Tabla2788911211366431[[#This Row],[Subtype]],'Unit-X00 Equipment'!$E$13:$H$107,4,FALSE))</f>
        <v/>
      </c>
      <c r="I36" s="96"/>
      <c r="J36" s="96"/>
      <c r="K36" s="96"/>
      <c r="L36" s="96"/>
      <c r="M36" s="156"/>
      <c r="N36" s="96"/>
      <c r="O36" s="96"/>
      <c r="P36" s="96"/>
      <c r="Q36" s="153"/>
      <c r="R36" s="97"/>
      <c r="S36" s="193" t="str">
        <f>+IF(Tabla2587901201356330[[#This Row],[Equipment]]="","",Q36*R36/10^6)</f>
        <v/>
      </c>
      <c r="T36" s="587" t="e">
        <f t="shared" ca="1" si="0"/>
        <v>#VALUE!</v>
      </c>
      <c r="U36" s="83"/>
      <c r="V36" s="311"/>
      <c r="W36" s="874" t="s">
        <v>194</v>
      </c>
      <c r="X36" s="875"/>
      <c r="Y36" s="876"/>
      <c r="Z36" s="874" t="s">
        <v>200</v>
      </c>
      <c r="AA36" s="876"/>
      <c r="AB36" s="874" t="s">
        <v>201</v>
      </c>
      <c r="AC36" s="876"/>
      <c r="AD36" s="318" t="s">
        <v>202</v>
      </c>
      <c r="AE36" s="667"/>
      <c r="AF36" s="667"/>
      <c r="AG36" s="667"/>
      <c r="AH36" s="667"/>
      <c r="AI36" s="667"/>
      <c r="AJ36" s="667"/>
      <c r="AK36" s="667"/>
      <c r="AL36" s="667"/>
      <c r="AM36" s="667"/>
      <c r="AN36" s="667"/>
      <c r="AO36" s="104"/>
      <c r="AP36" s="83"/>
      <c r="AQ36" s="215"/>
      <c r="AR36" s="371"/>
    </row>
    <row r="37" spans="1:44" ht="16.25" customHeight="1" x14ac:dyDescent="0.2">
      <c r="A37" s="83"/>
      <c r="B37" s="103"/>
      <c r="C37" s="363"/>
      <c r="D37" s="208"/>
      <c r="E37" s="208"/>
      <c r="F37" s="158"/>
      <c r="G37" s="158"/>
      <c r="H37" s="395" t="str">
        <f>IF(Tabla2788911211366431[[#This Row],[Subtype]]="","",VLOOKUP(Tabla2788911211366431[[#This Row],[Subtype]],'Unit-X00 Equipment'!$E$13:$H$107,4,FALSE))</f>
        <v/>
      </c>
      <c r="I37" s="96"/>
      <c r="J37" s="96"/>
      <c r="K37" s="96"/>
      <c r="L37" s="96"/>
      <c r="M37" s="156"/>
      <c r="N37" s="96"/>
      <c r="O37" s="96"/>
      <c r="P37" s="96"/>
      <c r="Q37" s="153"/>
      <c r="R37" s="97"/>
      <c r="S37" s="193" t="str">
        <f>+IF(Tabla2587901201356330[[#This Row],[Equipment]]="","",Q37*R37/10^6)</f>
        <v/>
      </c>
      <c r="T37" s="587" t="e">
        <f t="shared" ca="1" si="0"/>
        <v>#VALUE!</v>
      </c>
      <c r="U37" s="83"/>
      <c r="V37" s="311"/>
      <c r="W37" s="316" t="s">
        <v>203</v>
      </c>
      <c r="X37" s="316" t="s">
        <v>204</v>
      </c>
      <c r="Y37" s="316" t="s">
        <v>205</v>
      </c>
      <c r="Z37" s="641" t="s">
        <v>206</v>
      </c>
      <c r="AA37" s="641" t="s">
        <v>207</v>
      </c>
      <c r="AB37" s="642" t="s">
        <v>206</v>
      </c>
      <c r="AC37" s="641" t="s">
        <v>207</v>
      </c>
      <c r="AD37" s="166" t="s">
        <v>208</v>
      </c>
      <c r="AE37" s="210"/>
      <c r="AF37" s="210"/>
      <c r="AG37" s="210"/>
      <c r="AH37" s="210"/>
      <c r="AI37" s="210"/>
      <c r="AJ37" s="210"/>
      <c r="AK37" s="210"/>
      <c r="AL37" s="210"/>
      <c r="AM37" s="210"/>
      <c r="AN37" s="210"/>
      <c r="AO37" s="104"/>
      <c r="AP37" s="83"/>
      <c r="AQ37" s="215"/>
      <c r="AR37" s="371"/>
    </row>
    <row r="38" spans="1:44" ht="16.25" customHeight="1" x14ac:dyDescent="0.2">
      <c r="A38" s="83"/>
      <c r="B38" s="103"/>
      <c r="C38" s="363"/>
      <c r="D38" s="208"/>
      <c r="E38" s="208"/>
      <c r="F38" s="158"/>
      <c r="G38" s="158"/>
      <c r="H38" s="395" t="str">
        <f>IF(Tabla2788911211366431[[#This Row],[Subtype]]="","",VLOOKUP(Tabla2788911211366431[[#This Row],[Subtype]],'Unit-X00 Equipment'!$E$13:$H$107,4,FALSE))</f>
        <v/>
      </c>
      <c r="I38" s="96"/>
      <c r="J38" s="96"/>
      <c r="K38" s="96"/>
      <c r="L38" s="96"/>
      <c r="M38" s="156"/>
      <c r="N38" s="96"/>
      <c r="O38" s="96"/>
      <c r="P38" s="96"/>
      <c r="Q38" s="153"/>
      <c r="R38" s="97"/>
      <c r="S38" s="193" t="str">
        <f>+IF(Tabla2587901201356330[[#This Row],[Equipment]]="","",Q38*R38/10^6)</f>
        <v/>
      </c>
      <c r="T38" s="587" t="e">
        <f t="shared" ca="1" si="0"/>
        <v>#VALUE!</v>
      </c>
      <c r="U38" s="83"/>
      <c r="V38" s="311"/>
      <c r="W38" s="316" t="s">
        <v>416</v>
      </c>
      <c r="X38" s="316">
        <v>10213501.641838601</v>
      </c>
      <c r="Y38" s="309" t="s">
        <v>343</v>
      </c>
      <c r="Z38" s="538" t="s">
        <v>211</v>
      </c>
      <c r="AA38" s="730">
        <f>IF(Z38="Ph. Ch.",$Y$53,IF(Z38="Liquid",$Y$52,$Y$50*Z38^$Y$51))</f>
        <v>5000</v>
      </c>
      <c r="AB38" s="314" t="s">
        <v>341</v>
      </c>
      <c r="AC38" s="731">
        <f>IF(AB38="Ph. Ch.",$Y$53,IF(AB38="Liquid",$Y$52,$Y$50*AB38^$Y$51))</f>
        <v>1500</v>
      </c>
      <c r="AD38" s="735">
        <f>1/(1/AA38+1/AC38)</f>
        <v>1153.8461538461538</v>
      </c>
      <c r="AE38" s="210"/>
      <c r="AF38" s="681"/>
      <c r="AG38" s="681"/>
      <c r="AH38" s="681"/>
      <c r="AI38" s="681"/>
      <c r="AJ38" s="672"/>
      <c r="AK38" s="672"/>
      <c r="AL38" s="672"/>
      <c r="AM38" s="672"/>
      <c r="AN38" s="210"/>
      <c r="AO38" s="84"/>
      <c r="AP38" s="83"/>
      <c r="AQ38" s="215"/>
      <c r="AR38" s="371"/>
    </row>
    <row r="39" spans="1:44" ht="16.25" customHeight="1" x14ac:dyDescent="0.2">
      <c r="A39" s="83"/>
      <c r="B39" s="103"/>
      <c r="C39" s="92"/>
      <c r="D39" s="209"/>
      <c r="E39" s="209"/>
      <c r="F39" s="588"/>
      <c r="G39" s="588"/>
      <c r="H39" s="395" t="str">
        <f>IF(Tabla2788911211366431[[#This Row],[Subtype]]="","",VLOOKUP(Tabla2788911211366431[[#This Row],[Subtype]],'Unit-X00 Equipment'!$E$13:$H$107,4,FALSE))</f>
        <v/>
      </c>
      <c r="M39" s="235"/>
      <c r="Q39" s="236"/>
      <c r="R39" s="84"/>
      <c r="S39" s="193" t="str">
        <f>+IF(Tabla2587901201356330[[#This Row],[Equipment]]="","",Q39*R39/10^6)</f>
        <v/>
      </c>
      <c r="T39" s="587" t="e">
        <f t="shared" ca="1" si="0"/>
        <v>#VALUE!</v>
      </c>
      <c r="U39" s="83"/>
      <c r="V39" s="311"/>
      <c r="W39" s="395"/>
      <c r="X39" s="395"/>
      <c r="Y39" s="395"/>
      <c r="Z39" s="395"/>
      <c r="AA39" s="385"/>
      <c r="AB39" s="395"/>
      <c r="AC39" s="655"/>
      <c r="AD39" s="655"/>
      <c r="AE39" s="395"/>
      <c r="AF39" s="606"/>
      <c r="AG39" s="606"/>
      <c r="AH39" s="606"/>
      <c r="AI39" s="606"/>
      <c r="AJ39" s="606"/>
      <c r="AK39" s="606"/>
      <c r="AL39" s="606"/>
      <c r="AM39" s="606"/>
      <c r="AN39" s="395"/>
      <c r="AO39" s="104"/>
      <c r="AP39" s="83"/>
      <c r="AQ39" s="215"/>
      <c r="AR39" s="371"/>
    </row>
    <row r="40" spans="1:44" ht="16.25" customHeight="1" x14ac:dyDescent="0.2">
      <c r="A40" s="83"/>
      <c r="B40" s="103"/>
      <c r="C40" s="92"/>
      <c r="D40" s="209"/>
      <c r="E40" s="209"/>
      <c r="F40" s="588"/>
      <c r="G40" s="588"/>
      <c r="H40" s="395" t="str">
        <f>IF(Tabla2788911211366431[[#This Row],[Subtype]]="","",VLOOKUP(Tabla2788911211366431[[#This Row],[Subtype]],'Unit-X00 Equipment'!$E$13:$H$107,4,FALSE))</f>
        <v/>
      </c>
      <c r="M40" s="235"/>
      <c r="Q40" s="236"/>
      <c r="R40" s="84"/>
      <c r="S40" s="193" t="str">
        <f>+IF(Tabla2587901201356330[[#This Row],[Equipment]]="","",Q40*R40/10^6)</f>
        <v/>
      </c>
      <c r="T40" s="587" t="e">
        <f t="shared" ca="1" si="0"/>
        <v>#VALUE!</v>
      </c>
      <c r="U40" s="83"/>
      <c r="V40" s="311"/>
      <c r="W40" s="395"/>
      <c r="X40" s="395"/>
      <c r="Y40" s="395"/>
      <c r="Z40" s="395"/>
      <c r="AA40" s="385"/>
      <c r="AB40" s="395"/>
      <c r="AC40" s="655"/>
      <c r="AD40" s="655"/>
      <c r="AE40" s="395"/>
      <c r="AF40" s="395"/>
      <c r="AG40" s="655"/>
      <c r="AH40" s="395"/>
      <c r="AI40" s="655"/>
      <c r="AJ40" s="395"/>
      <c r="AK40" s="655"/>
      <c r="AL40" s="395"/>
      <c r="AM40" s="385"/>
      <c r="AN40" s="655"/>
      <c r="AO40" s="104"/>
      <c r="AP40" s="83"/>
      <c r="AQ40" s="215"/>
      <c r="AR40" s="371"/>
    </row>
    <row r="41" spans="1:44" ht="16.25" customHeight="1" x14ac:dyDescent="0.2">
      <c r="A41" s="83"/>
      <c r="B41" s="103"/>
      <c r="C41" s="99"/>
      <c r="D41" s="208"/>
      <c r="E41" s="208"/>
      <c r="F41" s="158"/>
      <c r="G41" s="158"/>
      <c r="H41" s="395" t="str">
        <f>IF(Tabla2788911211366431[[#This Row],[Subtype]]="","",VLOOKUP(Tabla2788911211366431[[#This Row],[Subtype]],'Unit-X00 Equipment'!$E$13:$H$107,4,FALSE))</f>
        <v/>
      </c>
      <c r="I41" s="96"/>
      <c r="J41" s="96"/>
      <c r="K41" s="96"/>
      <c r="L41" s="96"/>
      <c r="M41" s="156"/>
      <c r="N41" s="96"/>
      <c r="O41" s="96"/>
      <c r="P41" s="152"/>
      <c r="Q41" s="153"/>
      <c r="R41" s="97"/>
      <c r="S41" s="193" t="str">
        <f>+IF(Tabla2587901201356330[[#This Row],[Equipment]]="","",Q41*R41/10^6)</f>
        <v/>
      </c>
      <c r="T41" s="587" t="e">
        <f t="shared" ca="1" si="0"/>
        <v>#VALUE!</v>
      </c>
      <c r="U41" s="83"/>
      <c r="V41" s="311"/>
      <c r="W41" s="395"/>
      <c r="X41" s="395"/>
      <c r="Y41" s="395"/>
      <c r="Z41" s="395"/>
      <c r="AA41" s="385"/>
      <c r="AB41" s="395"/>
      <c r="AC41" s="655"/>
      <c r="AD41" s="655"/>
      <c r="AE41" s="395"/>
      <c r="AF41" s="395"/>
      <c r="AG41" s="655"/>
      <c r="AH41" s="395"/>
      <c r="AI41" s="655"/>
      <c r="AJ41" s="395"/>
      <c r="AK41" s="395"/>
      <c r="AL41" s="395"/>
      <c r="AM41" s="395"/>
      <c r="AN41" s="655"/>
      <c r="AO41" s="104"/>
      <c r="AP41" s="83"/>
      <c r="AQ41" s="215"/>
      <c r="AR41" s="371"/>
    </row>
    <row r="42" spans="1:44" ht="16.25" customHeight="1" x14ac:dyDescent="0.2">
      <c r="A42" s="83"/>
      <c r="B42" s="103"/>
      <c r="C42" s="99"/>
      <c r="D42" s="208"/>
      <c r="E42" s="208"/>
      <c r="F42" s="158"/>
      <c r="G42" s="158"/>
      <c r="H42" s="395" t="str">
        <f>IF(Tabla2788911211366431[[#This Row],[Subtype]]="","",VLOOKUP(Tabla2788911211366431[[#This Row],[Subtype]],'Unit-X00 Equipment'!$E$13:$H$107,4,FALSE))</f>
        <v/>
      </c>
      <c r="I42" s="96"/>
      <c r="J42" s="96"/>
      <c r="K42" s="96"/>
      <c r="L42" s="96"/>
      <c r="M42" s="156"/>
      <c r="N42" s="96"/>
      <c r="O42" s="96"/>
      <c r="P42" s="158"/>
      <c r="Q42" s="153"/>
      <c r="R42" s="97"/>
      <c r="S42" s="193" t="str">
        <f>+IF(Tabla2587901201356330[[#This Row],[Equipment]]="","",Q42*R42/10^6)</f>
        <v/>
      </c>
      <c r="T42" s="587" t="e">
        <f t="shared" ca="1" si="0"/>
        <v>#VALUE!</v>
      </c>
      <c r="U42" s="83"/>
      <c r="V42" s="311"/>
      <c r="W42" s="395"/>
      <c r="X42" s="395"/>
      <c r="Y42" s="395"/>
      <c r="Z42" s="395"/>
      <c r="AA42" s="385"/>
      <c r="AB42" s="395"/>
      <c r="AC42" s="655"/>
      <c r="AD42" s="655"/>
      <c r="AE42" s="395"/>
      <c r="AF42" s="395"/>
      <c r="AG42" s="655"/>
      <c r="AH42" s="395"/>
      <c r="AI42" s="395"/>
      <c r="AJ42" s="395"/>
      <c r="AK42" s="395"/>
      <c r="AL42" s="395"/>
      <c r="AM42" s="395"/>
      <c r="AN42" s="655"/>
      <c r="AO42" s="104"/>
      <c r="AP42" s="83"/>
      <c r="AQ42" s="215"/>
      <c r="AR42" s="371"/>
    </row>
    <row r="43" spans="1:44" ht="16.25" customHeight="1" x14ac:dyDescent="0.2">
      <c r="A43" s="83"/>
      <c r="B43" s="103"/>
      <c r="C43" s="363"/>
      <c r="D43" s="208"/>
      <c r="E43" s="208"/>
      <c r="F43" s="158"/>
      <c r="G43" s="158"/>
      <c r="H43" s="395" t="str">
        <f>IF(Tabla2788911211366431[[#This Row],[Subtype]]="","",VLOOKUP(Tabla2788911211366431[[#This Row],[Subtype]],'Unit-X00 Equipment'!$E$13:$H$107,4,FALSE))</f>
        <v/>
      </c>
      <c r="I43" s="96"/>
      <c r="J43" s="96"/>
      <c r="K43" s="96"/>
      <c r="L43" s="96"/>
      <c r="M43" s="283"/>
      <c r="N43" s="275"/>
      <c r="O43" s="275"/>
      <c r="P43" s="275"/>
      <c r="Q43" s="284"/>
      <c r="R43" s="98"/>
      <c r="S43" s="193" t="str">
        <f>+IF(Tabla2587901201356330[[#This Row],[Equipment]]="","",Q43*R43/10^6)</f>
        <v/>
      </c>
      <c r="T43" s="587" t="e">
        <f t="shared" ca="1" si="0"/>
        <v>#VALUE!</v>
      </c>
      <c r="U43" s="83"/>
      <c r="V43" s="311"/>
      <c r="W43" s="395"/>
      <c r="X43" s="216"/>
      <c r="Y43" s="216"/>
      <c r="Z43" s="395"/>
      <c r="AA43" s="992"/>
      <c r="AB43" s="992"/>
      <c r="AC43" s="992"/>
      <c r="AD43" s="395"/>
      <c r="AE43" s="395"/>
      <c r="AF43" s="385"/>
      <c r="AG43" s="655"/>
      <c r="AH43" s="395"/>
      <c r="AI43" s="395"/>
      <c r="AJ43" s="395"/>
      <c r="AK43" s="395"/>
      <c r="AL43" s="395"/>
      <c r="AM43" s="395"/>
      <c r="AN43" s="655"/>
      <c r="AO43" s="104"/>
      <c r="AP43" s="83"/>
      <c r="AQ43" s="215"/>
      <c r="AR43" s="371"/>
    </row>
    <row r="44" spans="1:44" ht="16.25" customHeight="1" x14ac:dyDescent="0.2">
      <c r="A44" s="83"/>
      <c r="B44" s="103"/>
      <c r="C44" s="364"/>
      <c r="D44" s="918" t="s">
        <v>220</v>
      </c>
      <c r="E44" s="918"/>
      <c r="F44" s="918"/>
      <c r="G44" s="918"/>
      <c r="H44" s="918"/>
      <c r="I44" s="918"/>
      <c r="J44" s="918"/>
      <c r="K44" s="918"/>
      <c r="L44" s="918"/>
      <c r="M44" s="947"/>
      <c r="N44" s="947"/>
      <c r="O44" s="947"/>
      <c r="P44" s="947"/>
      <c r="Q44" s="947"/>
      <c r="R44" s="947"/>
      <c r="S44" s="180"/>
      <c r="T44" s="104"/>
      <c r="U44" s="83"/>
      <c r="V44" s="311"/>
      <c r="W44" s="395"/>
      <c r="X44" s="216"/>
      <c r="Y44" s="216"/>
      <c r="Z44" s="395"/>
      <c r="AA44" s="320"/>
      <c r="AB44" s="635"/>
      <c r="AC44" s="96"/>
      <c r="AD44" s="395"/>
      <c r="AE44" s="395"/>
      <c r="AF44" s="385"/>
      <c r="AG44" s="655"/>
      <c r="AH44" s="395"/>
      <c r="AI44" s="395"/>
      <c r="AJ44" s="395"/>
      <c r="AK44" s="395"/>
      <c r="AL44" s="395"/>
      <c r="AM44" s="395"/>
      <c r="AN44" s="655"/>
      <c r="AO44" s="104"/>
      <c r="AP44" s="83"/>
      <c r="AQ44" s="215"/>
      <c r="AR44" s="371"/>
    </row>
    <row r="45" spans="1:44" ht="16.25" customHeight="1" x14ac:dyDescent="0.2">
      <c r="A45" s="83"/>
      <c r="B45" s="103"/>
      <c r="C45" s="421" t="s">
        <v>223</v>
      </c>
      <c r="D45" s="415" t="s">
        <v>224</v>
      </c>
      <c r="E45" s="415" t="s">
        <v>225</v>
      </c>
      <c r="F45" s="571" t="s">
        <v>226</v>
      </c>
      <c r="G45" s="571" t="s">
        <v>50</v>
      </c>
      <c r="H45" s="571" t="s">
        <v>227</v>
      </c>
      <c r="I45" s="415" t="s">
        <v>228</v>
      </c>
      <c r="J45" s="415" t="s">
        <v>75</v>
      </c>
      <c r="K45" s="415" t="s">
        <v>155</v>
      </c>
      <c r="L45" s="415" t="s">
        <v>157</v>
      </c>
      <c r="M45" s="422" t="s">
        <v>229</v>
      </c>
      <c r="N45" s="423" t="s">
        <v>230</v>
      </c>
      <c r="O45" s="419" t="s">
        <v>231</v>
      </c>
      <c r="P45" s="415" t="s">
        <v>151</v>
      </c>
      <c r="Q45" s="415" t="s">
        <v>148</v>
      </c>
      <c r="R45" s="420" t="s">
        <v>144</v>
      </c>
      <c r="S45" s="420" t="s">
        <v>232</v>
      </c>
      <c r="T45" s="104"/>
      <c r="U45" s="83"/>
      <c r="V45" s="311"/>
      <c r="W45" s="395"/>
      <c r="X45" s="216"/>
      <c r="Y45" s="216"/>
      <c r="Z45" s="395"/>
      <c r="AA45" s="320"/>
      <c r="AB45" s="96"/>
      <c r="AC45" s="96"/>
      <c r="AD45" s="395"/>
      <c r="AE45" s="395"/>
      <c r="AF45" s="385"/>
      <c r="AG45" s="655"/>
      <c r="AH45" s="395"/>
      <c r="AI45" s="395"/>
      <c r="AJ45" s="395"/>
      <c r="AK45" s="395"/>
      <c r="AL45" s="395"/>
      <c r="AM45" s="395"/>
      <c r="AN45" s="655"/>
      <c r="AO45" s="104"/>
      <c r="AP45" s="83"/>
      <c r="AQ45" s="215"/>
      <c r="AR45" s="371"/>
    </row>
    <row r="46" spans="1:44" ht="16.25" customHeight="1" x14ac:dyDescent="0.2">
      <c r="A46" s="83"/>
      <c r="B46" s="103"/>
      <c r="C46" s="273" t="s">
        <v>540</v>
      </c>
      <c r="D46" s="276" t="s">
        <v>420</v>
      </c>
      <c r="E46" s="277" t="s">
        <v>541</v>
      </c>
      <c r="F46" s="277" t="s">
        <v>53</v>
      </c>
      <c r="G46" s="277">
        <v>2011</v>
      </c>
      <c r="H46" s="277" t="s">
        <v>48</v>
      </c>
      <c r="I46" s="277" t="s">
        <v>57</v>
      </c>
      <c r="J46" s="244">
        <v>1</v>
      </c>
      <c r="K46" s="277">
        <v>1</v>
      </c>
      <c r="L46" s="277">
        <v>0.67</v>
      </c>
      <c r="M46" s="276">
        <v>1</v>
      </c>
      <c r="N46" s="195">
        <v>200</v>
      </c>
      <c r="O46" s="198">
        <v>56.616</v>
      </c>
      <c r="P46" s="277">
        <v>1</v>
      </c>
      <c r="Q46" s="277">
        <v>0</v>
      </c>
      <c r="R46" s="193">
        <f>IF(ISBLANK(Q46),"",(P46/M46)^K46*O46*((Q46/P46)/(N46/M46))^L46)</f>
        <v>0</v>
      </c>
      <c r="S46" s="193" cm="1">
        <f t="array" aca="1" ref="S46" ca="1">IF(ISBLANK(Q46),"",IF(R46&gt;0,R46*INDIRECT(ADDRESS(MATCH(G46,'Cost Conversion'!$B$3:$B$48,0)+2,4,1,1,"Cost conversion"))*INDIRECT(ADDRESS(MATCH(H46,'Cost Conversion'!$F$3:$F$22,0)+2,8,1,1,"Cost conversion"))/IF(F46="$",'Cost Conversion'!$L$2,1),0))</f>
        <v>0</v>
      </c>
      <c r="T46" s="607">
        <f ca="1">+S46</f>
        <v>0</v>
      </c>
      <c r="U46" s="83"/>
      <c r="V46" s="311"/>
      <c r="W46" s="395"/>
      <c r="X46" s="216"/>
      <c r="Y46" s="216"/>
      <c r="Z46" s="395"/>
      <c r="AA46" s="320"/>
      <c r="AB46" s="96"/>
      <c r="AC46" s="96"/>
      <c r="AD46" s="395"/>
      <c r="AE46" s="395"/>
      <c r="AF46" s="385"/>
      <c r="AG46" s="655"/>
      <c r="AH46" s="395"/>
      <c r="AI46" s="395"/>
      <c r="AJ46" s="395"/>
      <c r="AK46" s="395"/>
      <c r="AL46" s="395"/>
      <c r="AM46" s="395"/>
      <c r="AN46" s="655"/>
      <c r="AO46" s="104"/>
      <c r="AP46" s="83"/>
      <c r="AQ46" s="215"/>
      <c r="AR46" s="371"/>
    </row>
    <row r="47" spans="1:44" ht="16.25" customHeight="1" x14ac:dyDescent="0.2">
      <c r="A47" s="83"/>
      <c r="B47" s="103"/>
      <c r="C47" s="273" t="s">
        <v>543</v>
      </c>
      <c r="D47" s="273" t="s">
        <v>544</v>
      </c>
      <c r="E47" s="96" t="s">
        <v>545</v>
      </c>
      <c r="F47" s="96" t="s">
        <v>236</v>
      </c>
      <c r="G47" s="96">
        <v>2007</v>
      </c>
      <c r="H47" s="96" t="s">
        <v>546</v>
      </c>
      <c r="I47" s="118" t="s">
        <v>548</v>
      </c>
      <c r="J47" s="118">
        <v>1</v>
      </c>
      <c r="K47" s="96">
        <v>1</v>
      </c>
      <c r="L47" s="96">
        <v>0.67</v>
      </c>
      <c r="M47" s="156">
        <v>1</v>
      </c>
      <c r="N47" s="158">
        <v>0.46888888888888891</v>
      </c>
      <c r="O47" s="96">
        <v>6.5369999999999999</v>
      </c>
      <c r="P47" s="153">
        <v>1</v>
      </c>
      <c r="Q47" s="96">
        <v>0</v>
      </c>
      <c r="R47" s="193">
        <f>IF(ISBLANK(Q47),"",(P47/M47)^K47*O47*((Q47/P47)/(N47/M47))^L47)</f>
        <v>0</v>
      </c>
      <c r="S47" s="193" cm="1">
        <f t="array" aca="1" ref="S47" ca="1">IF(ISBLANK(Q47),"",IF(R47&gt;0,R47*INDIRECT(ADDRESS(MATCH(G47,'Cost Conversion'!$B$3:$B$48,0)+2,4,1,1,"Cost conversion"))*INDIRECT(ADDRESS(MATCH(H47,'Cost Conversion'!$F$3:$F$22,0)+2,8,1,1,"Cost conversion"))/IF(F47="$",'Cost Conversion'!$L$2,1),0))</f>
        <v>0</v>
      </c>
      <c r="T47" s="607">
        <f t="shared" ref="T47:T50" ca="1" si="2">+S47</f>
        <v>0</v>
      </c>
      <c r="U47" s="83"/>
      <c r="V47" s="311"/>
      <c r="W47" s="395"/>
      <c r="X47" s="216"/>
      <c r="Y47" s="216"/>
      <c r="Z47" s="395"/>
      <c r="AA47" s="320"/>
      <c r="AB47" s="320"/>
      <c r="AC47" s="320"/>
      <c r="AD47" s="395"/>
      <c r="AE47" s="395"/>
      <c r="AF47" s="395"/>
      <c r="AG47" s="395"/>
      <c r="AH47" s="395"/>
      <c r="AI47" s="395"/>
      <c r="AJ47" s="395"/>
      <c r="AK47" s="395"/>
      <c r="AL47" s="395"/>
      <c r="AM47" s="395"/>
      <c r="AN47" s="395"/>
      <c r="AO47" s="104"/>
      <c r="AP47" s="83"/>
      <c r="AQ47" s="215"/>
      <c r="AR47" s="371"/>
    </row>
    <row r="48" spans="1:44" ht="16.25" customHeight="1" x14ac:dyDescent="0.2">
      <c r="A48" s="83"/>
      <c r="B48" s="103"/>
      <c r="C48" s="273" t="s">
        <v>549</v>
      </c>
      <c r="D48" s="273" t="s">
        <v>550</v>
      </c>
      <c r="E48" s="96" t="s">
        <v>545</v>
      </c>
      <c r="F48" s="96" t="s">
        <v>236</v>
      </c>
      <c r="G48" s="96">
        <v>2007</v>
      </c>
      <c r="H48" s="96" t="s">
        <v>546</v>
      </c>
      <c r="I48" s="96" t="s">
        <v>57</v>
      </c>
      <c r="J48" s="96">
        <v>1</v>
      </c>
      <c r="K48" s="96">
        <v>1</v>
      </c>
      <c r="L48" s="96">
        <v>0.67</v>
      </c>
      <c r="M48" s="273">
        <v>1</v>
      </c>
      <c r="N48" s="158">
        <v>276.3</v>
      </c>
      <c r="O48" s="96">
        <v>8.7170000000000005</v>
      </c>
      <c r="P48" s="96">
        <v>1</v>
      </c>
      <c r="Q48" s="152">
        <f>+(F13+F14+F15)/1000</f>
        <v>22.783123175544628</v>
      </c>
      <c r="R48" s="193">
        <f>IF(ISBLANK(Q48),"",(P48/M48)^K48*O48*((Q48/P48)/(N48/M48))^L48)</f>
        <v>1.6377316273118347</v>
      </c>
      <c r="S48" s="193" cm="1">
        <f t="array" aca="1" ref="S48" ca="1">IF(ISBLANK(Q48),"",IF(R48&gt;0,R48*INDIRECT(ADDRESS(MATCH(G48,'Cost Conversion'!$B$3:$B$48,0)+2,4,1,1,"Cost conversion"))*INDIRECT(ADDRESS(MATCH(H48,'Cost Conversion'!$F$3:$F$22,0)+2,8,1,1,"Cost conversion"))/IF(F48="$",'Cost Conversion'!$L$2,1),0))</f>
        <v>1.7250627675704089</v>
      </c>
      <c r="T48" s="607">
        <f t="shared" ca="1" si="2"/>
        <v>1.7250627675704089</v>
      </c>
      <c r="U48" s="83"/>
      <c r="V48" s="103"/>
      <c r="W48" s="210"/>
      <c r="X48" s="210"/>
      <c r="Y48" s="210"/>
      <c r="Z48" s="210"/>
      <c r="AA48" s="320"/>
      <c r="AB48" s="391"/>
      <c r="AC48" s="320"/>
      <c r="AD48" s="210"/>
      <c r="AE48" s="210"/>
      <c r="AF48" s="657"/>
      <c r="AG48" s="230" t="s">
        <v>252</v>
      </c>
      <c r="AH48" s="230" t="s">
        <v>2</v>
      </c>
      <c r="AI48" s="963" t="s">
        <v>82</v>
      </c>
      <c r="AJ48" s="964"/>
      <c r="AK48" s="964"/>
      <c r="AL48" s="964"/>
      <c r="AM48" s="964"/>
      <c r="AN48" s="965"/>
      <c r="AO48" s="104"/>
      <c r="AP48" s="83"/>
      <c r="AQ48" s="215"/>
      <c r="AR48" s="371"/>
    </row>
    <row r="49" spans="1:57" ht="16.25" customHeight="1" x14ac:dyDescent="0.2">
      <c r="A49" s="83"/>
      <c r="B49" s="103"/>
      <c r="C49" s="273" t="s">
        <v>551</v>
      </c>
      <c r="D49" s="273" t="s">
        <v>552</v>
      </c>
      <c r="E49" s="96" t="s">
        <v>553</v>
      </c>
      <c r="F49" s="96" t="s">
        <v>236</v>
      </c>
      <c r="G49" s="96">
        <v>2020</v>
      </c>
      <c r="H49" s="96" t="s">
        <v>237</v>
      </c>
      <c r="I49" s="96" t="s">
        <v>219</v>
      </c>
      <c r="J49" s="96">
        <v>1</v>
      </c>
      <c r="K49" s="96">
        <v>1</v>
      </c>
      <c r="L49" s="96">
        <v>1</v>
      </c>
      <c r="M49" s="273">
        <v>1</v>
      </c>
      <c r="N49" s="158">
        <v>1</v>
      </c>
      <c r="O49" s="152">
        <v>3.1700646282</v>
      </c>
      <c r="P49" s="153">
        <v>1</v>
      </c>
      <c r="Q49" s="715">
        <f>4172/995.6</f>
        <v>4.1904379268782641</v>
      </c>
      <c r="R49" s="193">
        <f>IF(ISBLANK(Q49),"",(P49/M49)^K49*O49*((Q49/P49)/(N49/M49))^L49)</f>
        <v>13.283959048664522</v>
      </c>
      <c r="S49" s="193" cm="1">
        <f t="array" aca="1" ref="S49" ca="1">IF(ISBLANK(Q49),"",IF(R49&gt;0,R49*INDIRECT(ADDRESS(MATCH(G49,'Cost Conversion'!$B$3:$B$48,0)+2,4,1,1,"Cost conversion"))*INDIRECT(ADDRESS(MATCH(H49,'Cost Conversion'!$F$3:$F$22,0)+2,8,1,1,"Cost conversion"))/IF(F49="$",'Cost Conversion'!$L$2,1),0))</f>
        <v>13.442994096638099</v>
      </c>
      <c r="T49" s="607">
        <f t="shared" ca="1" si="2"/>
        <v>13.442994096638099</v>
      </c>
      <c r="U49" s="83"/>
      <c r="V49" s="103"/>
      <c r="W49" s="966" t="s">
        <v>250</v>
      </c>
      <c r="X49" s="967"/>
      <c r="Y49" s="316" t="s">
        <v>251</v>
      </c>
      <c r="Z49" s="210"/>
      <c r="AA49" s="320"/>
      <c r="AB49" s="391"/>
      <c r="AC49" s="320"/>
      <c r="AD49" s="210"/>
      <c r="AE49" s="210"/>
      <c r="AF49" s="657"/>
      <c r="AG49" s="658"/>
      <c r="AH49" s="659"/>
      <c r="AI49" s="948"/>
      <c r="AJ49" s="949"/>
      <c r="AK49" s="949"/>
      <c r="AL49" s="949"/>
      <c r="AM49" s="949"/>
      <c r="AN49" s="950"/>
      <c r="AO49" s="104"/>
      <c r="AP49" s="83"/>
      <c r="AQ49" s="215"/>
      <c r="AR49" s="371"/>
    </row>
    <row r="50" spans="1:57" ht="16.25" customHeight="1" x14ac:dyDescent="0.2">
      <c r="A50" s="83"/>
      <c r="B50" s="103"/>
      <c r="C50" s="192"/>
      <c r="D50" s="273"/>
      <c r="E50" s="96"/>
      <c r="F50" s="96"/>
      <c r="G50" s="96"/>
      <c r="H50" s="96"/>
      <c r="I50" s="96"/>
      <c r="J50" s="96"/>
      <c r="K50" s="96"/>
      <c r="L50" s="96"/>
      <c r="M50" s="274"/>
      <c r="N50" s="275"/>
      <c r="O50" s="275"/>
      <c r="P50" s="275"/>
      <c r="Q50" s="275"/>
      <c r="R50" s="193" t="str">
        <f t="shared" ref="R50" si="3">IF(ISBLANK(Q50),"",(P50/M50)^K50*O50*((Q50/P50)/(N50/M50))^L50)</f>
        <v/>
      </c>
      <c r="S50" s="193" t="str" cm="1">
        <f t="array" aca="1" ref="S50" ca="1">IF(ISBLANK(Q50),"",IF(R50&gt;0,R50*INDIRECT(ADDRESS(MATCH(G50,'Cost Conversion'!$B$3:$B$48,0)+2,4,1,1,"Cost conversion"))*INDIRECT(ADDRESS(MATCH(H50,'Cost Conversion'!$F$3:$F$22,0)+2,8,1,1,"Cost conversion"))/IF(F50="$",'Cost Conversion'!$L$2,1),0))</f>
        <v/>
      </c>
      <c r="T50" s="660" t="str">
        <f t="shared" ca="1" si="2"/>
        <v/>
      </c>
      <c r="U50" s="83"/>
      <c r="V50" s="103"/>
      <c r="W50" s="968" t="s">
        <v>255</v>
      </c>
      <c r="X50" s="969"/>
      <c r="Y50" s="661">
        <v>40</v>
      </c>
      <c r="Z50" s="210"/>
      <c r="AA50" s="320"/>
      <c r="AB50" s="391"/>
      <c r="AC50" s="320"/>
      <c r="AD50" s="210"/>
      <c r="AE50" s="210"/>
      <c r="AF50" s="657"/>
      <c r="AG50" s="488"/>
      <c r="AH50" s="663"/>
      <c r="AI50" s="951"/>
      <c r="AJ50" s="952"/>
      <c r="AK50" s="952"/>
      <c r="AL50" s="952"/>
      <c r="AM50" s="952"/>
      <c r="AN50" s="953"/>
      <c r="AO50" s="104"/>
      <c r="AP50" s="83"/>
      <c r="AQ50" s="215"/>
      <c r="AR50" s="371"/>
    </row>
    <row r="51" spans="1:57" ht="16.25" customHeight="1" x14ac:dyDescent="0.2">
      <c r="A51" s="83"/>
      <c r="B51" s="103"/>
      <c r="C51" s="200"/>
      <c r="D51" s="274"/>
      <c r="E51" s="275"/>
      <c r="F51" s="275"/>
      <c r="G51" s="275"/>
      <c r="H51" s="275"/>
      <c r="I51" s="275"/>
      <c r="J51" s="275"/>
      <c r="K51" s="275"/>
      <c r="L51" s="98"/>
      <c r="M51" s="425" t="s">
        <v>272</v>
      </c>
      <c r="N51" s="418" t="s">
        <v>226</v>
      </c>
      <c r="O51" s="570" t="s">
        <v>50</v>
      </c>
      <c r="P51" s="943" t="s">
        <v>47</v>
      </c>
      <c r="Q51" s="944"/>
      <c r="R51" s="420" t="s">
        <v>273</v>
      </c>
      <c r="S51" s="426" t="s">
        <v>274</v>
      </c>
      <c r="T51" s="104"/>
      <c r="U51" s="83"/>
      <c r="V51" s="103"/>
      <c r="W51" s="892" t="s">
        <v>261</v>
      </c>
      <c r="X51" s="894"/>
      <c r="Y51" s="661">
        <v>0.7</v>
      </c>
      <c r="Z51" s="210"/>
      <c r="AA51" s="320"/>
      <c r="AB51" s="320"/>
      <c r="AC51" s="320"/>
      <c r="AD51" s="210"/>
      <c r="AE51" s="210"/>
      <c r="AF51" s="657"/>
      <c r="AG51" s="488"/>
      <c r="AH51" s="663"/>
      <c r="AI51" s="951"/>
      <c r="AJ51" s="952"/>
      <c r="AK51" s="952"/>
      <c r="AL51" s="952"/>
      <c r="AM51" s="952"/>
      <c r="AN51" s="953"/>
      <c r="AO51" s="104"/>
      <c r="AP51" s="83"/>
      <c r="AQ51" s="215"/>
      <c r="AR51" s="371"/>
    </row>
    <row r="52" spans="1:57" ht="16.25" customHeight="1" x14ac:dyDescent="0.2">
      <c r="A52" s="83"/>
      <c r="B52" s="103"/>
      <c r="C52" s="577"/>
      <c r="D52" s="365"/>
      <c r="E52" s="365"/>
      <c r="F52" s="365"/>
      <c r="G52" s="365"/>
      <c r="H52" s="365"/>
      <c r="I52" s="365"/>
      <c r="J52" s="365"/>
      <c r="K52" s="365"/>
      <c r="L52" s="573"/>
      <c r="M52" s="502" t="s">
        <v>276</v>
      </c>
      <c r="N52" s="409" t="s">
        <v>236</v>
      </c>
      <c r="O52" s="475">
        <v>2001</v>
      </c>
      <c r="P52" s="871" t="s">
        <v>237</v>
      </c>
      <c r="Q52" s="873"/>
      <c r="R52" s="427">
        <f>+IF(SUM(S13:S43)&gt;0,IF(G3="Equipment",SUM(S13:S43),"NaN"),"")</f>
        <v>8.7888691689627461</v>
      </c>
      <c r="S52" s="428" cm="1">
        <f t="array" aca="1" ref="S52" ca="1">+IF(R52="","",R52*INDIRECT(ADDRESS(MATCH(O52,'Cost Conversion'!$B$3:$B$48,0)+2,4,1,1,"Cost conversion"))*INDIRECT(ADDRESS(MATCH(P52,'Cost Conversion'!$F$3:$F$22,0)+2,8,1,1,"Cost conversion"))/IF(N52="$",'Cost Conversion'!$L$2,1))</f>
        <v>14.18588049998815</v>
      </c>
      <c r="T52" s="104"/>
      <c r="U52" s="83"/>
      <c r="V52" s="103"/>
      <c r="W52" s="892" t="s">
        <v>265</v>
      </c>
      <c r="X52" s="894"/>
      <c r="Y52" s="661">
        <v>1500</v>
      </c>
      <c r="Z52" s="210"/>
      <c r="AA52" s="320"/>
      <c r="AB52" s="320"/>
      <c r="AC52" s="320"/>
      <c r="AD52" s="210"/>
      <c r="AE52" s="210"/>
      <c r="AF52" s="657"/>
      <c r="AG52" s="488"/>
      <c r="AH52" s="663"/>
      <c r="AI52" s="951"/>
      <c r="AJ52" s="952"/>
      <c r="AK52" s="952"/>
      <c r="AL52" s="952"/>
      <c r="AM52" s="952"/>
      <c r="AN52" s="953"/>
      <c r="AO52" s="104"/>
      <c r="AP52" s="83"/>
      <c r="AQ52" s="215"/>
      <c r="AR52" s="371"/>
    </row>
    <row r="53" spans="1:57" ht="16.25" customHeight="1" x14ac:dyDescent="0.2">
      <c r="A53" s="83"/>
      <c r="B53" s="103"/>
      <c r="C53" s="574"/>
      <c r="D53" s="575"/>
      <c r="E53" s="575"/>
      <c r="F53" s="575"/>
      <c r="G53" s="575"/>
      <c r="H53" s="575"/>
      <c r="I53" s="575"/>
      <c r="J53" s="575"/>
      <c r="K53" s="575"/>
      <c r="L53" s="576"/>
      <c r="M53" s="409" t="s">
        <v>278</v>
      </c>
      <c r="N53" s="127"/>
      <c r="O53" s="133"/>
      <c r="P53" s="871"/>
      <c r="Q53" s="873"/>
      <c r="R53" s="427" t="s">
        <v>187</v>
      </c>
      <c r="S53" s="428">
        <f ca="1">+IF(SUM(S46:S50)&gt;0,SUM(S46:S50),"")</f>
        <v>15.168056864208507</v>
      </c>
      <c r="T53" s="104"/>
      <c r="U53" s="83"/>
      <c r="V53" s="103"/>
      <c r="W53" s="945" t="s">
        <v>269</v>
      </c>
      <c r="X53" s="946"/>
      <c r="Y53" s="533">
        <v>5000</v>
      </c>
      <c r="Z53" s="210"/>
      <c r="AA53" s="320"/>
      <c r="AB53" s="320"/>
      <c r="AC53" s="320"/>
      <c r="AD53" s="210"/>
      <c r="AE53" s="210"/>
      <c r="AF53" s="657"/>
      <c r="AG53" s="490"/>
      <c r="AH53" s="666"/>
      <c r="AI53" s="954"/>
      <c r="AJ53" s="955"/>
      <c r="AK53" s="955"/>
      <c r="AL53" s="955"/>
      <c r="AM53" s="955"/>
      <c r="AN53" s="956"/>
      <c r="AO53" s="104"/>
      <c r="AP53" s="83"/>
      <c r="AQ53" s="215"/>
      <c r="AR53" s="371"/>
    </row>
    <row r="54" spans="1:57" ht="16.25" customHeight="1" x14ac:dyDescent="0.2">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474"/>
      <c r="AB54" s="474"/>
      <c r="AC54" s="474"/>
      <c r="AD54" s="106"/>
      <c r="AE54" s="106"/>
      <c r="AF54" s="106"/>
      <c r="AG54" s="106"/>
      <c r="AH54" s="106"/>
      <c r="AI54" s="106"/>
      <c r="AJ54" s="106"/>
      <c r="AK54" s="106"/>
      <c r="AL54" s="106"/>
      <c r="AM54" s="106"/>
      <c r="AN54" s="106"/>
      <c r="AO54" s="107"/>
      <c r="AP54" s="83"/>
      <c r="AQ54" s="215"/>
      <c r="AR54" s="371"/>
    </row>
    <row r="55" spans="1:57" ht="16.25" customHeight="1" x14ac:dyDescent="0.2">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15"/>
      <c r="AR55" s="371"/>
    </row>
    <row r="56" spans="1:57" ht="16.25" customHeight="1" x14ac:dyDescent="0.2">
      <c r="A56" s="83"/>
      <c r="B56" s="917" t="str">
        <f>+"BEC Distribution: "&amp;E6</f>
        <v>BEC Distribution: Steam cycle &amp; CWT</v>
      </c>
      <c r="C56" s="918"/>
      <c r="D56" s="918"/>
      <c r="E56" s="918"/>
      <c r="F56" s="918"/>
      <c r="G56" s="919"/>
      <c r="H56" s="917" t="str">
        <f>"Estimate Benchmark: "&amp;E6</f>
        <v>Estimate Benchmark: Steam cycle &amp; CWT</v>
      </c>
      <c r="I56" s="918"/>
      <c r="J56" s="918"/>
      <c r="K56" s="918"/>
      <c r="L56" s="918"/>
      <c r="M56" s="918"/>
      <c r="N56" s="919"/>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15"/>
      <c r="AR56" s="371"/>
    </row>
    <row r="57" spans="1:57" ht="16.25" customHeight="1" x14ac:dyDescent="0.2">
      <c r="A57" s="83"/>
      <c r="B57" s="100"/>
      <c r="C57" s="101"/>
      <c r="D57" s="101"/>
      <c r="E57" s="101"/>
      <c r="F57" s="101"/>
      <c r="G57" s="102"/>
      <c r="H57" s="100"/>
      <c r="I57" s="101"/>
      <c r="J57" s="101"/>
      <c r="K57" s="101"/>
      <c r="L57" s="101"/>
      <c r="M57" s="101"/>
      <c r="N57" s="102"/>
      <c r="O57" s="161"/>
      <c r="P57" s="376"/>
      <c r="Q57" s="376"/>
      <c r="R57" s="215"/>
      <c r="S57" s="372"/>
      <c r="T57" s="215"/>
      <c r="U57" s="215"/>
      <c r="V57" s="215"/>
      <c r="W57" s="215"/>
      <c r="X57" s="215"/>
      <c r="Y57" s="215"/>
      <c r="Z57" s="215"/>
      <c r="AA57" s="215"/>
      <c r="AB57" s="215"/>
      <c r="AC57" s="215"/>
      <c r="AD57" s="215"/>
      <c r="AE57" s="215"/>
      <c r="AF57" s="215"/>
      <c r="AG57" s="215"/>
      <c r="AH57" s="215"/>
      <c r="AI57" s="215"/>
      <c r="AJ57" s="215"/>
      <c r="AK57" s="215"/>
      <c r="AL57" s="215"/>
      <c r="AM57" s="215"/>
      <c r="AN57" s="215"/>
      <c r="AO57" s="215"/>
      <c r="AP57" s="215"/>
      <c r="AQ57" s="215"/>
      <c r="AR57" s="371"/>
      <c r="AS57" s="372"/>
      <c r="AT57" s="372"/>
      <c r="AU57" s="372"/>
      <c r="AV57" s="372"/>
      <c r="AW57" s="372"/>
      <c r="AX57" s="372"/>
      <c r="AY57" s="372"/>
      <c r="AZ57" s="372"/>
      <c r="BA57" s="372"/>
      <c r="BB57" s="372"/>
      <c r="BC57" s="372"/>
      <c r="BD57" s="372"/>
      <c r="BE57" s="372"/>
    </row>
    <row r="58" spans="1:57" ht="16.25" customHeight="1" x14ac:dyDescent="0.2">
      <c r="A58" s="83"/>
      <c r="B58" s="103"/>
      <c r="C58" s="83"/>
      <c r="D58" s="83"/>
      <c r="E58" s="83"/>
      <c r="F58" s="83"/>
      <c r="G58" s="104"/>
      <c r="H58" s="103"/>
      <c r="I58" s="83"/>
      <c r="J58" s="83"/>
      <c r="K58" s="83"/>
      <c r="L58" s="83"/>
      <c r="M58" s="83"/>
      <c r="N58" s="104"/>
      <c r="O58" s="164"/>
      <c r="P58" s="376"/>
      <c r="Q58" s="376"/>
      <c r="R58" s="215"/>
      <c r="S58" s="372"/>
      <c r="T58" s="215"/>
      <c r="U58" s="215"/>
      <c r="V58" s="215"/>
      <c r="W58" s="215"/>
      <c r="X58" s="215"/>
      <c r="Y58" s="215"/>
      <c r="Z58" s="215"/>
      <c r="AA58" s="215"/>
      <c r="AB58" s="215"/>
      <c r="AC58" s="215"/>
      <c r="AD58" s="215"/>
      <c r="AE58" s="215"/>
      <c r="AF58" s="215"/>
      <c r="AG58" s="215"/>
      <c r="AH58" s="215"/>
      <c r="AI58" s="215"/>
      <c r="AJ58" s="215"/>
      <c r="AK58" s="215"/>
      <c r="AL58" s="215"/>
      <c r="AM58" s="215"/>
      <c r="AN58" s="215"/>
      <c r="AO58" s="215"/>
      <c r="AP58" s="215"/>
      <c r="AQ58" s="215"/>
      <c r="AR58" s="371"/>
      <c r="AS58" s="372"/>
      <c r="AT58" s="372"/>
      <c r="AU58" s="372"/>
      <c r="AV58" s="372"/>
      <c r="AW58" s="372"/>
      <c r="AX58" s="372"/>
      <c r="AY58" s="372"/>
      <c r="AZ58" s="372"/>
      <c r="BA58" s="372"/>
      <c r="BB58" s="372"/>
      <c r="BC58" s="372"/>
      <c r="BD58" s="372"/>
      <c r="BE58" s="372"/>
    </row>
    <row r="59" spans="1:57" ht="16.25" customHeight="1" x14ac:dyDescent="0.2">
      <c r="A59" s="83"/>
      <c r="B59" s="103"/>
      <c r="C59" s="83"/>
      <c r="D59" s="83"/>
      <c r="E59" s="83"/>
      <c r="F59" s="83"/>
      <c r="G59" s="104"/>
      <c r="H59" s="103"/>
      <c r="I59" s="83"/>
      <c r="J59" s="83"/>
      <c r="K59" s="83"/>
      <c r="L59" s="83"/>
      <c r="M59" s="83"/>
      <c r="N59" s="104"/>
      <c r="O59" s="160"/>
      <c r="P59" s="215"/>
      <c r="Q59" s="215"/>
      <c r="R59" s="215"/>
      <c r="S59" s="215"/>
      <c r="T59" s="215"/>
      <c r="U59" s="215"/>
      <c r="V59" s="215"/>
      <c r="W59" s="215"/>
      <c r="X59" s="215"/>
      <c r="Y59" s="215"/>
      <c r="Z59" s="215"/>
      <c r="AA59" s="215"/>
      <c r="AB59" s="215"/>
      <c r="AC59" s="215"/>
      <c r="AD59" s="215"/>
      <c r="AE59" s="215"/>
      <c r="AF59" s="215"/>
      <c r="AG59" s="215"/>
      <c r="AH59" s="215"/>
      <c r="AI59" s="215"/>
      <c r="AJ59" s="215"/>
      <c r="AK59" s="215"/>
      <c r="AL59" s="215"/>
      <c r="AM59" s="215"/>
      <c r="AN59" s="215"/>
      <c r="AO59" s="215"/>
      <c r="AP59" s="215"/>
      <c r="AQ59" s="215"/>
      <c r="AR59" s="371"/>
      <c r="AS59" s="372"/>
      <c r="AT59" s="372"/>
      <c r="AU59" s="372"/>
      <c r="AV59" s="372"/>
      <c r="AW59" s="372"/>
      <c r="AX59" s="372"/>
      <c r="AY59" s="372"/>
      <c r="AZ59" s="372"/>
      <c r="BA59" s="372"/>
      <c r="BB59" s="372"/>
      <c r="BC59" s="372"/>
      <c r="BD59" s="372"/>
      <c r="BE59" s="372"/>
    </row>
    <row r="60" spans="1:57" ht="16.25" customHeight="1" x14ac:dyDescent="0.2">
      <c r="A60" s="83"/>
      <c r="B60" s="103"/>
      <c r="C60" s="83"/>
      <c r="D60" s="83"/>
      <c r="E60" s="83"/>
      <c r="F60" s="83"/>
      <c r="G60" s="104"/>
      <c r="H60" s="103"/>
      <c r="I60" s="83"/>
      <c r="J60" s="83"/>
      <c r="K60" s="83"/>
      <c r="L60" s="83"/>
      <c r="M60" s="83"/>
      <c r="N60" s="104"/>
      <c r="O60" s="83"/>
      <c r="P60" s="215"/>
      <c r="Q60" s="215"/>
      <c r="R60" s="215"/>
      <c r="S60" s="215"/>
      <c r="T60" s="215"/>
      <c r="U60" s="215"/>
      <c r="V60" s="372"/>
      <c r="W60" s="215"/>
      <c r="X60" s="215"/>
      <c r="Y60" s="215"/>
      <c r="Z60" s="215"/>
      <c r="AA60" s="215"/>
      <c r="AB60" s="215"/>
      <c r="AC60" s="215"/>
      <c r="AD60" s="215"/>
      <c r="AE60" s="215"/>
      <c r="AF60" s="215"/>
      <c r="AG60" s="215"/>
      <c r="AH60" s="215"/>
      <c r="AI60" s="215"/>
      <c r="AJ60" s="215"/>
      <c r="AK60" s="215"/>
      <c r="AL60" s="215"/>
      <c r="AM60" s="215"/>
      <c r="AN60" s="215"/>
      <c r="AO60" s="215"/>
      <c r="AP60" s="215"/>
      <c r="AQ60" s="215"/>
      <c r="AR60" s="371"/>
      <c r="AS60" s="372"/>
      <c r="AT60" s="372"/>
      <c r="AU60" s="372"/>
      <c r="AV60" s="372"/>
      <c r="AW60" s="372"/>
      <c r="AX60" s="372"/>
      <c r="AY60" s="372"/>
      <c r="AZ60" s="372"/>
      <c r="BA60" s="372"/>
      <c r="BB60" s="372"/>
      <c r="BC60" s="372"/>
      <c r="BD60" s="372"/>
      <c r="BE60" s="372"/>
    </row>
    <row r="61" spans="1:57" ht="16.25" customHeight="1" x14ac:dyDescent="0.2">
      <c r="A61" s="83"/>
      <c r="B61" s="103"/>
      <c r="C61" s="83"/>
      <c r="D61" s="83"/>
      <c r="E61" s="83"/>
      <c r="F61" s="83"/>
      <c r="G61" s="104"/>
      <c r="H61" s="103"/>
      <c r="I61" s="83"/>
      <c r="J61" s="83"/>
      <c r="K61" s="83"/>
      <c r="L61" s="83"/>
      <c r="M61" s="83"/>
      <c r="N61" s="104"/>
      <c r="O61" s="83"/>
      <c r="P61" s="215"/>
      <c r="Q61" s="215"/>
      <c r="R61" s="215"/>
      <c r="S61" s="215"/>
      <c r="T61" s="215"/>
      <c r="U61" s="215"/>
      <c r="V61" s="215"/>
      <c r="W61" s="215"/>
      <c r="X61" s="215"/>
      <c r="Y61" s="215"/>
      <c r="Z61" s="215"/>
      <c r="AA61" s="215"/>
      <c r="AB61" s="215"/>
      <c r="AC61" s="215"/>
      <c r="AD61" s="215"/>
      <c r="AE61" s="215"/>
      <c r="AF61" s="215"/>
      <c r="AG61" s="215"/>
      <c r="AH61" s="215"/>
      <c r="AI61" s="215"/>
      <c r="AJ61" s="215"/>
      <c r="AK61" s="215"/>
      <c r="AL61" s="215"/>
      <c r="AM61" s="215"/>
      <c r="AN61" s="215"/>
      <c r="AO61" s="215"/>
      <c r="AP61" s="215"/>
      <c r="AQ61" s="215"/>
      <c r="AR61" s="371"/>
      <c r="AS61" s="372"/>
      <c r="AT61" s="372"/>
      <c r="AU61" s="372"/>
      <c r="AV61" s="372"/>
      <c r="AW61" s="372"/>
      <c r="AX61" s="372"/>
      <c r="AY61" s="372"/>
      <c r="AZ61" s="372"/>
      <c r="BA61" s="372"/>
      <c r="BB61" s="372"/>
      <c r="BC61" s="372"/>
      <c r="BD61" s="372"/>
      <c r="BE61" s="372"/>
    </row>
    <row r="62" spans="1:57" ht="16.25" customHeight="1" x14ac:dyDescent="0.2">
      <c r="A62" s="83"/>
      <c r="B62" s="103"/>
      <c r="C62" s="83"/>
      <c r="D62" s="83"/>
      <c r="E62" s="83"/>
      <c r="F62" s="83"/>
      <c r="G62" s="104"/>
      <c r="H62" s="103"/>
      <c r="I62" s="83"/>
      <c r="J62" s="83"/>
      <c r="K62" s="83"/>
      <c r="L62" s="83"/>
      <c r="M62" s="83"/>
      <c r="N62" s="104"/>
      <c r="O62" s="83"/>
      <c r="P62" s="215"/>
      <c r="Q62" s="215"/>
      <c r="R62" s="215"/>
      <c r="S62" s="215"/>
      <c r="T62" s="376"/>
      <c r="U62" s="215"/>
      <c r="V62" s="215"/>
      <c r="W62" s="215"/>
      <c r="X62" s="215"/>
      <c r="Y62" s="215"/>
      <c r="Z62" s="215"/>
      <c r="AA62" s="215"/>
      <c r="AB62" s="215"/>
      <c r="AC62" s="215"/>
      <c r="AD62" s="215"/>
      <c r="AE62" s="215"/>
      <c r="AF62" s="215"/>
      <c r="AG62" s="215"/>
      <c r="AH62" s="215"/>
      <c r="AI62" s="215"/>
      <c r="AJ62" s="215"/>
      <c r="AK62" s="215"/>
      <c r="AL62" s="215"/>
      <c r="AM62" s="215"/>
      <c r="AN62" s="215"/>
      <c r="AO62" s="215"/>
      <c r="AP62" s="215"/>
      <c r="AQ62" s="215"/>
      <c r="AR62" s="371"/>
      <c r="AS62" s="372"/>
      <c r="AT62" s="372"/>
      <c r="AU62" s="372"/>
      <c r="AV62" s="372"/>
      <c r="AW62" s="372"/>
      <c r="AX62" s="372"/>
      <c r="AY62" s="372"/>
      <c r="AZ62" s="372"/>
      <c r="BA62" s="372"/>
      <c r="BB62" s="372"/>
      <c r="BC62" s="372"/>
      <c r="BD62" s="372"/>
      <c r="BE62" s="372"/>
    </row>
    <row r="63" spans="1:57" ht="16.25" customHeight="1" x14ac:dyDescent="0.2">
      <c r="A63" s="83"/>
      <c r="B63" s="103"/>
      <c r="C63" s="83"/>
      <c r="D63" s="83"/>
      <c r="E63" s="83"/>
      <c r="F63" s="83"/>
      <c r="G63" s="104"/>
      <c r="H63" s="103"/>
      <c r="I63" s="83"/>
      <c r="J63" s="83"/>
      <c r="K63" s="83"/>
      <c r="L63" s="83"/>
      <c r="M63" s="83"/>
      <c r="N63" s="104"/>
      <c r="O63" s="83"/>
      <c r="P63" s="215"/>
      <c r="Q63" s="215"/>
      <c r="R63" s="215"/>
      <c r="S63" s="215"/>
      <c r="T63" s="376"/>
      <c r="U63" s="215"/>
      <c r="V63" s="215"/>
      <c r="W63" s="215"/>
      <c r="X63" s="215"/>
      <c r="Y63" s="215"/>
      <c r="Z63" s="215"/>
      <c r="AA63" s="215"/>
      <c r="AB63" s="215"/>
      <c r="AC63" s="215"/>
      <c r="AD63" s="215"/>
      <c r="AE63" s="215"/>
      <c r="AF63" s="215"/>
      <c r="AG63" s="215"/>
      <c r="AH63" s="215"/>
      <c r="AI63" s="215"/>
      <c r="AJ63" s="215"/>
      <c r="AK63" s="215"/>
      <c r="AL63" s="215"/>
      <c r="AM63" s="215"/>
      <c r="AN63" s="215"/>
      <c r="AO63" s="215"/>
      <c r="AP63" s="215"/>
      <c r="AQ63" s="215"/>
      <c r="AR63" s="371"/>
      <c r="AS63" s="372"/>
      <c r="AT63" s="372"/>
      <c r="AU63" s="372"/>
      <c r="AV63" s="372"/>
      <c r="AW63" s="372"/>
      <c r="AX63" s="372"/>
      <c r="AY63" s="372"/>
      <c r="AZ63" s="372"/>
      <c r="BA63" s="372"/>
      <c r="BB63" s="372"/>
      <c r="BC63" s="372"/>
      <c r="BD63" s="372"/>
      <c r="BE63" s="372"/>
    </row>
    <row r="64" spans="1:57" ht="16.25" customHeight="1" x14ac:dyDescent="0.2">
      <c r="A64" s="83"/>
      <c r="B64" s="103"/>
      <c r="C64" s="83"/>
      <c r="D64" s="83"/>
      <c r="E64" s="83"/>
      <c r="F64" s="83"/>
      <c r="G64" s="104"/>
      <c r="H64" s="103"/>
      <c r="I64" s="83"/>
      <c r="J64" s="83"/>
      <c r="K64" s="83"/>
      <c r="L64" s="83"/>
      <c r="M64" s="83"/>
      <c r="N64" s="104"/>
      <c r="O64" s="83"/>
      <c r="P64" s="215"/>
      <c r="Q64" s="215"/>
      <c r="R64" s="215"/>
      <c r="S64" s="215"/>
      <c r="T64" s="215"/>
      <c r="U64" s="215"/>
      <c r="V64" s="215"/>
      <c r="W64" s="215"/>
      <c r="X64" s="215"/>
      <c r="Y64" s="215"/>
      <c r="Z64" s="215"/>
      <c r="AA64" s="215"/>
      <c r="AB64" s="215"/>
      <c r="AC64" s="215"/>
      <c r="AD64" s="215"/>
      <c r="AE64" s="215"/>
      <c r="AF64" s="215"/>
      <c r="AG64" s="215"/>
      <c r="AH64" s="215"/>
      <c r="AI64" s="215"/>
      <c r="AJ64" s="215"/>
      <c r="AK64" s="215"/>
      <c r="AL64" s="215"/>
      <c r="AM64" s="215"/>
      <c r="AN64" s="215"/>
      <c r="AO64" s="215"/>
      <c r="AP64" s="215"/>
      <c r="AQ64" s="215"/>
      <c r="AR64" s="371"/>
      <c r="AS64" s="372"/>
      <c r="AT64" s="372"/>
      <c r="AU64" s="372"/>
      <c r="AV64" s="372"/>
      <c r="AW64" s="372"/>
      <c r="AX64" s="372"/>
      <c r="AY64" s="372"/>
      <c r="AZ64" s="372"/>
      <c r="BA64" s="372"/>
      <c r="BB64" s="372"/>
      <c r="BC64" s="372"/>
      <c r="BD64" s="372"/>
      <c r="BE64" s="372"/>
    </row>
    <row r="65" spans="1:57" ht="16.25" customHeight="1" x14ac:dyDescent="0.2">
      <c r="A65" s="83"/>
      <c r="B65" s="103"/>
      <c r="C65" s="83"/>
      <c r="D65" s="83"/>
      <c r="E65" s="83"/>
      <c r="F65" s="83"/>
      <c r="G65" s="104"/>
      <c r="H65" s="103"/>
      <c r="I65" s="83"/>
      <c r="J65" s="83"/>
      <c r="K65" s="83"/>
      <c r="L65" s="83"/>
      <c r="M65" s="83"/>
      <c r="N65" s="104"/>
      <c r="O65" s="83"/>
      <c r="P65" s="215"/>
      <c r="Q65" s="215"/>
      <c r="R65" s="215"/>
      <c r="S65" s="215"/>
      <c r="T65" s="215"/>
      <c r="U65" s="215"/>
      <c r="V65" s="215"/>
      <c r="W65" s="215"/>
      <c r="X65" s="215"/>
      <c r="Y65" s="215"/>
      <c r="Z65" s="215"/>
      <c r="AA65" s="215"/>
      <c r="AB65" s="215"/>
      <c r="AC65" s="215"/>
      <c r="AD65" s="215"/>
      <c r="AE65" s="215"/>
      <c r="AF65" s="215"/>
      <c r="AG65" s="215"/>
      <c r="AH65" s="215"/>
      <c r="AI65" s="215"/>
      <c r="AJ65" s="215"/>
      <c r="AK65" s="215"/>
      <c r="AL65" s="215"/>
      <c r="AM65" s="215"/>
      <c r="AN65" s="215"/>
      <c r="AO65" s="215"/>
      <c r="AP65" s="215"/>
      <c r="AQ65" s="215"/>
      <c r="AR65" s="371"/>
      <c r="AS65" s="372"/>
      <c r="AT65" s="372"/>
      <c r="AU65" s="372"/>
      <c r="AV65" s="372"/>
      <c r="AW65" s="372"/>
      <c r="AX65" s="372"/>
      <c r="AY65" s="372"/>
      <c r="AZ65" s="372"/>
      <c r="BA65" s="372"/>
      <c r="BB65" s="372"/>
      <c r="BC65" s="372"/>
      <c r="BD65" s="372"/>
      <c r="BE65" s="372"/>
    </row>
    <row r="66" spans="1:57" ht="16.25" customHeight="1" x14ac:dyDescent="0.2">
      <c r="A66" s="83"/>
      <c r="B66" s="103"/>
      <c r="C66" s="83"/>
      <c r="D66" s="83"/>
      <c r="E66" s="83"/>
      <c r="F66" s="83"/>
      <c r="G66" s="104"/>
      <c r="H66" s="103"/>
      <c r="I66" s="83"/>
      <c r="J66" s="83"/>
      <c r="K66" s="83"/>
      <c r="L66" s="83"/>
      <c r="M66" s="83"/>
      <c r="N66" s="104"/>
      <c r="O66" s="83"/>
      <c r="P66" s="215"/>
      <c r="Q66" s="215"/>
      <c r="R66" s="215"/>
      <c r="S66" s="215"/>
      <c r="T66" s="215"/>
      <c r="U66" s="215"/>
      <c r="V66" s="215"/>
      <c r="W66" s="215"/>
      <c r="X66" s="215"/>
      <c r="Y66" s="215"/>
      <c r="Z66" s="215"/>
      <c r="AA66" s="215"/>
      <c r="AB66" s="215"/>
      <c r="AC66" s="215"/>
      <c r="AD66" s="215"/>
      <c r="AE66" s="215"/>
      <c r="AF66" s="215"/>
      <c r="AG66" s="215"/>
      <c r="AH66" s="215"/>
      <c r="AI66" s="215"/>
      <c r="AJ66" s="215"/>
      <c r="AK66" s="215"/>
      <c r="AL66" s="215"/>
      <c r="AM66" s="215"/>
      <c r="AN66" s="215"/>
      <c r="AO66" s="215"/>
      <c r="AP66" s="215"/>
      <c r="AQ66" s="215"/>
      <c r="AR66" s="371"/>
      <c r="AS66" s="372"/>
      <c r="AT66" s="372"/>
      <c r="AU66" s="372"/>
      <c r="AV66" s="372"/>
      <c r="AW66" s="372"/>
      <c r="AX66" s="372"/>
      <c r="AY66" s="372"/>
      <c r="AZ66" s="372"/>
      <c r="BA66" s="372"/>
      <c r="BB66" s="372"/>
      <c r="BC66" s="372"/>
      <c r="BD66" s="372"/>
      <c r="BE66" s="372"/>
    </row>
    <row r="67" spans="1:57" ht="16.25" customHeight="1" x14ac:dyDescent="0.2">
      <c r="A67" s="83"/>
      <c r="B67" s="103"/>
      <c r="C67" s="83"/>
      <c r="D67" s="83"/>
      <c r="E67" s="83"/>
      <c r="F67" s="83"/>
      <c r="G67" s="104"/>
      <c r="H67" s="103"/>
      <c r="I67" s="83"/>
      <c r="J67" s="83"/>
      <c r="K67" s="83"/>
      <c r="L67" s="83"/>
      <c r="M67" s="83"/>
      <c r="N67" s="104"/>
      <c r="O67" s="83"/>
      <c r="P67" s="215"/>
      <c r="Q67" s="215"/>
      <c r="R67" s="215"/>
      <c r="S67" s="215"/>
      <c r="T67" s="215"/>
      <c r="U67" s="215"/>
      <c r="V67" s="215"/>
      <c r="W67" s="215"/>
      <c r="X67" s="215"/>
      <c r="Y67" s="215"/>
      <c r="Z67" s="215"/>
      <c r="AA67" s="215"/>
      <c r="AB67" s="215"/>
      <c r="AC67" s="215"/>
      <c r="AD67" s="215"/>
      <c r="AE67" s="215"/>
      <c r="AF67" s="215"/>
      <c r="AG67" s="215"/>
      <c r="AH67" s="215"/>
      <c r="AI67" s="215"/>
      <c r="AJ67" s="215"/>
      <c r="AK67" s="215"/>
      <c r="AL67" s="215"/>
      <c r="AM67" s="215"/>
      <c r="AN67" s="215"/>
      <c r="AO67" s="215"/>
      <c r="AP67" s="215"/>
      <c r="AQ67" s="215"/>
      <c r="AR67" s="371"/>
      <c r="AS67" s="372"/>
      <c r="AT67" s="372"/>
      <c r="AU67" s="372"/>
      <c r="AV67" s="372"/>
      <c r="AW67" s="372"/>
      <c r="AX67" s="372"/>
      <c r="AY67" s="372"/>
      <c r="AZ67" s="372"/>
      <c r="BA67" s="372"/>
      <c r="BB67" s="372"/>
      <c r="BC67" s="372"/>
      <c r="BD67" s="372"/>
      <c r="BE67" s="372"/>
    </row>
    <row r="68" spans="1:57" ht="16.25" customHeight="1" x14ac:dyDescent="0.2">
      <c r="A68" s="83"/>
      <c r="B68" s="103"/>
      <c r="C68" s="83"/>
      <c r="D68" s="83"/>
      <c r="E68" s="83"/>
      <c r="F68" s="83"/>
      <c r="G68" s="104"/>
      <c r="H68" s="103"/>
      <c r="I68" s="83"/>
      <c r="J68" s="83"/>
      <c r="K68" s="83"/>
      <c r="L68" s="83"/>
      <c r="M68" s="83"/>
      <c r="N68" s="104"/>
      <c r="O68" s="161"/>
      <c r="P68" s="376"/>
      <c r="Q68" s="376"/>
      <c r="R68" s="376"/>
      <c r="S68" s="376"/>
      <c r="T68" s="376"/>
      <c r="U68" s="377"/>
      <c r="V68" s="371"/>
      <c r="W68" s="371"/>
      <c r="X68" s="371"/>
      <c r="Y68" s="215"/>
      <c r="Z68" s="215"/>
      <c r="AA68" s="215"/>
      <c r="AB68" s="215"/>
      <c r="AC68" s="215"/>
      <c r="AD68" s="215"/>
      <c r="AE68" s="215"/>
      <c r="AF68" s="215"/>
      <c r="AG68" s="215"/>
      <c r="AH68" s="215"/>
      <c r="AI68" s="215"/>
      <c r="AJ68" s="215"/>
      <c r="AK68" s="215"/>
      <c r="AL68" s="215"/>
      <c r="AM68" s="215"/>
      <c r="AN68" s="215"/>
      <c r="AO68" s="215"/>
      <c r="AP68" s="215"/>
      <c r="AQ68" s="215"/>
      <c r="AR68" s="371"/>
      <c r="AS68" s="372"/>
      <c r="AT68" s="372"/>
      <c r="AU68" s="372"/>
      <c r="AV68" s="372"/>
      <c r="AW68" s="372"/>
      <c r="AX68" s="372"/>
      <c r="AY68" s="372"/>
      <c r="AZ68" s="372"/>
      <c r="BA68" s="372"/>
      <c r="BB68" s="372"/>
      <c r="BC68" s="372"/>
      <c r="BD68" s="372"/>
      <c r="BE68" s="372"/>
    </row>
    <row r="69" spans="1:57" ht="16.25" customHeight="1" x14ac:dyDescent="0.2">
      <c r="A69" s="83"/>
      <c r="B69" s="103"/>
      <c r="C69" s="83"/>
      <c r="D69" s="83"/>
      <c r="E69" s="83"/>
      <c r="F69" s="83"/>
      <c r="G69" s="104"/>
      <c r="H69" s="103"/>
      <c r="I69" s="83"/>
      <c r="J69" s="83"/>
      <c r="K69" s="83"/>
      <c r="L69" s="83"/>
      <c r="M69" s="83"/>
      <c r="N69" s="104"/>
      <c r="O69" s="161"/>
      <c r="P69" s="376"/>
      <c r="Q69" s="376"/>
      <c r="R69" s="376"/>
      <c r="S69" s="376"/>
      <c r="T69" s="376"/>
      <c r="U69" s="376"/>
      <c r="V69" s="376"/>
      <c r="W69" s="376"/>
      <c r="X69" s="376"/>
      <c r="Y69" s="215"/>
      <c r="Z69" s="215"/>
      <c r="AA69" s="215"/>
      <c r="AB69" s="215"/>
      <c r="AC69" s="215"/>
      <c r="AD69" s="215"/>
      <c r="AE69" s="215"/>
      <c r="AF69" s="215"/>
      <c r="AG69" s="215"/>
      <c r="AH69" s="215"/>
      <c r="AI69" s="215"/>
      <c r="AJ69" s="215"/>
      <c r="AK69" s="215"/>
      <c r="AL69" s="215"/>
      <c r="AM69" s="215"/>
      <c r="AN69" s="215"/>
      <c r="AO69" s="215"/>
      <c r="AP69" s="215"/>
      <c r="AQ69" s="215"/>
      <c r="AR69" s="371"/>
      <c r="AS69" s="372"/>
      <c r="AT69" s="372"/>
      <c r="AU69" s="372"/>
      <c r="AV69" s="372"/>
      <c r="AW69" s="372"/>
      <c r="AX69" s="372"/>
      <c r="AY69" s="372"/>
      <c r="AZ69" s="372"/>
      <c r="BA69" s="372"/>
      <c r="BB69" s="372"/>
      <c r="BC69" s="372"/>
      <c r="BD69" s="372"/>
      <c r="BE69" s="372"/>
    </row>
    <row r="70" spans="1:57" ht="16.25" customHeight="1" x14ac:dyDescent="0.2">
      <c r="A70" s="83"/>
      <c r="B70" s="103"/>
      <c r="C70" s="83"/>
      <c r="D70" s="83"/>
      <c r="E70" s="83"/>
      <c r="F70" s="83"/>
      <c r="G70" s="104"/>
      <c r="H70" s="103"/>
      <c r="I70" s="83"/>
      <c r="J70" s="83"/>
      <c r="K70" s="83"/>
      <c r="L70" s="83"/>
      <c r="M70" s="83"/>
      <c r="N70" s="104"/>
      <c r="O70" s="161"/>
      <c r="P70" s="374"/>
      <c r="Q70" s="376"/>
      <c r="R70" s="377"/>
      <c r="S70" s="377"/>
      <c r="T70" s="377"/>
      <c r="U70" s="377"/>
      <c r="V70" s="377"/>
      <c r="W70" s="376"/>
      <c r="X70" s="376"/>
      <c r="Y70" s="215"/>
      <c r="Z70" s="215"/>
      <c r="AA70" s="215"/>
      <c r="AB70" s="215"/>
      <c r="AC70" s="215"/>
      <c r="AD70" s="215"/>
      <c r="AE70" s="215"/>
      <c r="AF70" s="215"/>
      <c r="AG70" s="215"/>
      <c r="AH70" s="215"/>
      <c r="AI70" s="215"/>
      <c r="AJ70" s="215"/>
      <c r="AK70" s="215"/>
      <c r="AL70" s="215"/>
      <c r="AM70" s="215"/>
      <c r="AN70" s="215"/>
      <c r="AO70" s="215"/>
      <c r="AP70" s="215"/>
      <c r="AQ70" s="215"/>
      <c r="AR70" s="371"/>
      <c r="AS70" s="372"/>
      <c r="AT70" s="372"/>
      <c r="AU70" s="372"/>
      <c r="AV70" s="372"/>
      <c r="AW70" s="372"/>
      <c r="AX70" s="372"/>
      <c r="AY70" s="372"/>
      <c r="AZ70" s="372"/>
      <c r="BA70" s="372"/>
      <c r="BB70" s="372"/>
      <c r="BC70" s="372"/>
      <c r="BD70" s="372"/>
      <c r="BE70" s="372"/>
    </row>
    <row r="71" spans="1:57" ht="16.25" customHeight="1" x14ac:dyDescent="0.2">
      <c r="A71" s="83"/>
      <c r="B71" s="103"/>
      <c r="C71" s="83"/>
      <c r="D71" s="83"/>
      <c r="E71" s="83"/>
      <c r="F71" s="83"/>
      <c r="G71" s="104"/>
      <c r="H71" s="103"/>
      <c r="I71" s="83"/>
      <c r="J71" s="83"/>
      <c r="K71" s="83"/>
      <c r="L71" s="83"/>
      <c r="M71" s="83"/>
      <c r="N71" s="104"/>
      <c r="O71" s="83"/>
      <c r="P71" s="215"/>
      <c r="Q71" s="215"/>
      <c r="R71" s="215"/>
      <c r="S71" s="215"/>
      <c r="T71" s="215"/>
      <c r="U71" s="215"/>
      <c r="V71" s="215"/>
      <c r="W71" s="215"/>
      <c r="X71" s="215"/>
      <c r="Y71" s="215"/>
      <c r="Z71" s="215"/>
      <c r="AA71" s="215"/>
      <c r="AB71" s="215"/>
      <c r="AC71" s="215"/>
      <c r="AD71" s="215"/>
      <c r="AE71" s="215"/>
      <c r="AF71" s="215"/>
      <c r="AG71" s="215"/>
      <c r="AH71" s="215"/>
      <c r="AI71" s="215"/>
      <c r="AJ71" s="215"/>
      <c r="AK71" s="215"/>
      <c r="AL71" s="215"/>
      <c r="AM71" s="215"/>
      <c r="AN71" s="215"/>
      <c r="AO71" s="215"/>
      <c r="AP71" s="215"/>
      <c r="AQ71" s="215"/>
      <c r="AR71" s="371"/>
      <c r="AS71" s="372"/>
      <c r="AT71" s="372"/>
      <c r="AU71" s="372"/>
      <c r="AV71" s="372"/>
      <c r="AW71" s="372"/>
      <c r="AX71" s="372"/>
      <c r="AY71" s="372"/>
      <c r="AZ71" s="372"/>
      <c r="BA71" s="372"/>
      <c r="BB71" s="372"/>
      <c r="BC71" s="372"/>
      <c r="BD71" s="372"/>
      <c r="BE71" s="372"/>
    </row>
    <row r="72" spans="1:57" ht="16.25" customHeight="1" x14ac:dyDescent="0.2">
      <c r="A72" s="83"/>
      <c r="B72" s="103"/>
      <c r="C72" s="83"/>
      <c r="D72" s="83"/>
      <c r="E72" s="83"/>
      <c r="F72" s="83"/>
      <c r="G72" s="104"/>
      <c r="H72" s="103"/>
      <c r="I72" s="83"/>
      <c r="J72" s="83"/>
      <c r="K72" s="83"/>
      <c r="L72" s="83"/>
      <c r="M72" s="83"/>
      <c r="N72" s="104"/>
      <c r="O72" s="162"/>
      <c r="P72" s="371"/>
      <c r="Q72" s="371"/>
      <c r="R72" s="371"/>
      <c r="S72" s="371"/>
      <c r="T72" s="215"/>
      <c r="U72" s="215"/>
      <c r="V72" s="215"/>
      <c r="W72" s="215"/>
      <c r="X72" s="215"/>
      <c r="Y72" s="215"/>
      <c r="Z72" s="215"/>
      <c r="AA72" s="215"/>
      <c r="AB72" s="215"/>
      <c r="AC72" s="215"/>
      <c r="AD72" s="215"/>
      <c r="AE72" s="215"/>
      <c r="AF72" s="215"/>
      <c r="AG72" s="215"/>
      <c r="AH72" s="215"/>
      <c r="AI72" s="215"/>
      <c r="AJ72" s="215"/>
      <c r="AK72" s="215"/>
      <c r="AL72" s="215"/>
      <c r="AM72" s="215"/>
      <c r="AN72" s="215"/>
      <c r="AO72" s="215"/>
      <c r="AP72" s="215"/>
      <c r="AQ72" s="215"/>
      <c r="AR72" s="371"/>
      <c r="AS72" s="372"/>
      <c r="AT72" s="372"/>
      <c r="AU72" s="372"/>
      <c r="AV72" s="372"/>
      <c r="AW72" s="372"/>
      <c r="AX72" s="372"/>
      <c r="AY72" s="372"/>
      <c r="AZ72" s="372"/>
      <c r="BA72" s="372"/>
      <c r="BB72" s="372"/>
      <c r="BC72" s="372"/>
      <c r="BD72" s="372"/>
      <c r="BE72" s="372"/>
    </row>
    <row r="73" spans="1:57" ht="16.25" customHeight="1" x14ac:dyDescent="0.2">
      <c r="A73" s="83"/>
      <c r="B73" s="103"/>
      <c r="C73" s="83"/>
      <c r="D73" s="83"/>
      <c r="E73" s="83"/>
      <c r="F73" s="83"/>
      <c r="G73" s="104"/>
      <c r="H73" s="103"/>
      <c r="I73" s="83"/>
      <c r="J73" s="83"/>
      <c r="K73" s="83"/>
      <c r="L73" s="83"/>
      <c r="M73" s="83"/>
      <c r="N73" s="104"/>
      <c r="O73" s="162"/>
      <c r="P73" s="371"/>
      <c r="Q73" s="371"/>
      <c r="R73" s="371"/>
      <c r="S73" s="371"/>
      <c r="T73" s="215"/>
      <c r="U73" s="215"/>
      <c r="V73" s="215"/>
      <c r="W73" s="215"/>
      <c r="X73" s="215"/>
      <c r="Y73" s="215"/>
      <c r="Z73" s="215"/>
      <c r="AA73" s="215"/>
      <c r="AB73" s="215"/>
      <c r="AC73" s="215"/>
      <c r="AD73" s="215"/>
      <c r="AE73" s="215"/>
      <c r="AF73" s="215"/>
      <c r="AG73" s="215"/>
      <c r="AH73" s="215"/>
      <c r="AI73" s="215"/>
      <c r="AJ73" s="215"/>
      <c r="AK73" s="215"/>
      <c r="AL73" s="215"/>
      <c r="AM73" s="215"/>
      <c r="AN73" s="215"/>
      <c r="AO73" s="215"/>
      <c r="AP73" s="215"/>
      <c r="AQ73" s="215"/>
      <c r="AR73" s="371"/>
      <c r="AS73" s="372"/>
      <c r="AT73" s="372"/>
      <c r="AU73" s="372"/>
      <c r="AV73" s="372"/>
      <c r="AW73" s="372"/>
      <c r="AX73" s="372"/>
      <c r="AY73" s="372"/>
      <c r="AZ73" s="372"/>
      <c r="BA73" s="372"/>
      <c r="BB73" s="372"/>
      <c r="BC73" s="372"/>
      <c r="BD73" s="372"/>
      <c r="BE73" s="372"/>
    </row>
    <row r="74" spans="1:57" ht="16.25" customHeight="1" x14ac:dyDescent="0.2">
      <c r="A74" s="83"/>
      <c r="B74" s="103"/>
      <c r="C74" s="83"/>
      <c r="D74" s="83"/>
      <c r="E74" s="83"/>
      <c r="F74" s="83"/>
      <c r="G74" s="104"/>
      <c r="H74" s="103"/>
      <c r="I74" s="83"/>
      <c r="J74" s="83"/>
      <c r="K74" s="83"/>
      <c r="L74" s="83"/>
      <c r="M74" s="83"/>
      <c r="N74" s="104"/>
      <c r="O74" s="161"/>
      <c r="P74" s="376"/>
      <c r="Q74" s="376"/>
      <c r="R74" s="376"/>
      <c r="S74" s="376"/>
      <c r="T74" s="215"/>
      <c r="U74" s="215"/>
      <c r="V74" s="215"/>
      <c r="W74" s="215"/>
      <c r="X74" s="215"/>
      <c r="Y74" s="215"/>
      <c r="Z74" s="215"/>
      <c r="AA74" s="215"/>
      <c r="AB74" s="215"/>
      <c r="AC74" s="215"/>
      <c r="AD74" s="215"/>
      <c r="AE74" s="215"/>
      <c r="AF74" s="215"/>
      <c r="AG74" s="215"/>
      <c r="AH74" s="215"/>
      <c r="AI74" s="215"/>
      <c r="AJ74" s="215"/>
      <c r="AK74" s="215"/>
      <c r="AL74" s="215"/>
      <c r="AM74" s="215"/>
      <c r="AN74" s="215"/>
      <c r="AO74" s="215"/>
      <c r="AP74" s="215"/>
      <c r="AQ74" s="215"/>
      <c r="AR74" s="371"/>
      <c r="AS74" s="372"/>
      <c r="AT74" s="372"/>
      <c r="AU74" s="372"/>
      <c r="AV74" s="372"/>
      <c r="AW74" s="372"/>
      <c r="AX74" s="372"/>
      <c r="AY74" s="372"/>
      <c r="AZ74" s="372"/>
      <c r="BA74" s="372"/>
      <c r="BB74" s="372"/>
      <c r="BC74" s="372"/>
      <c r="BD74" s="372"/>
      <c r="BE74" s="372"/>
    </row>
    <row r="75" spans="1:57" ht="16.25" customHeight="1" x14ac:dyDescent="0.2">
      <c r="A75" s="83"/>
      <c r="B75" s="103"/>
      <c r="C75" s="83"/>
      <c r="D75" s="83"/>
      <c r="E75" s="83"/>
      <c r="F75" s="83"/>
      <c r="G75" s="104"/>
      <c r="H75" s="103"/>
      <c r="I75" s="83"/>
      <c r="J75" s="83"/>
      <c r="K75" s="83"/>
      <c r="L75" s="83"/>
      <c r="M75" s="83"/>
      <c r="N75" s="104"/>
      <c r="O75" s="163"/>
      <c r="P75" s="373"/>
      <c r="Q75" s="377"/>
      <c r="R75" s="376"/>
      <c r="S75" s="376"/>
      <c r="T75" s="215"/>
      <c r="U75" s="215"/>
      <c r="V75" s="215"/>
      <c r="W75" s="215"/>
      <c r="X75" s="215"/>
      <c r="Y75" s="215"/>
      <c r="Z75" s="215"/>
      <c r="AA75" s="215"/>
      <c r="AB75" s="215"/>
      <c r="AC75" s="215"/>
      <c r="AD75" s="215"/>
      <c r="AE75" s="215"/>
      <c r="AF75" s="215"/>
      <c r="AG75" s="215"/>
      <c r="AH75" s="215"/>
      <c r="AI75" s="215"/>
      <c r="AJ75" s="215"/>
      <c r="AK75" s="215"/>
      <c r="AL75" s="215"/>
      <c r="AM75" s="215"/>
      <c r="AN75" s="215"/>
      <c r="AO75" s="215"/>
      <c r="AP75" s="215"/>
      <c r="AQ75" s="215"/>
      <c r="AR75" s="371"/>
      <c r="AS75" s="372"/>
      <c r="AT75" s="372"/>
      <c r="AU75" s="372"/>
      <c r="AV75" s="372"/>
      <c r="AW75" s="372"/>
      <c r="AX75" s="372"/>
      <c r="AY75" s="372"/>
      <c r="AZ75" s="372"/>
      <c r="BA75" s="372"/>
      <c r="BB75" s="372"/>
      <c r="BC75" s="372"/>
      <c r="BD75" s="372"/>
      <c r="BE75" s="372"/>
    </row>
    <row r="76" spans="1:57" ht="16.25" customHeight="1" x14ac:dyDescent="0.2">
      <c r="A76" s="83"/>
      <c r="B76" s="103"/>
      <c r="C76" s="83"/>
      <c r="D76" s="83"/>
      <c r="E76" s="83"/>
      <c r="F76" s="83"/>
      <c r="G76" s="104"/>
      <c r="H76" s="103"/>
      <c r="I76" s="83"/>
      <c r="J76" s="83"/>
      <c r="K76" s="83"/>
      <c r="L76" s="83"/>
      <c r="M76" s="83"/>
      <c r="N76" s="104"/>
      <c r="O76" s="162"/>
      <c r="P76" s="371"/>
      <c r="Q76" s="371"/>
      <c r="R76" s="371"/>
      <c r="S76" s="371"/>
      <c r="T76" s="215"/>
      <c r="U76" s="215"/>
      <c r="V76" s="215"/>
      <c r="W76" s="215"/>
      <c r="X76" s="215"/>
      <c r="Y76" s="215"/>
      <c r="Z76" s="215"/>
      <c r="AA76" s="215"/>
      <c r="AB76" s="215"/>
      <c r="AC76" s="215"/>
      <c r="AD76" s="215"/>
      <c r="AE76" s="215"/>
      <c r="AF76" s="215"/>
      <c r="AG76" s="215"/>
      <c r="AH76" s="215"/>
      <c r="AI76" s="215"/>
      <c r="AJ76" s="215"/>
      <c r="AK76" s="215"/>
      <c r="AL76" s="215"/>
      <c r="AM76" s="215"/>
      <c r="AN76" s="215"/>
      <c r="AO76" s="215"/>
      <c r="AP76" s="215"/>
      <c r="AQ76" s="215"/>
      <c r="AR76" s="371"/>
      <c r="AS76" s="372"/>
      <c r="AT76" s="372"/>
      <c r="AU76" s="372"/>
      <c r="AV76" s="372"/>
      <c r="AW76" s="372"/>
      <c r="AX76" s="372"/>
      <c r="AY76" s="372"/>
      <c r="AZ76" s="372"/>
      <c r="BA76" s="372"/>
      <c r="BB76" s="372"/>
      <c r="BC76" s="372"/>
      <c r="BD76" s="372"/>
      <c r="BE76" s="372"/>
    </row>
    <row r="77" spans="1:57" ht="16.25" customHeight="1" x14ac:dyDescent="0.2">
      <c r="A77" s="83"/>
      <c r="B77" s="103"/>
      <c r="C77" s="83"/>
      <c r="D77" s="83"/>
      <c r="E77" s="83"/>
      <c r="F77" s="83"/>
      <c r="G77" s="104"/>
      <c r="H77" s="103"/>
      <c r="I77" s="83"/>
      <c r="J77" s="83"/>
      <c r="K77" s="83"/>
      <c r="L77" s="83"/>
      <c r="M77" s="83"/>
      <c r="N77" s="104"/>
      <c r="O77" s="162"/>
      <c r="P77" s="371"/>
      <c r="Q77" s="371"/>
      <c r="R77" s="371"/>
      <c r="S77" s="371"/>
      <c r="T77" s="215"/>
      <c r="U77" s="215"/>
      <c r="V77" s="215"/>
      <c r="W77" s="215"/>
      <c r="X77" s="215"/>
      <c r="Y77" s="215"/>
      <c r="Z77" s="215"/>
      <c r="AA77" s="215"/>
      <c r="AB77" s="215"/>
      <c r="AC77" s="215"/>
      <c r="AD77" s="215"/>
      <c r="AE77" s="215"/>
      <c r="AF77" s="215"/>
      <c r="AG77" s="215"/>
      <c r="AH77" s="215"/>
      <c r="AI77" s="215"/>
      <c r="AJ77" s="215"/>
      <c r="AK77" s="215"/>
      <c r="AL77" s="215"/>
      <c r="AM77" s="215"/>
      <c r="AN77" s="215"/>
      <c r="AO77" s="215"/>
      <c r="AP77" s="215"/>
      <c r="AQ77" s="215"/>
      <c r="AR77" s="371"/>
      <c r="AS77" s="372"/>
      <c r="AT77" s="372"/>
      <c r="AU77" s="372"/>
      <c r="AV77" s="372"/>
      <c r="AW77" s="372"/>
      <c r="AX77" s="372"/>
      <c r="AY77" s="372"/>
      <c r="AZ77" s="372"/>
      <c r="BA77" s="372"/>
      <c r="BB77" s="372"/>
      <c r="BC77" s="372"/>
      <c r="BD77" s="372"/>
      <c r="BE77" s="372"/>
    </row>
    <row r="78" spans="1:57" ht="16.25" customHeight="1" x14ac:dyDescent="0.2">
      <c r="A78" s="83"/>
      <c r="B78" s="103"/>
      <c r="C78" s="83"/>
      <c r="D78" s="83"/>
      <c r="E78" s="83"/>
      <c r="F78" s="83"/>
      <c r="G78" s="104"/>
      <c r="H78" s="103"/>
      <c r="I78" s="83"/>
      <c r="J78" s="83"/>
      <c r="K78" s="83"/>
      <c r="L78" s="83"/>
      <c r="M78" s="83"/>
      <c r="N78" s="104"/>
      <c r="O78" s="162"/>
      <c r="P78" s="371"/>
      <c r="Q78" s="371"/>
      <c r="R78" s="371"/>
      <c r="S78" s="371"/>
      <c r="T78" s="215"/>
      <c r="U78" s="215"/>
      <c r="V78" s="215"/>
      <c r="W78" s="215"/>
      <c r="X78" s="215"/>
      <c r="Y78" s="215"/>
      <c r="Z78" s="215"/>
      <c r="AA78" s="215"/>
      <c r="AB78" s="215"/>
      <c r="AC78" s="215"/>
      <c r="AD78" s="215"/>
      <c r="AE78" s="215"/>
      <c r="AF78" s="215"/>
      <c r="AG78" s="215"/>
      <c r="AH78" s="215"/>
      <c r="AI78" s="215"/>
      <c r="AJ78" s="215"/>
      <c r="AK78" s="215"/>
      <c r="AL78" s="215"/>
      <c r="AM78" s="215"/>
      <c r="AN78" s="215"/>
      <c r="AO78" s="215"/>
      <c r="AP78" s="215"/>
      <c r="AQ78" s="215"/>
      <c r="AR78" s="371"/>
      <c r="AS78" s="372"/>
      <c r="AT78" s="372"/>
      <c r="AU78" s="372"/>
      <c r="AV78" s="372"/>
      <c r="AW78" s="372"/>
      <c r="AX78" s="372"/>
      <c r="AY78" s="372"/>
      <c r="AZ78" s="372"/>
      <c r="BA78" s="372"/>
      <c r="BB78" s="372"/>
      <c r="BC78" s="372"/>
      <c r="BD78" s="372"/>
      <c r="BE78" s="372"/>
    </row>
    <row r="79" spans="1:57" ht="16.25" customHeight="1" x14ac:dyDescent="0.2">
      <c r="A79" s="83"/>
      <c r="B79" s="103"/>
      <c r="C79" s="83"/>
      <c r="D79" s="83"/>
      <c r="E79" s="83"/>
      <c r="F79" s="83"/>
      <c r="G79" s="104"/>
      <c r="H79" s="103"/>
      <c r="I79" s="83"/>
      <c r="J79" s="83"/>
      <c r="K79" s="83"/>
      <c r="L79" s="83"/>
      <c r="M79" s="83"/>
      <c r="N79" s="104"/>
      <c r="O79" s="162"/>
      <c r="P79" s="371"/>
      <c r="Q79" s="371"/>
      <c r="R79" s="371"/>
      <c r="S79" s="371"/>
      <c r="T79" s="215"/>
      <c r="U79" s="215"/>
      <c r="V79" s="215"/>
      <c r="W79" s="215"/>
      <c r="X79" s="215"/>
      <c r="Y79" s="215"/>
      <c r="Z79" s="215"/>
      <c r="AA79" s="215"/>
      <c r="AB79" s="215"/>
      <c r="AC79" s="215"/>
      <c r="AD79" s="215"/>
      <c r="AE79" s="215"/>
      <c r="AF79" s="215"/>
      <c r="AG79" s="215"/>
      <c r="AH79" s="215"/>
      <c r="AI79" s="215"/>
      <c r="AJ79" s="215"/>
      <c r="AK79" s="215"/>
      <c r="AL79" s="215"/>
      <c r="AM79" s="215"/>
      <c r="AN79" s="215"/>
      <c r="AO79" s="215"/>
      <c r="AP79" s="215"/>
      <c r="AQ79" s="215"/>
      <c r="AR79" s="371"/>
      <c r="AS79" s="372"/>
      <c r="AT79" s="372"/>
      <c r="AU79" s="372"/>
      <c r="AV79" s="372"/>
      <c r="AW79" s="372"/>
      <c r="AX79" s="372"/>
      <c r="AY79" s="372"/>
      <c r="AZ79" s="372"/>
      <c r="BA79" s="372"/>
      <c r="BB79" s="372"/>
      <c r="BC79" s="372"/>
      <c r="BD79" s="372"/>
      <c r="BE79" s="372"/>
    </row>
    <row r="80" spans="1:57" ht="16.25" customHeight="1" x14ac:dyDescent="0.2">
      <c r="A80" s="83"/>
      <c r="B80" s="933" t="s">
        <v>281</v>
      </c>
      <c r="C80" s="934"/>
      <c r="D80" s="934"/>
      <c r="E80" s="934"/>
      <c r="F80" s="934"/>
      <c r="G80" s="935"/>
      <c r="H80" s="116" t="s">
        <v>252</v>
      </c>
      <c r="I80" s="117" t="s">
        <v>2</v>
      </c>
      <c r="J80" s="939" t="s">
        <v>82</v>
      </c>
      <c r="K80" s="940"/>
      <c r="L80" s="940"/>
      <c r="M80" s="940"/>
      <c r="N80" s="941"/>
      <c r="O80" s="162"/>
      <c r="P80" s="371"/>
      <c r="Q80" s="371"/>
      <c r="R80" s="371"/>
      <c r="S80" s="371"/>
      <c r="T80" s="215"/>
      <c r="U80" s="215"/>
      <c r="V80" s="215"/>
      <c r="W80" s="215"/>
      <c r="X80" s="215"/>
      <c r="Y80" s="215"/>
      <c r="Z80" s="215"/>
      <c r="AA80" s="215"/>
      <c r="AB80" s="215"/>
      <c r="AC80" s="215"/>
      <c r="AD80" s="215"/>
      <c r="AE80" s="215"/>
      <c r="AF80" s="215"/>
      <c r="AG80" s="215"/>
      <c r="AH80" s="215"/>
      <c r="AI80" s="215"/>
      <c r="AJ80" s="215"/>
      <c r="AK80" s="215"/>
      <c r="AL80" s="215"/>
      <c r="AM80" s="215"/>
      <c r="AN80" s="215"/>
      <c r="AO80" s="215"/>
      <c r="AP80" s="215"/>
      <c r="AQ80" s="215"/>
      <c r="AR80" s="371"/>
      <c r="AS80" s="372"/>
      <c r="AT80" s="372"/>
      <c r="AU80" s="372"/>
      <c r="AV80" s="372"/>
      <c r="AW80" s="372"/>
      <c r="AX80" s="372"/>
      <c r="AY80" s="372"/>
      <c r="AZ80" s="372"/>
      <c r="BA80" s="372"/>
      <c r="BB80" s="372"/>
      <c r="BC80" s="372"/>
      <c r="BD80" s="372"/>
      <c r="BE80" s="372"/>
    </row>
    <row r="81" spans="1:57" ht="16.25" customHeight="1" x14ac:dyDescent="0.2">
      <c r="A81" s="83"/>
      <c r="B81" s="936"/>
      <c r="C81" s="937"/>
      <c r="D81" s="937"/>
      <c r="E81" s="937"/>
      <c r="F81" s="937"/>
      <c r="G81" s="938"/>
      <c r="H81" s="493"/>
      <c r="I81" s="110"/>
      <c r="J81" s="988"/>
      <c r="K81" s="989"/>
      <c r="L81" s="989"/>
      <c r="M81" s="989"/>
      <c r="N81" s="990"/>
      <c r="O81" s="83"/>
      <c r="P81" s="215"/>
      <c r="Q81" s="215"/>
      <c r="R81" s="215"/>
      <c r="S81" s="215"/>
      <c r="T81" s="215"/>
      <c r="U81" s="215"/>
      <c r="V81" s="215"/>
      <c r="W81" s="215"/>
      <c r="X81" s="215"/>
      <c r="Y81" s="215"/>
      <c r="Z81" s="215"/>
      <c r="AA81" s="215"/>
      <c r="AB81" s="215"/>
      <c r="AC81" s="215"/>
      <c r="AD81" s="215"/>
      <c r="AE81" s="215"/>
      <c r="AF81" s="215"/>
      <c r="AG81" s="215"/>
      <c r="AH81" s="215"/>
      <c r="AI81" s="215"/>
      <c r="AJ81" s="215"/>
      <c r="AK81" s="215"/>
      <c r="AL81" s="215"/>
      <c r="AM81" s="215"/>
      <c r="AN81" s="215"/>
      <c r="AO81" s="215"/>
      <c r="AP81" s="215"/>
      <c r="AQ81" s="215"/>
      <c r="AR81" s="371"/>
      <c r="AS81" s="372"/>
      <c r="AT81" s="372"/>
      <c r="AU81" s="372"/>
      <c r="AV81" s="372"/>
      <c r="AW81" s="372"/>
      <c r="AX81" s="372"/>
      <c r="AY81" s="372"/>
      <c r="AZ81" s="372"/>
      <c r="BA81" s="372"/>
      <c r="BB81" s="372"/>
      <c r="BC81" s="372"/>
      <c r="BD81" s="372"/>
      <c r="BE81" s="372"/>
    </row>
    <row r="82" spans="1:57" ht="16.25" customHeight="1" x14ac:dyDescent="0.2">
      <c r="A82" s="83"/>
      <c r="B82" s="83"/>
      <c r="C82" s="83"/>
      <c r="D82" s="83"/>
      <c r="E82" s="83"/>
      <c r="F82" s="83"/>
      <c r="G82" s="83"/>
      <c r="H82" s="83"/>
      <c r="I82" s="83"/>
      <c r="J82" s="83"/>
      <c r="K82" s="83"/>
      <c r="L82" s="83"/>
      <c r="M82" s="162"/>
      <c r="N82" s="165"/>
      <c r="O82" s="83"/>
      <c r="P82" s="215"/>
      <c r="Q82" s="215"/>
      <c r="R82" s="215"/>
      <c r="S82" s="215"/>
      <c r="T82" s="215"/>
      <c r="U82" s="215"/>
      <c r="V82" s="215"/>
      <c r="W82" s="215"/>
      <c r="X82" s="215"/>
      <c r="Y82" s="215"/>
      <c r="Z82" s="215"/>
      <c r="AA82" s="215"/>
      <c r="AB82" s="215"/>
      <c r="AC82" s="215"/>
      <c r="AD82" s="215"/>
      <c r="AE82" s="215"/>
      <c r="AF82" s="215"/>
      <c r="AG82" s="215"/>
      <c r="AH82" s="215"/>
      <c r="AI82" s="215"/>
      <c r="AJ82" s="215"/>
      <c r="AK82" s="215"/>
      <c r="AL82" s="215"/>
      <c r="AM82" s="215"/>
      <c r="AN82" s="215"/>
      <c r="AO82" s="215"/>
      <c r="AP82" s="215"/>
      <c r="AQ82" s="215"/>
      <c r="AR82" s="371"/>
      <c r="AS82" s="372"/>
      <c r="AT82" s="372"/>
      <c r="AU82" s="372"/>
      <c r="AV82" s="372"/>
      <c r="AW82" s="372"/>
      <c r="AX82" s="372"/>
      <c r="AY82" s="372"/>
      <c r="AZ82" s="372"/>
      <c r="BA82" s="372"/>
      <c r="BB82" s="372"/>
      <c r="BC82" s="372"/>
      <c r="BD82" s="372"/>
      <c r="BE82" s="372"/>
    </row>
    <row r="83" spans="1:57" x14ac:dyDescent="0.2">
      <c r="A83" s="83"/>
      <c r="B83" s="83"/>
      <c r="C83" s="83"/>
      <c r="D83" s="83"/>
      <c r="E83" s="83"/>
      <c r="F83" s="83"/>
      <c r="G83" s="83"/>
      <c r="H83" s="83"/>
      <c r="I83" s="83"/>
      <c r="J83" s="83"/>
      <c r="K83" s="83"/>
      <c r="L83" s="83"/>
      <c r="M83" s="162"/>
      <c r="N83" s="165"/>
      <c r="O83" s="83"/>
      <c r="P83" s="215"/>
      <c r="Q83" s="215"/>
      <c r="R83" s="215"/>
      <c r="S83" s="215"/>
      <c r="T83" s="215"/>
      <c r="U83" s="215"/>
      <c r="V83" s="215"/>
      <c r="W83" s="215"/>
      <c r="X83" s="215"/>
      <c r="Y83" s="215"/>
      <c r="Z83" s="215"/>
      <c r="AA83" s="215"/>
      <c r="AB83" s="215"/>
      <c r="AC83" s="215"/>
      <c r="AD83" s="215"/>
      <c r="AE83" s="215"/>
      <c r="AF83" s="215"/>
      <c r="AG83" s="215"/>
      <c r="AH83" s="215"/>
      <c r="AI83" s="215"/>
      <c r="AJ83" s="215"/>
      <c r="AK83" s="215"/>
      <c r="AL83" s="215"/>
      <c r="AM83" s="215"/>
      <c r="AN83" s="215"/>
      <c r="AO83" s="215"/>
      <c r="AP83" s="215"/>
      <c r="AQ83" s="215"/>
      <c r="AR83" s="371"/>
      <c r="AS83" s="372"/>
      <c r="AT83" s="372"/>
      <c r="AU83" s="372"/>
      <c r="AV83" s="372"/>
      <c r="AW83" s="372"/>
      <c r="AX83" s="372"/>
      <c r="AY83" s="372"/>
      <c r="AZ83" s="372"/>
      <c r="BA83" s="372"/>
      <c r="BB83" s="372"/>
      <c r="BC83" s="372"/>
      <c r="BD83" s="372"/>
      <c r="BE83" s="372"/>
    </row>
    <row r="84" spans="1:57" x14ac:dyDescent="0.2">
      <c r="P84" s="372"/>
      <c r="Q84" s="372"/>
      <c r="R84" s="372"/>
      <c r="S84" s="372"/>
      <c r="T84" s="372"/>
      <c r="U84" s="372"/>
      <c r="V84" s="372"/>
      <c r="W84" s="372"/>
      <c r="X84" s="372"/>
      <c r="Y84" s="372"/>
      <c r="Z84" s="372"/>
      <c r="AA84" s="372"/>
      <c r="AB84" s="372"/>
      <c r="AC84" s="372"/>
      <c r="AD84" s="372"/>
      <c r="AE84" s="372"/>
      <c r="AF84" s="372"/>
      <c r="AG84" s="372"/>
      <c r="AH84" s="372"/>
      <c r="AI84" s="372"/>
      <c r="AJ84" s="372"/>
      <c r="AK84" s="372"/>
      <c r="AL84" s="372"/>
      <c r="AM84" s="372"/>
      <c r="AN84" s="372"/>
      <c r="AO84" s="372"/>
      <c r="AP84" s="372"/>
      <c r="AS84" s="372"/>
      <c r="AT84" s="372"/>
      <c r="AU84" s="372"/>
      <c r="AV84" s="372"/>
      <c r="AW84" s="372"/>
      <c r="AX84" s="372"/>
      <c r="AY84" s="372"/>
      <c r="AZ84" s="372"/>
      <c r="BA84" s="372"/>
      <c r="BB84" s="372"/>
      <c r="BC84" s="372"/>
      <c r="BD84" s="372"/>
      <c r="BE84" s="372"/>
    </row>
    <row r="85" spans="1:57" x14ac:dyDescent="0.2">
      <c r="P85" s="372"/>
      <c r="Q85" s="372"/>
      <c r="R85" s="372"/>
      <c r="S85" s="372"/>
      <c r="T85" s="372"/>
      <c r="U85" s="372"/>
      <c r="V85" s="372"/>
      <c r="W85" s="372"/>
      <c r="X85" s="372"/>
      <c r="Y85" s="372"/>
      <c r="Z85" s="372"/>
      <c r="AA85" s="372"/>
      <c r="AB85" s="372"/>
      <c r="AC85" s="372"/>
      <c r="AD85" s="372"/>
      <c r="AE85" s="372"/>
      <c r="AF85" s="372"/>
      <c r="AG85" s="372"/>
      <c r="AH85" s="372"/>
      <c r="AI85" s="372"/>
      <c r="AJ85" s="372"/>
      <c r="AK85" s="372"/>
      <c r="AL85" s="372"/>
      <c r="AM85" s="372"/>
      <c r="AN85" s="372"/>
      <c r="AO85" s="372"/>
      <c r="AP85" s="372"/>
      <c r="AS85" s="372"/>
      <c r="AT85" s="372"/>
      <c r="AU85" s="372"/>
      <c r="AV85" s="372"/>
      <c r="AW85" s="372"/>
      <c r="AX85" s="372"/>
      <c r="AY85" s="372"/>
      <c r="AZ85" s="372"/>
      <c r="BA85" s="372"/>
      <c r="BB85" s="372"/>
      <c r="BC85" s="372"/>
      <c r="BD85" s="372"/>
      <c r="BE85" s="372"/>
    </row>
    <row r="86" spans="1:57" x14ac:dyDescent="0.2">
      <c r="P86" s="372"/>
      <c r="Q86" s="372"/>
      <c r="R86" s="372"/>
      <c r="S86" s="372"/>
      <c r="T86" s="372"/>
      <c r="U86" s="372"/>
      <c r="V86" s="372"/>
      <c r="W86" s="372"/>
      <c r="X86" s="372"/>
      <c r="Y86" s="372"/>
      <c r="Z86" s="372"/>
      <c r="AA86" s="372"/>
      <c r="AB86" s="372"/>
      <c r="AC86" s="372"/>
      <c r="AD86" s="372"/>
      <c r="AE86" s="372"/>
      <c r="AF86" s="372"/>
      <c r="AG86" s="372"/>
      <c r="AH86" s="372"/>
      <c r="AI86" s="372"/>
      <c r="AJ86" s="372"/>
      <c r="AK86" s="372"/>
      <c r="AL86" s="372"/>
      <c r="AM86" s="372"/>
      <c r="AN86" s="372"/>
      <c r="AO86" s="372"/>
      <c r="AP86" s="372"/>
      <c r="AS86" s="372"/>
      <c r="AT86" s="372"/>
      <c r="AU86" s="372"/>
      <c r="AV86" s="372"/>
      <c r="AW86" s="372"/>
      <c r="AX86" s="372"/>
      <c r="AY86" s="372"/>
      <c r="AZ86" s="372"/>
      <c r="BA86" s="372"/>
      <c r="BB86" s="372"/>
      <c r="BC86" s="372"/>
      <c r="BD86" s="372"/>
      <c r="BE86" s="372"/>
    </row>
    <row r="87" spans="1:57" x14ac:dyDescent="0.2">
      <c r="P87" s="372"/>
      <c r="Q87" s="372"/>
      <c r="R87" s="372"/>
      <c r="S87" s="372"/>
      <c r="T87" s="372"/>
      <c r="U87" s="372"/>
      <c r="V87" s="372"/>
      <c r="W87" s="372"/>
      <c r="X87" s="372"/>
      <c r="Y87" s="372"/>
      <c r="Z87" s="372"/>
      <c r="AA87" s="372"/>
      <c r="AB87" s="372"/>
      <c r="AC87" s="372"/>
      <c r="AD87" s="372"/>
      <c r="AE87" s="372"/>
      <c r="AF87" s="372"/>
      <c r="AG87" s="372"/>
      <c r="AH87" s="372"/>
      <c r="AI87" s="372"/>
      <c r="AJ87" s="372"/>
      <c r="AK87" s="372"/>
      <c r="AL87" s="372"/>
      <c r="AM87" s="372"/>
      <c r="AN87" s="372"/>
      <c r="AO87" s="372"/>
      <c r="AP87" s="372"/>
      <c r="AS87" s="372"/>
      <c r="AT87" s="372"/>
      <c r="AU87" s="372"/>
      <c r="AV87" s="372"/>
      <c r="AW87" s="372"/>
      <c r="AX87" s="372"/>
      <c r="AY87" s="372"/>
      <c r="AZ87" s="372"/>
      <c r="BA87" s="372"/>
      <c r="BB87" s="372"/>
      <c r="BC87" s="372"/>
      <c r="BD87" s="372"/>
      <c r="BE87" s="372"/>
    </row>
    <row r="88" spans="1:57" x14ac:dyDescent="0.2">
      <c r="P88" s="372"/>
      <c r="Q88" s="372"/>
      <c r="R88" s="372"/>
      <c r="S88" s="372"/>
      <c r="T88" s="372"/>
      <c r="U88" s="372"/>
      <c r="V88" s="372"/>
      <c r="W88" s="372"/>
      <c r="X88" s="372"/>
      <c r="Y88" s="372"/>
      <c r="Z88" s="372"/>
      <c r="AA88" s="372"/>
      <c r="AB88" s="372"/>
      <c r="AC88" s="372"/>
      <c r="AD88" s="372"/>
      <c r="AE88" s="372"/>
      <c r="AF88" s="372"/>
      <c r="AG88" s="372"/>
      <c r="AH88" s="372"/>
      <c r="AI88" s="372"/>
      <c r="AJ88" s="372"/>
      <c r="AK88" s="372"/>
      <c r="AL88" s="372"/>
      <c r="AM88" s="372"/>
      <c r="AN88" s="372"/>
      <c r="AO88" s="372"/>
      <c r="AP88" s="372"/>
      <c r="AS88" s="372"/>
      <c r="AT88" s="372"/>
      <c r="AU88" s="372"/>
      <c r="AV88" s="372"/>
      <c r="AW88" s="372"/>
      <c r="AX88" s="372"/>
      <c r="AY88" s="372"/>
      <c r="AZ88" s="372"/>
      <c r="BA88" s="372"/>
      <c r="BB88" s="372"/>
      <c r="BC88" s="372"/>
      <c r="BD88" s="372"/>
      <c r="BE88" s="372"/>
    </row>
    <row r="89" spans="1:57" x14ac:dyDescent="0.2">
      <c r="P89" s="372"/>
      <c r="Q89" s="372"/>
      <c r="R89" s="372"/>
      <c r="S89" s="372"/>
      <c r="T89" s="372"/>
      <c r="U89" s="372"/>
      <c r="V89" s="372"/>
      <c r="W89" s="372"/>
      <c r="X89" s="372"/>
      <c r="Y89" s="372"/>
      <c r="Z89" s="372"/>
      <c r="AA89" s="372"/>
      <c r="AB89" s="372"/>
      <c r="AC89" s="372"/>
      <c r="AD89" s="372"/>
      <c r="AE89" s="372"/>
      <c r="AF89" s="372"/>
      <c r="AG89" s="372"/>
      <c r="AH89" s="372"/>
      <c r="AI89" s="372"/>
      <c r="AJ89" s="372"/>
      <c r="AK89" s="372"/>
      <c r="AL89" s="372"/>
      <c r="AM89" s="372"/>
      <c r="AN89" s="372"/>
      <c r="AO89" s="372"/>
      <c r="AP89" s="372"/>
      <c r="AS89" s="372"/>
      <c r="AT89" s="372"/>
      <c r="AU89" s="372"/>
      <c r="AV89" s="372"/>
      <c r="AW89" s="372"/>
      <c r="AX89" s="372"/>
      <c r="AY89" s="372"/>
      <c r="AZ89" s="372"/>
      <c r="BA89" s="372"/>
      <c r="BB89" s="372"/>
      <c r="BC89" s="372"/>
      <c r="BD89" s="372"/>
      <c r="BE89" s="372"/>
    </row>
    <row r="90" spans="1:57" x14ac:dyDescent="0.2">
      <c r="P90" s="372"/>
      <c r="Q90" s="372"/>
      <c r="R90" s="372"/>
      <c r="S90" s="372"/>
      <c r="T90" s="372"/>
      <c r="U90" s="372"/>
      <c r="V90" s="372"/>
      <c r="W90" s="372"/>
      <c r="X90" s="372"/>
      <c r="Y90" s="372"/>
      <c r="Z90" s="372"/>
      <c r="AA90" s="372"/>
      <c r="AB90" s="372"/>
      <c r="AC90" s="372"/>
      <c r="AD90" s="372"/>
      <c r="AE90" s="372"/>
      <c r="AF90" s="372"/>
      <c r="AG90" s="372"/>
      <c r="AH90" s="372"/>
      <c r="AI90" s="372"/>
      <c r="AJ90" s="372"/>
      <c r="AK90" s="372"/>
      <c r="AL90" s="372"/>
      <c r="AM90" s="372"/>
      <c r="AN90" s="372"/>
      <c r="AO90" s="372"/>
      <c r="AP90" s="372"/>
      <c r="AS90" s="372"/>
      <c r="AT90" s="372"/>
      <c r="AU90" s="372"/>
      <c r="AV90" s="372"/>
      <c r="AW90" s="372"/>
      <c r="AX90" s="372"/>
      <c r="AY90" s="372"/>
      <c r="AZ90" s="372"/>
      <c r="BA90" s="372"/>
      <c r="BB90" s="372"/>
      <c r="BC90" s="372"/>
      <c r="BD90" s="372"/>
      <c r="BE90" s="372"/>
    </row>
    <row r="91" spans="1:57" x14ac:dyDescent="0.2">
      <c r="P91" s="372"/>
      <c r="Q91" s="372"/>
      <c r="R91" s="372"/>
      <c r="S91" s="372"/>
      <c r="T91" s="372"/>
      <c r="U91" s="372"/>
      <c r="V91" s="372"/>
      <c r="W91" s="372"/>
      <c r="X91" s="372"/>
      <c r="Y91" s="372"/>
      <c r="Z91" s="372"/>
      <c r="AA91" s="372"/>
      <c r="AB91" s="372"/>
      <c r="AC91" s="372"/>
      <c r="AD91" s="372"/>
      <c r="AE91" s="372"/>
      <c r="AF91" s="372"/>
      <c r="AG91" s="372"/>
      <c r="AH91" s="372"/>
      <c r="AI91" s="372"/>
      <c r="AJ91" s="372"/>
      <c r="AK91" s="372"/>
      <c r="AL91" s="372"/>
      <c r="AM91" s="372"/>
      <c r="AN91" s="372"/>
      <c r="AO91" s="372"/>
      <c r="AP91" s="372"/>
      <c r="AS91" s="372"/>
      <c r="AT91" s="372"/>
      <c r="AU91" s="372"/>
      <c r="AV91" s="372"/>
      <c r="AW91" s="372"/>
      <c r="AX91" s="372"/>
      <c r="AY91" s="372"/>
      <c r="AZ91" s="372"/>
      <c r="BA91" s="372"/>
      <c r="BB91" s="372"/>
      <c r="BC91" s="372"/>
      <c r="BD91" s="372"/>
      <c r="BE91" s="372"/>
    </row>
    <row r="92" spans="1:57" x14ac:dyDescent="0.2">
      <c r="P92" s="372"/>
      <c r="Q92" s="372"/>
      <c r="R92" s="372"/>
      <c r="S92" s="372"/>
      <c r="T92" s="372"/>
      <c r="U92" s="372"/>
      <c r="V92" s="372"/>
      <c r="W92" s="372"/>
      <c r="X92" s="372"/>
      <c r="Y92" s="372"/>
      <c r="Z92" s="372"/>
      <c r="AA92" s="372"/>
      <c r="AB92" s="372"/>
      <c r="AC92" s="372"/>
      <c r="AD92" s="372"/>
      <c r="AE92" s="372"/>
      <c r="AF92" s="372"/>
      <c r="AG92" s="372"/>
      <c r="AH92" s="372"/>
      <c r="AI92" s="372"/>
      <c r="AJ92" s="372"/>
      <c r="AK92" s="372"/>
      <c r="AL92" s="372"/>
      <c r="AM92" s="372"/>
      <c r="AN92" s="372"/>
      <c r="AO92" s="372"/>
      <c r="AP92" s="372"/>
      <c r="AS92" s="372"/>
      <c r="AT92" s="372"/>
      <c r="AU92" s="372"/>
      <c r="AV92" s="372"/>
      <c r="AW92" s="372"/>
      <c r="AX92" s="372"/>
      <c r="AY92" s="372"/>
      <c r="AZ92" s="372"/>
      <c r="BA92" s="372"/>
      <c r="BB92" s="372"/>
      <c r="BC92" s="372"/>
      <c r="BD92" s="372"/>
      <c r="BE92" s="372"/>
    </row>
    <row r="93" spans="1:57" x14ac:dyDescent="0.2">
      <c r="P93" s="372"/>
      <c r="Q93" s="372"/>
      <c r="R93" s="372"/>
      <c r="S93" s="372"/>
      <c r="T93" s="372"/>
      <c r="U93" s="372"/>
      <c r="V93" s="372"/>
      <c r="W93" s="372"/>
      <c r="X93" s="372"/>
      <c r="Y93" s="372"/>
      <c r="Z93" s="372"/>
      <c r="AA93" s="372"/>
      <c r="AB93" s="372"/>
      <c r="AC93" s="372"/>
      <c r="AD93" s="372"/>
      <c r="AE93" s="372"/>
      <c r="AF93" s="372"/>
      <c r="AG93" s="372"/>
      <c r="AH93" s="372"/>
      <c r="AI93" s="372"/>
      <c r="AJ93" s="372"/>
      <c r="AK93" s="372"/>
      <c r="AL93" s="372"/>
      <c r="AM93" s="372"/>
      <c r="AN93" s="372"/>
      <c r="AO93" s="372"/>
      <c r="AP93" s="372"/>
      <c r="AS93" s="372"/>
      <c r="AT93" s="372"/>
      <c r="AU93" s="372"/>
      <c r="AV93" s="372"/>
      <c r="AW93" s="372"/>
      <c r="AX93" s="372"/>
      <c r="AY93" s="372"/>
      <c r="AZ93" s="372"/>
      <c r="BA93" s="372"/>
      <c r="BB93" s="372"/>
      <c r="BC93" s="372"/>
      <c r="BD93" s="372"/>
      <c r="BE93" s="372"/>
    </row>
    <row r="94" spans="1:57" x14ac:dyDescent="0.2">
      <c r="P94" s="372"/>
      <c r="Q94" s="372"/>
      <c r="R94" s="372"/>
      <c r="S94" s="372"/>
      <c r="T94" s="372"/>
      <c r="U94" s="372"/>
      <c r="V94" s="372"/>
      <c r="W94" s="372"/>
      <c r="X94" s="372"/>
      <c r="Y94" s="372"/>
      <c r="Z94" s="372"/>
      <c r="AA94" s="372"/>
      <c r="AB94" s="372"/>
      <c r="AC94" s="372"/>
      <c r="AD94" s="372"/>
      <c r="AE94" s="372"/>
      <c r="AF94" s="372"/>
      <c r="AG94" s="372"/>
      <c r="AH94" s="372"/>
      <c r="AI94" s="372"/>
      <c r="AJ94" s="372"/>
      <c r="AK94" s="372"/>
      <c r="AL94" s="372"/>
      <c r="AM94" s="372"/>
      <c r="AN94" s="372"/>
      <c r="AO94" s="372"/>
      <c r="AP94" s="372"/>
      <c r="AS94" s="372"/>
      <c r="AT94" s="372"/>
      <c r="AU94" s="372"/>
      <c r="AV94" s="372"/>
      <c r="AW94" s="372"/>
      <c r="AX94" s="372"/>
      <c r="AY94" s="372"/>
      <c r="AZ94" s="372"/>
      <c r="BA94" s="372"/>
      <c r="BB94" s="372"/>
      <c r="BC94" s="372"/>
      <c r="BD94" s="372"/>
      <c r="BE94" s="372"/>
    </row>
    <row r="95" spans="1:57" x14ac:dyDescent="0.2">
      <c r="P95" s="372"/>
      <c r="Q95" s="372"/>
      <c r="R95" s="372"/>
      <c r="S95" s="372"/>
      <c r="T95" s="372"/>
      <c r="U95" s="372"/>
      <c r="V95" s="372"/>
      <c r="W95" s="372"/>
      <c r="X95" s="372"/>
      <c r="Y95" s="372"/>
      <c r="Z95" s="372"/>
      <c r="AA95" s="372"/>
      <c r="AB95" s="372"/>
      <c r="AC95" s="372"/>
      <c r="AD95" s="372"/>
      <c r="AE95" s="372"/>
      <c r="AF95" s="372"/>
      <c r="AG95" s="372"/>
      <c r="AH95" s="372"/>
      <c r="AI95" s="372"/>
      <c r="AJ95" s="372"/>
      <c r="AK95" s="372"/>
      <c r="AL95" s="372"/>
      <c r="AM95" s="372"/>
      <c r="AN95" s="372"/>
      <c r="AO95" s="372"/>
      <c r="AP95" s="372"/>
      <c r="AS95" s="372"/>
      <c r="AT95" s="372"/>
      <c r="AU95" s="372"/>
      <c r="AV95" s="372"/>
      <c r="AW95" s="372"/>
      <c r="AX95" s="372"/>
      <c r="AY95" s="372"/>
      <c r="AZ95" s="372"/>
      <c r="BA95" s="372"/>
      <c r="BB95" s="372"/>
      <c r="BC95" s="372"/>
      <c r="BD95" s="372"/>
      <c r="BE95" s="372"/>
    </row>
    <row r="96" spans="1:57" x14ac:dyDescent="0.2">
      <c r="P96" s="372"/>
      <c r="Q96" s="372"/>
      <c r="R96" s="372"/>
      <c r="S96" s="372"/>
      <c r="T96" s="372"/>
      <c r="U96" s="372"/>
      <c r="V96" s="372"/>
      <c r="W96" s="372"/>
      <c r="X96" s="372"/>
      <c r="Y96" s="372"/>
      <c r="Z96" s="372"/>
      <c r="AA96" s="372"/>
      <c r="AB96" s="372"/>
      <c r="AC96" s="372"/>
      <c r="AD96" s="372"/>
      <c r="AE96" s="372"/>
      <c r="AF96" s="372"/>
      <c r="AG96" s="372"/>
      <c r="AH96" s="372"/>
      <c r="AI96" s="372"/>
      <c r="AJ96" s="372"/>
      <c r="AK96" s="372"/>
      <c r="AL96" s="372"/>
      <c r="AM96" s="372"/>
      <c r="AN96" s="372"/>
      <c r="AO96" s="372"/>
      <c r="AP96" s="372"/>
      <c r="AS96" s="372"/>
      <c r="AT96" s="372"/>
      <c r="AU96" s="372"/>
      <c r="AV96" s="372"/>
      <c r="AW96" s="372"/>
      <c r="AX96" s="372"/>
      <c r="AY96" s="372"/>
      <c r="AZ96" s="372"/>
      <c r="BA96" s="372"/>
      <c r="BB96" s="372"/>
      <c r="BC96" s="372"/>
      <c r="BD96" s="372"/>
      <c r="BE96" s="372"/>
    </row>
    <row r="97" spans="16:57" x14ac:dyDescent="0.2">
      <c r="P97" s="372"/>
      <c r="Q97" s="372"/>
      <c r="R97" s="372"/>
      <c r="S97" s="372"/>
      <c r="T97" s="372"/>
      <c r="U97" s="372"/>
      <c r="V97" s="372"/>
      <c r="W97" s="372"/>
      <c r="X97" s="372"/>
      <c r="Y97" s="372"/>
      <c r="Z97" s="372"/>
      <c r="AA97" s="372"/>
      <c r="AB97" s="372"/>
      <c r="AC97" s="372"/>
      <c r="AD97" s="372"/>
      <c r="AE97" s="372"/>
      <c r="AF97" s="372"/>
      <c r="AG97" s="372"/>
      <c r="AH97" s="372"/>
      <c r="AI97" s="372"/>
      <c r="AJ97" s="372"/>
      <c r="AK97" s="372"/>
      <c r="AL97" s="372"/>
      <c r="AM97" s="372"/>
      <c r="AN97" s="372"/>
      <c r="AO97" s="372"/>
      <c r="AP97" s="372"/>
      <c r="AS97" s="372"/>
      <c r="AT97" s="372"/>
      <c r="AU97" s="372"/>
      <c r="AV97" s="372"/>
      <c r="AW97" s="372"/>
      <c r="AX97" s="372"/>
      <c r="AY97" s="372"/>
      <c r="AZ97" s="372"/>
      <c r="BA97" s="372"/>
      <c r="BB97" s="372"/>
      <c r="BC97" s="372"/>
      <c r="BD97" s="372"/>
      <c r="BE97" s="372"/>
    </row>
    <row r="98" spans="16:57" x14ac:dyDescent="0.2">
      <c r="P98" s="372"/>
      <c r="Q98" s="372"/>
      <c r="R98" s="372"/>
      <c r="S98" s="372"/>
      <c r="T98" s="372"/>
      <c r="U98" s="372"/>
      <c r="V98" s="372"/>
      <c r="W98" s="372"/>
      <c r="X98" s="372"/>
      <c r="Y98" s="372"/>
      <c r="Z98" s="372"/>
      <c r="AA98" s="372"/>
      <c r="AB98" s="372"/>
      <c r="AC98" s="372"/>
      <c r="AD98" s="372"/>
      <c r="AE98" s="372"/>
      <c r="AF98" s="372"/>
      <c r="AG98" s="372"/>
      <c r="AH98" s="372"/>
      <c r="AI98" s="372"/>
      <c r="AJ98" s="372"/>
      <c r="AK98" s="372"/>
      <c r="AL98" s="372"/>
      <c r="AM98" s="372"/>
      <c r="AN98" s="372"/>
      <c r="AO98" s="372"/>
      <c r="AP98" s="372"/>
      <c r="AS98" s="372"/>
      <c r="AT98" s="372"/>
      <c r="AU98" s="372"/>
      <c r="AV98" s="372"/>
      <c r="AW98" s="372"/>
      <c r="AX98" s="372"/>
      <c r="AY98" s="372"/>
      <c r="AZ98" s="372"/>
      <c r="BA98" s="372"/>
      <c r="BB98" s="372"/>
      <c r="BC98" s="372"/>
      <c r="BD98" s="372"/>
      <c r="BE98" s="372"/>
    </row>
    <row r="99" spans="16:57" x14ac:dyDescent="0.2">
      <c r="P99" s="372"/>
      <c r="Q99" s="372"/>
      <c r="R99" s="372"/>
      <c r="S99" s="372"/>
      <c r="T99" s="372"/>
      <c r="U99" s="372"/>
      <c r="V99" s="372"/>
      <c r="W99" s="372"/>
      <c r="X99" s="372"/>
      <c r="Y99" s="372"/>
      <c r="Z99" s="372"/>
      <c r="AA99" s="372"/>
      <c r="AB99" s="372"/>
      <c r="AC99" s="372"/>
      <c r="AD99" s="372"/>
      <c r="AE99" s="372"/>
      <c r="AF99" s="372"/>
      <c r="AG99" s="372"/>
      <c r="AH99" s="372"/>
      <c r="AI99" s="372"/>
      <c r="AJ99" s="372"/>
      <c r="AK99" s="372"/>
      <c r="AL99" s="372"/>
      <c r="AM99" s="372"/>
      <c r="AN99" s="372"/>
      <c r="AO99" s="372"/>
      <c r="AP99" s="372"/>
      <c r="AS99" s="372"/>
      <c r="AT99" s="372"/>
      <c r="AU99" s="372"/>
      <c r="AV99" s="372"/>
      <c r="AW99" s="372"/>
      <c r="AX99" s="372"/>
      <c r="AY99" s="372"/>
      <c r="AZ99" s="372"/>
      <c r="BA99" s="372"/>
      <c r="BB99" s="372"/>
      <c r="BC99" s="372"/>
      <c r="BD99" s="372"/>
      <c r="BE99" s="372"/>
    </row>
    <row r="100" spans="16:57" x14ac:dyDescent="0.2">
      <c r="P100" s="372"/>
      <c r="Q100" s="372"/>
      <c r="R100" s="372"/>
      <c r="S100" s="372"/>
      <c r="T100" s="372"/>
      <c r="U100" s="372"/>
      <c r="V100" s="372"/>
      <c r="W100" s="372"/>
      <c r="X100" s="372"/>
      <c r="Y100" s="372"/>
      <c r="Z100" s="372"/>
      <c r="AA100" s="372"/>
      <c r="AB100" s="372"/>
      <c r="AC100" s="372"/>
      <c r="AD100" s="372"/>
      <c r="AE100" s="372"/>
      <c r="AF100" s="372"/>
      <c r="AG100" s="372"/>
      <c r="AH100" s="372"/>
      <c r="AI100" s="372"/>
      <c r="AJ100" s="372"/>
      <c r="AK100" s="372"/>
      <c r="AL100" s="372"/>
      <c r="AM100" s="372"/>
      <c r="AN100" s="372"/>
      <c r="AO100" s="372"/>
      <c r="AP100" s="372"/>
      <c r="AS100" s="372"/>
      <c r="AT100" s="372"/>
      <c r="AU100" s="372"/>
      <c r="AV100" s="372"/>
      <c r="AW100" s="372"/>
      <c r="AX100" s="372"/>
      <c r="AY100" s="372"/>
      <c r="AZ100" s="372"/>
      <c r="BA100" s="372"/>
      <c r="BB100" s="372"/>
      <c r="BC100" s="372"/>
      <c r="BD100" s="372"/>
      <c r="BE100" s="372"/>
    </row>
  </sheetData>
  <mergeCells count="36">
    <mergeCell ref="D5:E5"/>
    <mergeCell ref="G5:H5"/>
    <mergeCell ref="J5:K9"/>
    <mergeCell ref="O5:S5"/>
    <mergeCell ref="C6:C7"/>
    <mergeCell ref="C3:F3"/>
    <mergeCell ref="G3:H3"/>
    <mergeCell ref="J3:M3"/>
    <mergeCell ref="O3:S3"/>
    <mergeCell ref="W3:AN3"/>
    <mergeCell ref="AI48:AN48"/>
    <mergeCell ref="C8:C9"/>
    <mergeCell ref="D8:D9"/>
    <mergeCell ref="E8:E9"/>
    <mergeCell ref="D11:L11"/>
    <mergeCell ref="M11:R11"/>
    <mergeCell ref="W34:AN34"/>
    <mergeCell ref="W36:Y36"/>
    <mergeCell ref="Z36:AA36"/>
    <mergeCell ref="AB36:AC36"/>
    <mergeCell ref="AA43:AC43"/>
    <mergeCell ref="D44:R44"/>
    <mergeCell ref="B80:G81"/>
    <mergeCell ref="J80:N80"/>
    <mergeCell ref="J81:N81"/>
    <mergeCell ref="W49:X49"/>
    <mergeCell ref="W50:X50"/>
    <mergeCell ref="P51:Q51"/>
    <mergeCell ref="W51:X51"/>
    <mergeCell ref="P52:Q52"/>
    <mergeCell ref="W52:X52"/>
    <mergeCell ref="AI49:AN53"/>
    <mergeCell ref="P53:Q53"/>
    <mergeCell ref="W53:X53"/>
    <mergeCell ref="B56:G56"/>
    <mergeCell ref="H56:N56"/>
  </mergeCells>
  <dataValidations count="10">
    <dataValidation type="list" allowBlank="1" showInputMessage="1" showErrorMessage="1" sqref="B53" xr:uid="{E5A76432-AF18-4472-A6C1-76F72C169C5A}">
      <formula1>Lifetime</formula1>
    </dataValidation>
    <dataValidation type="list" allowBlank="1" showInputMessage="1" showErrorMessage="1" sqref="B54" xr:uid="{0858096B-CCCE-4347-8AB3-B08A4DED62EF}">
      <formula1>Construction</formula1>
    </dataValidation>
    <dataValidation type="list" allowBlank="1" showInputMessage="1" showErrorMessage="1" sqref="F46:F51" xr:uid="{A1C4441A-0B93-4ACB-BF93-8F5F16D7C69A}">
      <formula1>Currency</formula1>
    </dataValidation>
    <dataValidation type="list" allowBlank="1" showInputMessage="1" showErrorMessage="1" sqref="G46:G51" xr:uid="{0405854F-7BEA-4F5F-B60F-A23CB92E6FA9}">
      <formula1>Year</formula1>
    </dataValidation>
    <dataValidation type="list" allowBlank="1" showInputMessage="1" showErrorMessage="1" sqref="H46:H51" xr:uid="{1CF2046A-CDC6-41B7-AE81-752EDB039A86}">
      <formula1>Location</formula1>
    </dataValidation>
    <dataValidation type="list" allowBlank="1" showInputMessage="1" showErrorMessage="1" sqref="I13:I43" xr:uid="{A9A6A55A-355A-45F6-8C08-FBCE56A7A6E3}">
      <formula1>INDIRECT(IF($D13="Heat Exchanger",SUBSTITUTE($D13," ","")&amp;"_"&amp;SUBSTITUTE(SUBSTITUTE($E13,",","")," ","")&amp;"_Material",SUBSTITUTE($D13," ","")&amp;"_Material"))</formula1>
    </dataValidation>
    <dataValidation type="list" allowBlank="1" showInputMessage="1" showErrorMessage="1" sqref="E21" xr:uid="{C17EA7B3-9161-4D3B-B37B-8ECB05F62A9A}">
      <formula1>INDIRECT(SUBSTITUTE($D22," ",""))</formula1>
    </dataValidation>
    <dataValidation type="list" allowBlank="1" showInputMessage="1" showErrorMessage="1" sqref="E8:E9" xr:uid="{C440900D-9D71-4643-A80E-E334F4ACED6E}">
      <formula1>Case</formula1>
    </dataValidation>
    <dataValidation type="list" allowBlank="1" showInputMessage="1" showErrorMessage="1" sqref="E22:E43 E13:E20" xr:uid="{64992490-2B68-4772-9620-BD3428CD82D2}">
      <formula1>INDIRECT(SUBSTITUTE($D13," ",""))</formula1>
    </dataValidation>
    <dataValidation type="list" allowBlank="1" showInputMessage="1" showErrorMessage="1" sqref="D22:D43 D13:D20" xr:uid="{F4D30D21-8E9F-4753-B821-0716ADD8646B}">
      <formula1>Equipment</formula1>
    </dataValidation>
  </dataValidations>
  <pageMargins left="0.7" right="0.7" top="0.75" bottom="0.75" header="0.3" footer="0.3"/>
  <pageSetup paperSize="9" orientation="portrait" verticalDpi="1200" r:id="rId1"/>
  <ignoredErrors>
    <ignoredError sqref="T17: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305153" r:id="rId4" name="Button 1">
              <controlPr defaultSize="0" print="0" autoFill="0" autoPict="0" macro="[0]!Plant">
                <anchor moveWithCells="1" sizeWithCells="1">
                  <from>
                    <xdr:col>2</xdr:col>
                    <xdr:colOff>63500</xdr:colOff>
                    <xdr:row>7</xdr:row>
                    <xdr:rowOff>25400</xdr:rowOff>
                  </from>
                  <to>
                    <xdr:col>2</xdr:col>
                    <xdr:colOff>1320800</xdr:colOff>
                    <xdr:row>8</xdr:row>
                    <xdr:rowOff>177800</xdr:rowOff>
                  </to>
                </anchor>
              </controlPr>
            </control>
          </mc:Choice>
        </mc:AlternateContent>
      </controls>
    </mc:Choice>
  </mc:AlternateContent>
  <tableParts count="3">
    <tablePart r:id="rId5"/>
    <tablePart r:id="rId6"/>
    <tablePart r:id="rId7"/>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P50"/>
  <sheetViews>
    <sheetView showGridLines="0" zoomScale="61" zoomScaleNormal="100" workbookViewId="0">
      <selection activeCell="B1" sqref="B1"/>
    </sheetView>
  </sheetViews>
  <sheetFormatPr baseColWidth="10" defaultColWidth="11.1640625" defaultRowHeight="15" x14ac:dyDescent="0.2"/>
  <cols>
    <col min="1" max="1" width="4" customWidth="1"/>
    <col min="2" max="3" width="45.6640625" customWidth="1"/>
    <col min="4" max="71" width="32.5" customWidth="1"/>
  </cols>
  <sheetData>
    <row r="1" spans="1:16" ht="31" x14ac:dyDescent="0.2">
      <c r="A1" s="83"/>
      <c r="B1" s="518" t="s">
        <v>558</v>
      </c>
      <c r="C1" s="225"/>
      <c r="D1" s="83"/>
      <c r="E1" s="83"/>
      <c r="F1" s="83"/>
      <c r="G1" s="83"/>
      <c r="H1" s="83"/>
      <c r="I1" s="83"/>
      <c r="J1" s="83"/>
      <c r="K1" s="83"/>
      <c r="L1" s="83"/>
      <c r="M1" s="83"/>
      <c r="N1" s="83"/>
      <c r="O1" s="83"/>
    </row>
    <row r="2" spans="1:16" ht="24" customHeight="1" x14ac:dyDescent="0.2">
      <c r="B2" s="252"/>
      <c r="C2" s="252"/>
      <c r="D2" s="252"/>
      <c r="E2" s="252"/>
      <c r="F2" s="252"/>
      <c r="G2" s="252"/>
      <c r="H2" s="252"/>
      <c r="I2" s="369"/>
      <c r="J2" s="369"/>
      <c r="K2" s="369"/>
      <c r="L2" s="83"/>
      <c r="M2" s="83"/>
      <c r="N2" s="157"/>
      <c r="O2" s="157"/>
    </row>
    <row r="3" spans="1:16" ht="38.5" customHeight="1" x14ac:dyDescent="0.2">
      <c r="A3" s="83"/>
      <c r="B3" s="431" t="s">
        <v>303</v>
      </c>
      <c r="C3" s="432" t="s">
        <v>559</v>
      </c>
      <c r="D3" s="430" t="s">
        <v>560</v>
      </c>
      <c r="E3" s="430" t="s">
        <v>561</v>
      </c>
      <c r="F3" s="430" t="s">
        <v>562</v>
      </c>
      <c r="G3" s="430" t="s">
        <v>563</v>
      </c>
      <c r="H3" s="430" t="s">
        <v>564</v>
      </c>
      <c r="I3" s="430" t="s">
        <v>565</v>
      </c>
      <c r="J3" s="430" t="s">
        <v>566</v>
      </c>
      <c r="K3" s="430" t="s">
        <v>567</v>
      </c>
      <c r="L3" s="430" t="s">
        <v>1187</v>
      </c>
      <c r="M3" s="430" t="s">
        <v>1192</v>
      </c>
      <c r="N3" s="430" t="s">
        <v>101</v>
      </c>
      <c r="O3" s="157"/>
    </row>
    <row r="4" spans="1:16" ht="38.5" customHeight="1" x14ac:dyDescent="0.2">
      <c r="A4" s="83"/>
      <c r="B4" s="87" t="s">
        <v>568</v>
      </c>
      <c r="C4" s="407" t="s">
        <v>569</v>
      </c>
      <c r="D4" s="408" t="str">
        <f>+'Unit-100 Reformer Island'!E6</f>
        <v>GSR Island</v>
      </c>
      <c r="E4" s="408" t="str">
        <f>+'Unit-200 WGS'!E6</f>
        <v>WGS</v>
      </c>
      <c r="F4" s="408" t="str">
        <f>+'Unit-300 N2 Purification'!E6</f>
        <v>N2 Purification</v>
      </c>
      <c r="G4" s="408" t="str">
        <f>+'Unit-400 PSA'!E6</f>
        <v>PSA</v>
      </c>
      <c r="H4" s="408" t="str">
        <f>+'Unit-500 - CO2 CPU'!E6</f>
        <v>CO2 CPU</v>
      </c>
      <c r="I4" s="408" t="str">
        <f>+'Unit-600 Synthesis loop'!E6</f>
        <v>Synthesis loop</v>
      </c>
      <c r="J4" s="408" t="str">
        <f>+'Unit-700 Refrigeration-Storage'!E6</f>
        <v>Refrigeration &amp; Storage</v>
      </c>
      <c r="K4" s="408" t="str">
        <f>+'Unit-800 Steam Cycle &amp; CWT'!E6</f>
        <v>Steam cycle &amp; CWT</v>
      </c>
      <c r="L4" s="408" t="s">
        <v>970</v>
      </c>
      <c r="M4" s="408" t="s">
        <v>1193</v>
      </c>
      <c r="N4" s="385" t="str">
        <f>+'Plant Overview'!E6</f>
        <v>GSR-LT</v>
      </c>
      <c r="O4" s="157"/>
    </row>
    <row r="5" spans="1:16" ht="38.5" customHeight="1" x14ac:dyDescent="0.2">
      <c r="A5" s="83"/>
      <c r="B5" s="406" t="s">
        <v>161</v>
      </c>
      <c r="C5" s="407" t="s">
        <v>569</v>
      </c>
      <c r="D5" s="386" t="str">
        <f>+'Unit-100 Reformer Island'!E7</f>
        <v>U-100</v>
      </c>
      <c r="E5" s="386" t="str">
        <f>+'Unit-200 WGS'!E7</f>
        <v>U-200</v>
      </c>
      <c r="F5" s="386" t="str">
        <f>+'Unit-300 N2 Purification'!E7</f>
        <v>U-300</v>
      </c>
      <c r="G5" s="386" t="str">
        <f>+'Unit-400 PSA'!E7</f>
        <v>U-400</v>
      </c>
      <c r="H5" s="386" t="str">
        <f>+'Unit-500 - CO2 CPU'!E7</f>
        <v>U-500</v>
      </c>
      <c r="I5" s="386" t="str">
        <f>+'Unit-600 Synthesis loop'!E7</f>
        <v>U-600</v>
      </c>
      <c r="J5" s="386" t="str">
        <f>+'Unit-700 Refrigeration-Storage'!E7</f>
        <v>U-700</v>
      </c>
      <c r="K5" s="386" t="str">
        <f>+'Unit-800 Steam Cycle &amp; CWT'!E7</f>
        <v>U-800</v>
      </c>
      <c r="L5" s="386" t="s">
        <v>1188</v>
      </c>
      <c r="M5" s="386" t="s">
        <v>1194</v>
      </c>
      <c r="N5" s="385" t="s">
        <v>570</v>
      </c>
      <c r="O5" s="157"/>
    </row>
    <row r="6" spans="1:16" ht="38.5" customHeight="1" thickBot="1" x14ac:dyDescent="0.25">
      <c r="A6" s="83"/>
      <c r="B6" s="241" t="s">
        <v>571</v>
      </c>
      <c r="C6" s="168" t="s">
        <v>572</v>
      </c>
      <c r="D6" s="390">
        <f ca="1">+'Unit-100 - GSR Island'!S55+'Unit-100 - GSR Island'!S56</f>
        <v>81.539061372229185</v>
      </c>
      <c r="E6" s="390">
        <f ca="1">+'Unit-200 WGS'!S52+'Unit-200 WGS'!S53</f>
        <v>25.727757677134658</v>
      </c>
      <c r="F6" s="390">
        <f ca="1">+'Unit-300 N2 Purification'!S52+'Unit-300 N2 Purification'!S53</f>
        <v>6.1674131290314964</v>
      </c>
      <c r="G6" s="390">
        <f ca="1">+'Unit-400 PSA'!S52+'Unit-400 PSA'!S53</f>
        <v>64.650140265166016</v>
      </c>
      <c r="H6" s="390">
        <f ca="1">+'Unit-500 - CO2 CPU'!S53</f>
        <v>12.584848315136806</v>
      </c>
      <c r="I6" s="390">
        <f ca="1">+'Unit-600 Synthesis loop'!S52+'Unit-600 Synthesis loop'!S53</f>
        <v>150.0174421062334</v>
      </c>
      <c r="J6" s="390">
        <f ca="1">+'Unit-700 Refrigeration-Storage'!S52+'Unit-700 Refrigeration-Storage'!S53</f>
        <v>50.422854101194744</v>
      </c>
      <c r="K6" s="390">
        <f ca="1">+'Unit-800 Steam Cycle &amp; CWT'!S52+'Unit-800 Steam Cycle &amp; CWT'!S53</f>
        <v>29.353937364196657</v>
      </c>
      <c r="L6" s="390">
        <v>0</v>
      </c>
      <c r="M6" s="390">
        <v>95.3</v>
      </c>
      <c r="N6" s="391">
        <v>515.76348876953125</v>
      </c>
      <c r="O6" s="157"/>
    </row>
    <row r="7" spans="1:16" ht="38.5" customHeight="1" thickTop="1" x14ac:dyDescent="0.2">
      <c r="A7" s="83"/>
      <c r="B7" s="254" t="s">
        <v>573</v>
      </c>
      <c r="C7" s="147" t="s">
        <v>574</v>
      </c>
      <c r="D7" s="391">
        <f ca="1">+D6*D18</f>
        <v>8.1539061372229185</v>
      </c>
      <c r="E7" s="391">
        <f ca="1">+E6*E18</f>
        <v>2.5727757677134662</v>
      </c>
      <c r="F7" s="391">
        <f ca="1">+F6*F18</f>
        <v>0.61674131290314971</v>
      </c>
      <c r="G7" s="391">
        <f ca="1">+G6*G18</f>
        <v>6.4650140265166023</v>
      </c>
      <c r="H7" s="391">
        <f ca="1">+H6*H18</f>
        <v>1.2584848315136807</v>
      </c>
      <c r="I7" s="391">
        <f t="shared" ref="I7:K7" ca="1" si="0">+I6*I18</f>
        <v>15.001744210623341</v>
      </c>
      <c r="J7" s="391">
        <f t="shared" ca="1" si="0"/>
        <v>5.042285410119475</v>
      </c>
      <c r="K7" s="391">
        <f t="shared" ca="1" si="0"/>
        <v>2.9353937364196661</v>
      </c>
      <c r="L7" s="391">
        <f t="shared" ref="L7:M7" si="1">+L6*L18</f>
        <v>0</v>
      </c>
      <c r="M7" s="391">
        <f t="shared" si="1"/>
        <v>0</v>
      </c>
      <c r="N7" s="391">
        <v>42.046344757080078</v>
      </c>
      <c r="O7" s="157"/>
    </row>
    <row r="8" spans="1:16" ht="38.5" customHeight="1" x14ac:dyDescent="0.2">
      <c r="A8" s="83"/>
      <c r="B8" s="145" t="s">
        <v>575</v>
      </c>
      <c r="C8" s="148" t="s">
        <v>574</v>
      </c>
      <c r="D8" s="391">
        <f ca="1">+D19*D6</f>
        <v>16.307812274445837</v>
      </c>
      <c r="E8" s="391">
        <f ca="1">+E19*E6</f>
        <v>0</v>
      </c>
      <c r="F8" s="391">
        <f ca="1">+F19*F6</f>
        <v>0</v>
      </c>
      <c r="G8" s="391">
        <f ca="1">+G19*G6</f>
        <v>0</v>
      </c>
      <c r="H8" s="391">
        <f ca="1">+H19*H6</f>
        <v>0</v>
      </c>
      <c r="I8" s="391">
        <f t="shared" ref="I8:K8" ca="1" si="2">+I19*I6</f>
        <v>0</v>
      </c>
      <c r="J8" s="391">
        <f t="shared" ca="1" si="2"/>
        <v>0</v>
      </c>
      <c r="K8" s="391">
        <f t="shared" ca="1" si="2"/>
        <v>0</v>
      </c>
      <c r="L8" s="391">
        <f t="shared" ref="L8:M8" si="3">+L19*L6</f>
        <v>0</v>
      </c>
      <c r="M8" s="391">
        <f t="shared" si="3"/>
        <v>0</v>
      </c>
      <c r="N8" s="391">
        <v>16.307811737060547</v>
      </c>
      <c r="O8" s="83"/>
    </row>
    <row r="9" spans="1:16" ht="38.5" customHeight="1" x14ac:dyDescent="0.2">
      <c r="A9" s="83"/>
      <c r="B9" s="145" t="s">
        <v>576</v>
      </c>
      <c r="C9" s="250" t="s">
        <v>577</v>
      </c>
      <c r="D9" s="391">
        <f ca="1">+D20*(D6+D7+D8)</f>
        <v>21.200155956779589</v>
      </c>
      <c r="E9" s="391">
        <f ca="1">+E20*(E6+E7+E8)</f>
        <v>5.6601066889696252</v>
      </c>
      <c r="F9" s="391">
        <f ca="1">+F20*(F6+F7+F8)</f>
        <v>1.3568308883869293</v>
      </c>
      <c r="G9" s="391">
        <f ca="1">+G20*(G6+G7+G8)</f>
        <v>14.223030858336523</v>
      </c>
      <c r="H9" s="391">
        <f ca="1">+H20*(H6+H7+H8)</f>
        <v>2.7686666293300974</v>
      </c>
      <c r="I9" s="391">
        <f t="shared" ref="I9:K9" ca="1" si="4">+I20*(I6+I7+I8)</f>
        <v>33.003837263371352</v>
      </c>
      <c r="J9" s="391">
        <f t="shared" ca="1" si="4"/>
        <v>11.093027902262845</v>
      </c>
      <c r="K9" s="391">
        <f t="shared" ca="1" si="4"/>
        <v>6.4578662201232646</v>
      </c>
      <c r="L9" s="391">
        <f t="shared" ref="L9:M9" si="5">+L20*(L6+L7+L8)</f>
        <v>0</v>
      </c>
      <c r="M9" s="391">
        <f t="shared" si="5"/>
        <v>0</v>
      </c>
      <c r="N9" s="391">
        <v>95.763519287109375</v>
      </c>
      <c r="O9" s="83"/>
    </row>
    <row r="10" spans="1:16" ht="38.5" customHeight="1" x14ac:dyDescent="0.2">
      <c r="A10" s="83"/>
      <c r="B10" s="145" t="s">
        <v>578</v>
      </c>
      <c r="C10" s="146" t="s">
        <v>579</v>
      </c>
      <c r="D10" s="391">
        <f ca="1">+SUM(D8+D9)</f>
        <v>37.507968231225426</v>
      </c>
      <c r="E10" s="391">
        <f t="shared" ref="E10:G10" ca="1" si="6">+SUM(E8+E9)</f>
        <v>5.6601066889696252</v>
      </c>
      <c r="F10" s="391">
        <f t="shared" ca="1" si="6"/>
        <v>1.3568308883869293</v>
      </c>
      <c r="G10" s="391">
        <f t="shared" ca="1" si="6"/>
        <v>14.223030858336523</v>
      </c>
      <c r="H10" s="391">
        <f t="shared" ref="H10:K10" ca="1" si="7">+SUM(H8+H9)</f>
        <v>2.7686666293300974</v>
      </c>
      <c r="I10" s="391">
        <f t="shared" ca="1" si="7"/>
        <v>33.003837263371352</v>
      </c>
      <c r="J10" s="391">
        <f t="shared" ca="1" si="7"/>
        <v>11.093027902262845</v>
      </c>
      <c r="K10" s="391">
        <f t="shared" ca="1" si="7"/>
        <v>6.4578662201232646</v>
      </c>
      <c r="L10" s="391">
        <f t="shared" ref="L10:M10" si="8">+SUM(L8+L9)</f>
        <v>0</v>
      </c>
      <c r="M10" s="391">
        <f t="shared" si="8"/>
        <v>0</v>
      </c>
      <c r="N10" s="391">
        <v>112.07132720947266</v>
      </c>
      <c r="O10" s="83"/>
    </row>
    <row r="11" spans="1:16" ht="38.5" customHeight="1" x14ac:dyDescent="0.2">
      <c r="A11" s="83"/>
      <c r="B11" s="145" t="s">
        <v>580</v>
      </c>
      <c r="C11" s="146" t="s">
        <v>581</v>
      </c>
      <c r="D11" s="391">
        <f ca="1">+D6+D7+D10</f>
        <v>127.20093574067752</v>
      </c>
      <c r="E11" s="391">
        <f t="shared" ref="E11:G11" ca="1" si="9">+E6+E7+E10</f>
        <v>33.960640133817748</v>
      </c>
      <c r="F11" s="391">
        <f t="shared" ca="1" si="9"/>
        <v>8.1409853303215751</v>
      </c>
      <c r="G11" s="391">
        <f t="shared" ca="1" si="9"/>
        <v>85.338185150019143</v>
      </c>
      <c r="H11" s="391">
        <f t="shared" ref="H11:K11" ca="1" si="10">+H6+H7+H10</f>
        <v>16.611999775980586</v>
      </c>
      <c r="I11" s="391">
        <f t="shared" ca="1" si="10"/>
        <v>198.02302358022808</v>
      </c>
      <c r="J11" s="391">
        <f t="shared" ca="1" si="10"/>
        <v>66.558167413577067</v>
      </c>
      <c r="K11" s="391">
        <f t="shared" ca="1" si="10"/>
        <v>38.747197320739588</v>
      </c>
      <c r="L11" s="391">
        <f t="shared" ref="L11:M11" si="11">+L6+L7+L10</f>
        <v>0</v>
      </c>
      <c r="M11" s="391">
        <f t="shared" si="11"/>
        <v>95.3</v>
      </c>
      <c r="N11" s="391">
        <v>669.881103515625</v>
      </c>
      <c r="O11" s="83"/>
    </row>
    <row r="12" spans="1:16" ht="38.5" customHeight="1" x14ac:dyDescent="0.2">
      <c r="A12" s="83"/>
      <c r="B12" s="145" t="s">
        <v>582</v>
      </c>
      <c r="C12" s="146" t="s">
        <v>583</v>
      </c>
      <c r="D12" s="391">
        <f ca="1">+D11*D23</f>
        <v>19.080140361101627</v>
      </c>
      <c r="E12" s="391">
        <f ca="1">+E11*E23</f>
        <v>5.0940960200726622</v>
      </c>
      <c r="F12" s="391">
        <f ca="1">+F11*F23</f>
        <v>1.2211477995482363</v>
      </c>
      <c r="G12" s="391">
        <f ca="1">+G11*G23</f>
        <v>12.800727772502871</v>
      </c>
      <c r="H12" s="391">
        <f ca="1">+H11*H23</f>
        <v>2.4917999663970876</v>
      </c>
      <c r="I12" s="391">
        <f t="shared" ref="I12:K12" ca="1" si="12">+I11*I23</f>
        <v>29.703453537034211</v>
      </c>
      <c r="J12" s="391">
        <f t="shared" ca="1" si="12"/>
        <v>9.9837251120365593</v>
      </c>
      <c r="K12" s="391">
        <f t="shared" ca="1" si="12"/>
        <v>5.8120795981109383</v>
      </c>
      <c r="L12" s="391">
        <f t="shared" ref="L12:M12" si="13">+L11*L23</f>
        <v>0</v>
      </c>
      <c r="M12" s="391">
        <f t="shared" si="13"/>
        <v>0</v>
      </c>
      <c r="N12" s="391">
        <v>86.187171936035156</v>
      </c>
      <c r="O12" s="83"/>
    </row>
    <row r="13" spans="1:16" ht="38.5" customHeight="1" thickBot="1" x14ac:dyDescent="0.25">
      <c r="A13" s="83"/>
      <c r="B13" s="170" t="s">
        <v>584</v>
      </c>
      <c r="C13" s="171" t="s">
        <v>585</v>
      </c>
      <c r="D13" s="391">
        <f ca="1">+D11+D12</f>
        <v>146.28107610177915</v>
      </c>
      <c r="E13" s="391">
        <f t="shared" ref="E13:G13" ca="1" si="14">+E11+E12</f>
        <v>39.05473615389041</v>
      </c>
      <c r="F13" s="391">
        <f t="shared" ca="1" si="14"/>
        <v>9.3621331298698109</v>
      </c>
      <c r="G13" s="391">
        <f t="shared" ca="1" si="14"/>
        <v>98.13891292252201</v>
      </c>
      <c r="H13" s="391">
        <f t="shared" ref="H13:K13" ca="1" si="15">+H11+H12</f>
        <v>19.103799742377674</v>
      </c>
      <c r="I13" s="391">
        <f t="shared" ca="1" si="15"/>
        <v>227.72647711726231</v>
      </c>
      <c r="J13" s="391">
        <f t="shared" ca="1" si="15"/>
        <v>76.541892525613633</v>
      </c>
      <c r="K13" s="391">
        <f t="shared" ca="1" si="15"/>
        <v>44.559276918850529</v>
      </c>
      <c r="L13" s="391">
        <f t="shared" ref="L13:M13" si="16">+L11+L12</f>
        <v>0</v>
      </c>
      <c r="M13" s="391">
        <f t="shared" si="16"/>
        <v>95.3</v>
      </c>
      <c r="N13" s="391">
        <v>756.0682373046875</v>
      </c>
      <c r="O13" s="83"/>
    </row>
    <row r="14" spans="1:16" ht="38.5" customHeight="1" thickTop="1" x14ac:dyDescent="0.2">
      <c r="A14" s="83"/>
      <c r="B14" s="172" t="s">
        <v>586</v>
      </c>
      <c r="C14" s="147" t="s">
        <v>587</v>
      </c>
      <c r="D14" s="391">
        <f ca="1">+D13*D25</f>
        <v>162.37199447297488</v>
      </c>
      <c r="E14" s="391">
        <f ca="1">+E13*E25</f>
        <v>43.350757130818359</v>
      </c>
      <c r="F14" s="391">
        <f ca="1">+F13*F25</f>
        <v>10.391967774155491</v>
      </c>
      <c r="G14" s="391">
        <f ca="1">+G13*G25</f>
        <v>108.93419334399944</v>
      </c>
      <c r="H14" s="391">
        <f ca="1">+H13*H25</f>
        <v>21.205217714039222</v>
      </c>
      <c r="I14" s="391">
        <f t="shared" ref="I14:K14" ca="1" si="17">+I13*I25</f>
        <v>252.7763896001612</v>
      </c>
      <c r="J14" s="391">
        <f t="shared" ca="1" si="17"/>
        <v>84.961500703431142</v>
      </c>
      <c r="K14" s="391">
        <f t="shared" ca="1" si="17"/>
        <v>49.460797379924088</v>
      </c>
      <c r="L14" s="391">
        <f t="shared" ref="L14:M14" si="18">+L13*L25</f>
        <v>0</v>
      </c>
      <c r="M14" s="391">
        <f t="shared" si="18"/>
        <v>95.3</v>
      </c>
      <c r="N14" s="391">
        <v>828.7528076171875</v>
      </c>
      <c r="O14" s="83"/>
    </row>
    <row r="15" spans="1:16" x14ac:dyDescent="0.2">
      <c r="A15" s="83"/>
      <c r="B15" s="83"/>
      <c r="C15" s="83"/>
      <c r="D15" s="219"/>
      <c r="E15" s="219"/>
      <c r="F15" s="219"/>
      <c r="G15" s="219"/>
      <c r="H15" s="219"/>
      <c r="M15" s="83"/>
      <c r="N15" s="83"/>
      <c r="O15" s="83"/>
    </row>
    <row r="16" spans="1:16" ht="38.5" customHeight="1" x14ac:dyDescent="0.2">
      <c r="A16" s="83"/>
      <c r="B16" s="431" t="s">
        <v>2</v>
      </c>
      <c r="C16" s="431" t="s">
        <v>559</v>
      </c>
      <c r="D16" s="448" t="s">
        <v>560</v>
      </c>
      <c r="E16" s="448" t="s">
        <v>561</v>
      </c>
      <c r="F16" s="448" t="s">
        <v>562</v>
      </c>
      <c r="G16" s="448" t="s">
        <v>563</v>
      </c>
      <c r="H16" s="699" t="s">
        <v>564</v>
      </c>
      <c r="I16" s="699" t="s">
        <v>565</v>
      </c>
      <c r="J16" s="699" t="s">
        <v>566</v>
      </c>
      <c r="K16" s="699" t="s">
        <v>567</v>
      </c>
      <c r="L16" s="699" t="s">
        <v>1187</v>
      </c>
      <c r="M16" s="699" t="s">
        <v>1192</v>
      </c>
      <c r="N16" s="160"/>
      <c r="O16" s="83"/>
      <c r="P16" s="83"/>
    </row>
    <row r="17" spans="1:16" ht="38.5" customHeight="1" x14ac:dyDescent="0.2">
      <c r="A17" s="83"/>
      <c r="B17" s="86" t="s">
        <v>588</v>
      </c>
      <c r="C17" s="86" t="s">
        <v>589</v>
      </c>
      <c r="D17" s="330" t="s">
        <v>187</v>
      </c>
      <c r="E17" s="330" t="s">
        <v>187</v>
      </c>
      <c r="F17" s="330" t="s">
        <v>187</v>
      </c>
      <c r="G17" s="330" t="s">
        <v>187</v>
      </c>
      <c r="H17" s="330" t="s">
        <v>187</v>
      </c>
      <c r="I17" s="330" t="s">
        <v>187</v>
      </c>
      <c r="J17" s="330" t="s">
        <v>187</v>
      </c>
      <c r="K17" s="330" t="s">
        <v>187</v>
      </c>
      <c r="L17" s="218"/>
      <c r="M17" s="218"/>
      <c r="N17" s="160"/>
      <c r="O17" s="83"/>
      <c r="P17" s="83"/>
    </row>
    <row r="18" spans="1:16" ht="38.5" customHeight="1" x14ac:dyDescent="0.2">
      <c r="A18" s="83"/>
      <c r="B18" s="469" t="s">
        <v>573</v>
      </c>
      <c r="C18" s="86" t="s">
        <v>574</v>
      </c>
      <c r="D18" s="404">
        <v>0.1</v>
      </c>
      <c r="E18" s="404">
        <v>0.1</v>
      </c>
      <c r="F18" s="404">
        <v>0.1</v>
      </c>
      <c r="G18" s="404">
        <v>0.1</v>
      </c>
      <c r="H18" s="404">
        <v>0.1</v>
      </c>
      <c r="I18" s="404">
        <v>0.1</v>
      </c>
      <c r="J18" s="404">
        <v>0.1</v>
      </c>
      <c r="K18" s="404">
        <v>0.1</v>
      </c>
      <c r="L18" s="1122">
        <v>0</v>
      </c>
      <c r="M18" s="1122">
        <v>0</v>
      </c>
      <c r="N18" s="160"/>
      <c r="O18" s="83"/>
      <c r="P18" s="83"/>
    </row>
    <row r="19" spans="1:16" ht="38.5" customHeight="1" x14ac:dyDescent="0.2">
      <c r="A19" s="83"/>
      <c r="B19" s="86" t="s">
        <v>575</v>
      </c>
      <c r="C19" s="86" t="s">
        <v>574</v>
      </c>
      <c r="D19" s="405">
        <v>0.2</v>
      </c>
      <c r="E19" s="405">
        <v>0</v>
      </c>
      <c r="F19" s="405">
        <v>0</v>
      </c>
      <c r="G19" s="405">
        <v>0</v>
      </c>
      <c r="H19" s="405">
        <v>0</v>
      </c>
      <c r="I19" s="405">
        <v>0</v>
      </c>
      <c r="J19" s="405">
        <v>0</v>
      </c>
      <c r="K19" s="405">
        <v>0</v>
      </c>
      <c r="L19" s="1123">
        <v>0</v>
      </c>
      <c r="M19" s="1123">
        <v>0</v>
      </c>
      <c r="N19" s="160"/>
      <c r="O19" s="83">
        <f>+N13/646.5</f>
        <v>1.1694790986924788</v>
      </c>
      <c r="P19" s="83"/>
    </row>
    <row r="20" spans="1:16" ht="38.5" customHeight="1" x14ac:dyDescent="0.2">
      <c r="A20" s="83"/>
      <c r="B20" s="86" t="s">
        <v>576</v>
      </c>
      <c r="C20" s="86" t="s">
        <v>577</v>
      </c>
      <c r="D20" s="405">
        <v>0.2</v>
      </c>
      <c r="E20" s="405">
        <v>0.2</v>
      </c>
      <c r="F20" s="405">
        <v>0.2</v>
      </c>
      <c r="G20" s="405">
        <v>0.2</v>
      </c>
      <c r="H20" s="405">
        <v>0.2</v>
      </c>
      <c r="I20" s="405">
        <v>0.2</v>
      </c>
      <c r="J20" s="405">
        <v>0.2</v>
      </c>
      <c r="K20" s="405">
        <v>0.2</v>
      </c>
      <c r="L20" s="1123">
        <v>0</v>
      </c>
      <c r="M20" s="1123">
        <v>0</v>
      </c>
      <c r="N20" s="160"/>
      <c r="O20" s="83"/>
      <c r="P20" s="83"/>
    </row>
    <row r="21" spans="1:16" ht="38.5" customHeight="1" x14ac:dyDescent="0.2">
      <c r="A21" s="83"/>
      <c r="B21" s="86" t="s">
        <v>578</v>
      </c>
      <c r="C21" s="86" t="s">
        <v>579</v>
      </c>
      <c r="D21" s="320" t="s">
        <v>187</v>
      </c>
      <c r="E21" s="320" t="s">
        <v>187</v>
      </c>
      <c r="F21" s="320" t="s">
        <v>187</v>
      </c>
      <c r="G21" s="320" t="s">
        <v>187</v>
      </c>
      <c r="H21" s="320" t="s">
        <v>187</v>
      </c>
      <c r="I21" s="320" t="s">
        <v>187</v>
      </c>
      <c r="J21" s="320" t="s">
        <v>187</v>
      </c>
      <c r="K21" s="320" t="s">
        <v>187</v>
      </c>
      <c r="L21" s="218"/>
      <c r="M21" s="218" t="s">
        <v>187</v>
      </c>
      <c r="N21" s="160"/>
      <c r="O21" s="83"/>
      <c r="P21" s="83"/>
    </row>
    <row r="22" spans="1:16" ht="38.5" customHeight="1" x14ac:dyDescent="0.2">
      <c r="A22" s="83"/>
      <c r="B22" s="86" t="s">
        <v>580</v>
      </c>
      <c r="C22" s="86" t="s">
        <v>581</v>
      </c>
      <c r="D22" s="320" t="s">
        <v>187</v>
      </c>
      <c r="E22" s="320" t="s">
        <v>187</v>
      </c>
      <c r="F22" s="320" t="s">
        <v>187</v>
      </c>
      <c r="G22" s="320" t="s">
        <v>187</v>
      </c>
      <c r="H22" s="320" t="s">
        <v>187</v>
      </c>
      <c r="I22" s="320" t="s">
        <v>187</v>
      </c>
      <c r="J22" s="320" t="s">
        <v>187</v>
      </c>
      <c r="K22" s="320" t="s">
        <v>187</v>
      </c>
      <c r="L22" s="218"/>
      <c r="M22" s="218" t="s">
        <v>187</v>
      </c>
      <c r="N22" s="160"/>
      <c r="O22" s="83"/>
      <c r="P22" s="83"/>
    </row>
    <row r="23" spans="1:16" ht="38.5" customHeight="1" x14ac:dyDescent="0.2">
      <c r="A23" s="83"/>
      <c r="B23" s="86" t="s">
        <v>582</v>
      </c>
      <c r="C23" s="86" t="s">
        <v>583</v>
      </c>
      <c r="D23" s="405">
        <v>0.15</v>
      </c>
      <c r="E23" s="405">
        <v>0.15</v>
      </c>
      <c r="F23" s="405">
        <v>0.15</v>
      </c>
      <c r="G23" s="405">
        <v>0.15</v>
      </c>
      <c r="H23" s="405">
        <v>0.15</v>
      </c>
      <c r="I23" s="405">
        <v>0.15</v>
      </c>
      <c r="J23" s="405">
        <v>0.15</v>
      </c>
      <c r="K23" s="405">
        <v>0.15</v>
      </c>
      <c r="L23" s="1123">
        <v>0</v>
      </c>
      <c r="M23" s="1123">
        <v>0</v>
      </c>
      <c r="N23" s="160"/>
      <c r="O23" s="83"/>
      <c r="P23" s="83"/>
    </row>
    <row r="24" spans="1:16" ht="38.5" customHeight="1" x14ac:dyDescent="0.2">
      <c r="A24" s="83"/>
      <c r="B24" s="86" t="s">
        <v>584</v>
      </c>
      <c r="C24" s="86" t="s">
        <v>585</v>
      </c>
      <c r="D24" s="320" t="s">
        <v>187</v>
      </c>
      <c r="E24" s="320" t="s">
        <v>187</v>
      </c>
      <c r="F24" s="320" t="s">
        <v>187</v>
      </c>
      <c r="G24" s="320" t="s">
        <v>187</v>
      </c>
      <c r="H24" s="320" t="s">
        <v>187</v>
      </c>
      <c r="I24" s="320" t="s">
        <v>187</v>
      </c>
      <c r="J24" s="320" t="s">
        <v>187</v>
      </c>
      <c r="K24" s="320" t="s">
        <v>187</v>
      </c>
      <c r="L24" s="218" t="s">
        <v>187</v>
      </c>
      <c r="M24" s="218" t="s">
        <v>187</v>
      </c>
      <c r="N24" s="160"/>
      <c r="O24" s="83"/>
      <c r="P24" s="83"/>
    </row>
    <row r="25" spans="1:16" ht="38.5" customHeight="1" x14ac:dyDescent="0.2">
      <c r="A25" s="83"/>
      <c r="B25" s="86" t="s">
        <v>586</v>
      </c>
      <c r="C25" s="86" t="s">
        <v>590</v>
      </c>
      <c r="D25" s="405">
        <v>1.1100000000000001</v>
      </c>
      <c r="E25" s="405">
        <v>1.1100000000000001</v>
      </c>
      <c r="F25" s="405">
        <v>1.1100000000000001</v>
      </c>
      <c r="G25" s="405">
        <v>1.1100000000000001</v>
      </c>
      <c r="H25" s="405">
        <v>1.1100000000000001</v>
      </c>
      <c r="I25" s="405">
        <v>1.1100000000000001</v>
      </c>
      <c r="J25" s="405">
        <v>1.1100000000000001</v>
      </c>
      <c r="K25" s="405">
        <v>1.1100000000000001</v>
      </c>
      <c r="L25" s="1123">
        <v>1</v>
      </c>
      <c r="M25" s="1123">
        <v>1</v>
      </c>
      <c r="N25" s="160"/>
      <c r="O25" s="83"/>
      <c r="P25" s="83"/>
    </row>
    <row r="26" spans="1:16" x14ac:dyDescent="0.2">
      <c r="A26" s="83"/>
      <c r="B26" s="83"/>
      <c r="C26" s="83"/>
      <c r="D26" s="83"/>
      <c r="E26" s="83"/>
      <c r="F26" s="83"/>
      <c r="G26" s="83"/>
      <c r="H26" s="83"/>
      <c r="I26" s="83"/>
      <c r="J26" s="83"/>
      <c r="K26" s="83"/>
      <c r="L26" s="83"/>
      <c r="M26" s="83"/>
      <c r="N26" s="83"/>
      <c r="O26" s="83"/>
    </row>
    <row r="27" spans="1:16" x14ac:dyDescent="0.2">
      <c r="A27" s="83"/>
      <c r="B27" s="83"/>
      <c r="C27" s="83"/>
      <c r="D27" s="83"/>
      <c r="E27" s="83"/>
      <c r="F27" s="83"/>
      <c r="G27" s="83"/>
      <c r="H27" s="83"/>
      <c r="I27" s="83"/>
      <c r="J27" s="83"/>
      <c r="K27" s="83"/>
      <c r="L27" s="83"/>
      <c r="M27" s="83"/>
      <c r="N27" s="83"/>
      <c r="O27" s="83"/>
    </row>
    <row r="28" spans="1:16" ht="36" customHeight="1" x14ac:dyDescent="0.2">
      <c r="A28" s="83"/>
      <c r="B28" s="1025" t="s">
        <v>591</v>
      </c>
      <c r="C28" s="1026"/>
      <c r="E28" s="251"/>
      <c r="G28" s="83"/>
      <c r="H28" s="83"/>
      <c r="I28" s="83"/>
      <c r="J28" s="83"/>
      <c r="K28" s="83"/>
      <c r="L28" s="83"/>
      <c r="M28" s="83"/>
      <c r="N28" s="83"/>
      <c r="O28" s="83"/>
    </row>
    <row r="29" spans="1:16" ht="36" customHeight="1" x14ac:dyDescent="0.2">
      <c r="A29" s="83"/>
      <c r="B29" s="396" t="s">
        <v>226</v>
      </c>
      <c r="C29" s="441" t="str">
        <f>+'Plant Overview'!E9</f>
        <v>$</v>
      </c>
      <c r="D29" s="446" t="s">
        <v>146</v>
      </c>
      <c r="E29" s="253"/>
      <c r="F29" s="83"/>
      <c r="G29" s="83"/>
      <c r="H29" s="83"/>
      <c r="I29" s="83"/>
      <c r="J29" s="83"/>
      <c r="K29" s="83"/>
      <c r="L29" s="83"/>
      <c r="M29" s="83"/>
      <c r="N29" s="83"/>
      <c r="O29" s="83"/>
    </row>
    <row r="30" spans="1:16" ht="36" customHeight="1" x14ac:dyDescent="0.2">
      <c r="A30" s="83"/>
      <c r="B30" s="442" t="s">
        <v>50</v>
      </c>
      <c r="C30" s="443">
        <f>+'Plant Overview'!E8</f>
        <v>2024</v>
      </c>
      <c r="D30" s="392"/>
      <c r="E30" s="83"/>
      <c r="F30" s="83"/>
      <c r="G30" s="83"/>
      <c r="H30" s="83"/>
      <c r="I30" s="83"/>
      <c r="J30" s="83"/>
      <c r="K30" s="83"/>
      <c r="L30" s="83"/>
      <c r="M30" s="83"/>
      <c r="N30" s="83"/>
      <c r="O30" s="83"/>
    </row>
    <row r="31" spans="1:16" ht="36" customHeight="1" x14ac:dyDescent="0.2">
      <c r="A31" s="83"/>
      <c r="B31" s="444" t="s">
        <v>47</v>
      </c>
      <c r="C31" s="445" t="str">
        <f>+'Plant Overview'!E7</f>
        <v>US Midwest</v>
      </c>
      <c r="D31" s="393"/>
      <c r="E31" s="83"/>
      <c r="F31" s="83"/>
      <c r="G31" s="83"/>
      <c r="H31" s="83"/>
      <c r="I31" s="83"/>
      <c r="J31" s="83"/>
      <c r="K31" s="83"/>
      <c r="L31" s="83"/>
      <c r="M31" s="83"/>
      <c r="N31" s="83"/>
      <c r="O31" s="83"/>
    </row>
    <row r="32" spans="1:16" ht="36" customHeight="1" x14ac:dyDescent="0.2">
      <c r="A32" s="83"/>
      <c r="B32" s="83"/>
      <c r="C32" s="160"/>
      <c r="D32" s="160"/>
      <c r="E32" s="83"/>
      <c r="F32" s="83"/>
      <c r="G32" s="83"/>
      <c r="H32" s="83"/>
      <c r="I32" s="83"/>
      <c r="J32" s="83"/>
      <c r="K32" s="83"/>
      <c r="L32" s="83"/>
      <c r="M32" s="83"/>
      <c r="N32" s="83"/>
      <c r="O32" s="83"/>
    </row>
    <row r="33" spans="1:15" ht="36" customHeight="1" x14ac:dyDescent="0.2">
      <c r="A33" s="83"/>
      <c r="B33" s="410" t="s">
        <v>592</v>
      </c>
      <c r="C33" s="411" t="str">
        <f>+"Total (M"&amp;C29&amp;")"</f>
        <v>Total (M$)</v>
      </c>
      <c r="D33" s="412" t="str">
        <f>+"Specific ("&amp;C29&amp;"/"&amp;'Plant Overview'!J32&amp;")"</f>
        <v>Specific ($/kg/s)</v>
      </c>
      <c r="E33" s="412" t="s">
        <v>593</v>
      </c>
      <c r="F33" s="83"/>
      <c r="G33" s="83"/>
      <c r="H33" s="83"/>
      <c r="I33" s="83"/>
      <c r="J33" s="83"/>
      <c r="K33" s="83"/>
      <c r="L33" s="83"/>
      <c r="M33" s="83"/>
      <c r="N33" s="83"/>
      <c r="O33" s="83"/>
    </row>
    <row r="34" spans="1:15" ht="36" customHeight="1" x14ac:dyDescent="0.2">
      <c r="A34" s="83"/>
      <c r="B34" s="444" t="s">
        <v>594</v>
      </c>
      <c r="C34" s="447">
        <v>756.0682373046875</v>
      </c>
      <c r="D34" s="447">
        <f>+C34/'Cash Flow Analysis'!D5</f>
        <v>24.123903906975883</v>
      </c>
      <c r="E34" s="447">
        <f>N13*1000/'Plant Overview'!E17</f>
        <v>1171.0844892643195</v>
      </c>
      <c r="F34" s="83"/>
      <c r="G34" s="83"/>
      <c r="H34" s="83"/>
      <c r="I34" s="83"/>
      <c r="J34" s="83"/>
      <c r="K34" s="83"/>
      <c r="L34" s="83"/>
      <c r="M34" s="83"/>
      <c r="N34" s="83"/>
      <c r="O34" s="83"/>
    </row>
    <row r="35" spans="1:15" ht="36" customHeight="1" x14ac:dyDescent="0.2">
      <c r="A35" s="83"/>
      <c r="B35" s="444" t="s">
        <v>595</v>
      </c>
      <c r="C35" s="447">
        <v>828.7528076171875</v>
      </c>
      <c r="D35" s="447">
        <f>+C35/'Cash Flow Analysis'!D5</f>
        <v>26.443053823905888</v>
      </c>
      <c r="E35" s="447">
        <f>N14*1000/'Plant Overview'!E17</f>
        <v>1283.6666196884921</v>
      </c>
      <c r="F35" s="83"/>
      <c r="G35" s="83"/>
      <c r="H35" s="83"/>
      <c r="I35" s="83"/>
      <c r="J35" s="83"/>
      <c r="K35" s="83"/>
      <c r="L35" s="83"/>
      <c r="M35" s="83"/>
      <c r="N35" s="83"/>
      <c r="O35" s="83"/>
    </row>
    <row r="36" spans="1:15" ht="36" customHeight="1" x14ac:dyDescent="0.2">
      <c r="A36" s="83"/>
      <c r="B36" s="83"/>
      <c r="C36" s="83"/>
      <c r="D36" s="83"/>
      <c r="E36" s="83"/>
      <c r="F36" s="83"/>
      <c r="G36" s="83"/>
      <c r="H36" s="83"/>
      <c r="I36" s="83"/>
      <c r="J36" s="83"/>
      <c r="K36" s="83"/>
      <c r="L36" s="83"/>
      <c r="M36" s="83"/>
      <c r="N36" s="83"/>
      <c r="O36" s="83"/>
    </row>
    <row r="37" spans="1:15" ht="36" customHeight="1" x14ac:dyDescent="0.2">
      <c r="A37" s="83"/>
      <c r="B37" s="604" t="s">
        <v>596</v>
      </c>
      <c r="C37" s="362" t="s">
        <v>597</v>
      </c>
      <c r="D37" s="225"/>
      <c r="E37" s="83"/>
      <c r="F37" s="83"/>
      <c r="G37" s="83"/>
      <c r="H37" s="83"/>
      <c r="I37" s="83"/>
      <c r="J37" s="83"/>
      <c r="K37" s="83"/>
      <c r="L37" s="83"/>
      <c r="M37" s="83"/>
      <c r="N37" s="83"/>
      <c r="O37" s="83"/>
    </row>
    <row r="38" spans="1:15" ht="36" customHeight="1" x14ac:dyDescent="0.2">
      <c r="A38" s="83"/>
      <c r="B38" s="605"/>
      <c r="C38" s="255" t="s">
        <v>598</v>
      </c>
      <c r="D38" s="225"/>
      <c r="E38" s="83"/>
      <c r="F38" s="83"/>
      <c r="G38" s="83"/>
      <c r="H38" s="83"/>
      <c r="I38" s="83"/>
      <c r="J38" s="83"/>
      <c r="K38" s="83"/>
      <c r="L38" s="83"/>
      <c r="M38" s="83"/>
      <c r="N38" s="83"/>
      <c r="O38" s="83"/>
    </row>
    <row r="39" spans="1:15" x14ac:dyDescent="0.2">
      <c r="A39" s="83"/>
      <c r="B39" s="83"/>
      <c r="C39" s="83"/>
      <c r="D39" s="83"/>
      <c r="E39" s="83"/>
      <c r="F39" s="83"/>
      <c r="G39" s="83"/>
      <c r="H39" s="83"/>
      <c r="I39" s="83"/>
      <c r="J39" s="83"/>
      <c r="K39" s="83"/>
      <c r="L39" s="83"/>
      <c r="M39" s="83"/>
      <c r="N39" s="83"/>
      <c r="O39" s="83"/>
    </row>
    <row r="40" spans="1:15" x14ac:dyDescent="0.2">
      <c r="A40" s="83"/>
      <c r="B40" s="83"/>
      <c r="C40" s="83"/>
      <c r="D40" s="83"/>
      <c r="E40" s="83"/>
      <c r="F40" s="83"/>
      <c r="G40" s="83"/>
      <c r="H40" s="83"/>
      <c r="I40" s="83"/>
      <c r="J40" s="83"/>
      <c r="K40" s="83"/>
      <c r="L40" s="83"/>
      <c r="M40" s="83"/>
      <c r="N40" s="83"/>
      <c r="O40" s="83"/>
    </row>
    <row r="41" spans="1:15" x14ac:dyDescent="0.2">
      <c r="A41" s="83"/>
      <c r="B41" s="83"/>
      <c r="C41" s="83"/>
      <c r="D41" s="83"/>
      <c r="E41" s="83"/>
      <c r="F41" s="83"/>
      <c r="G41" s="83"/>
      <c r="H41" s="83"/>
      <c r="I41" s="83"/>
      <c r="J41" s="83"/>
      <c r="K41" s="83"/>
      <c r="L41" s="83"/>
      <c r="M41" s="83"/>
      <c r="N41" s="83"/>
      <c r="O41" s="83"/>
    </row>
    <row r="42" spans="1:15" x14ac:dyDescent="0.2">
      <c r="A42" s="83"/>
      <c r="B42" s="83"/>
      <c r="C42" s="83"/>
      <c r="D42" s="83"/>
      <c r="E42" s="83"/>
      <c r="F42" s="83"/>
      <c r="G42" s="83"/>
      <c r="H42" s="83"/>
      <c r="I42" s="83"/>
      <c r="J42" s="83"/>
      <c r="K42" s="83"/>
      <c r="L42" s="83"/>
      <c r="M42" s="83"/>
      <c r="N42" s="83"/>
      <c r="O42" s="83"/>
    </row>
    <row r="43" spans="1:15" x14ac:dyDescent="0.2">
      <c r="A43" s="83"/>
      <c r="B43" s="83"/>
      <c r="C43" s="83"/>
      <c r="D43" s="83"/>
      <c r="E43" s="83"/>
      <c r="F43" s="83"/>
      <c r="G43" s="83"/>
      <c r="H43" s="83"/>
      <c r="I43" s="83"/>
      <c r="J43" s="83"/>
      <c r="K43" s="83"/>
      <c r="L43" s="83"/>
      <c r="M43" s="83"/>
      <c r="N43" s="83"/>
      <c r="O43" s="83"/>
    </row>
    <row r="44" spans="1:15" x14ac:dyDescent="0.2">
      <c r="A44" s="83"/>
      <c r="B44" s="83"/>
      <c r="C44" s="83"/>
      <c r="D44" s="83"/>
      <c r="E44" s="83"/>
      <c r="F44" s="83"/>
      <c r="G44" s="83"/>
      <c r="H44" s="83"/>
      <c r="I44" s="83"/>
      <c r="J44" s="83"/>
      <c r="K44" s="83"/>
      <c r="L44" s="83"/>
      <c r="M44" s="83"/>
      <c r="N44" s="83"/>
      <c r="O44" s="83"/>
    </row>
    <row r="45" spans="1:15" x14ac:dyDescent="0.2">
      <c r="A45" s="83"/>
      <c r="B45" s="83"/>
      <c r="C45" s="83"/>
      <c r="D45" s="83"/>
      <c r="E45" s="83"/>
      <c r="F45" s="83"/>
      <c r="G45" s="83"/>
      <c r="H45" s="83"/>
      <c r="I45" s="83"/>
      <c r="J45" s="83"/>
      <c r="K45" s="83"/>
      <c r="L45" s="83"/>
      <c r="M45" s="83"/>
      <c r="N45" s="83"/>
      <c r="O45" s="83"/>
    </row>
    <row r="46" spans="1:15" x14ac:dyDescent="0.2">
      <c r="A46" s="83"/>
      <c r="B46" s="83"/>
      <c r="C46" s="83"/>
      <c r="D46" s="83"/>
      <c r="E46" s="83"/>
      <c r="F46" s="83"/>
      <c r="G46" s="83"/>
      <c r="H46" s="83"/>
      <c r="I46" s="83"/>
      <c r="J46" s="83"/>
      <c r="K46" s="83"/>
      <c r="L46" s="83"/>
      <c r="M46" s="83"/>
      <c r="N46" s="83"/>
      <c r="O46" s="83"/>
    </row>
    <row r="47" spans="1:15" x14ac:dyDescent="0.2">
      <c r="A47" s="83"/>
      <c r="B47" s="83"/>
      <c r="C47" s="83"/>
      <c r="D47" s="83"/>
      <c r="E47" s="83"/>
      <c r="F47" s="83"/>
      <c r="G47" s="83"/>
      <c r="H47" s="83"/>
      <c r="I47" s="83"/>
      <c r="J47" s="83"/>
      <c r="K47" s="83"/>
      <c r="L47" s="83"/>
      <c r="M47" s="83"/>
      <c r="N47" s="83"/>
      <c r="O47" s="83"/>
    </row>
    <row r="48" spans="1:15" x14ac:dyDescent="0.2">
      <c r="A48" s="83"/>
      <c r="B48" s="83"/>
      <c r="C48" s="83"/>
      <c r="D48" s="83"/>
      <c r="E48" s="83"/>
      <c r="F48" s="83"/>
      <c r="G48" s="83"/>
      <c r="H48" s="83"/>
      <c r="I48" s="83"/>
      <c r="J48" s="83"/>
      <c r="K48" s="83"/>
      <c r="L48" s="83"/>
      <c r="M48" s="83"/>
      <c r="N48" s="83"/>
      <c r="O48" s="83"/>
    </row>
    <row r="49" spans="1:15" x14ac:dyDescent="0.2">
      <c r="A49" s="83"/>
      <c r="B49" s="83"/>
      <c r="C49" s="83"/>
      <c r="D49" s="83"/>
      <c r="E49" s="83"/>
      <c r="F49" s="83"/>
      <c r="G49" s="83"/>
      <c r="H49" s="83"/>
      <c r="I49" s="83"/>
      <c r="J49" s="83"/>
      <c r="K49" s="83"/>
      <c r="L49" s="83"/>
      <c r="M49" s="83"/>
      <c r="N49" s="83"/>
      <c r="O49" s="83"/>
    </row>
    <row r="50" spans="1:15" x14ac:dyDescent="0.2">
      <c r="A50" s="83"/>
      <c r="B50" s="83"/>
      <c r="C50" s="83"/>
      <c r="D50" s="83"/>
      <c r="E50" s="83"/>
      <c r="F50" s="83"/>
      <c r="G50" s="83"/>
      <c r="H50" s="83"/>
      <c r="I50" s="83"/>
      <c r="J50" s="83"/>
      <c r="K50" s="83"/>
      <c r="L50" s="83"/>
      <c r="M50" s="83"/>
      <c r="N50" s="83"/>
      <c r="O50" s="83"/>
    </row>
  </sheetData>
  <mergeCells count="1">
    <mergeCell ref="B28:C28"/>
  </mergeCells>
  <phoneticPr fontId="15"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25400</xdr:colOff>
                    <xdr:row>29</xdr:row>
                    <xdr:rowOff>25400</xdr:rowOff>
                  </from>
                  <to>
                    <xdr:col>3</xdr:col>
                    <xdr:colOff>2235200</xdr:colOff>
                    <xdr:row>30</xdr:row>
                    <xdr:rowOff>444500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25400</xdr:colOff>
                    <xdr:row>36</xdr:row>
                    <xdr:rowOff>25400</xdr:rowOff>
                  </from>
                  <to>
                    <xdr:col>4</xdr:col>
                    <xdr:colOff>0</xdr:colOff>
                    <xdr:row>37</xdr:row>
                    <xdr:rowOff>12700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25400</xdr:colOff>
                    <xdr:row>37</xdr:row>
                    <xdr:rowOff>25400</xdr:rowOff>
                  </from>
                  <to>
                    <xdr:col>3</xdr:col>
                    <xdr:colOff>2222500</xdr:colOff>
                    <xdr:row>38</xdr:row>
                    <xdr:rowOff>0</xdr:rowOff>
                  </to>
                </anchor>
              </controlPr>
            </control>
          </mc:Choice>
        </mc:AlternateContent>
        <mc:AlternateContent xmlns:mc="http://schemas.openxmlformats.org/markup-compatibility/2006">
          <mc:Choice Requires="x14">
            <control shapeId="41993" r:id="rId7" name="Button 9">
              <controlPr defaultSize="0" print="0" autoFill="0" autoPict="0" macro="[0]!UpTot">
                <anchor moveWithCells="1" sizeWithCells="1">
                  <from>
                    <xdr:col>1</xdr:col>
                    <xdr:colOff>25400</xdr:colOff>
                    <xdr:row>37</xdr:row>
                    <xdr:rowOff>25400</xdr:rowOff>
                  </from>
                  <to>
                    <xdr:col>1</xdr:col>
                    <xdr:colOff>3111500</xdr:colOff>
                    <xdr:row>37</xdr:row>
                    <xdr:rowOff>444500</xdr:rowOff>
                  </to>
                </anchor>
              </controlPr>
            </control>
          </mc:Choice>
        </mc:AlternateContent>
        <mc:AlternateContent xmlns:mc="http://schemas.openxmlformats.org/markup-compatibility/2006">
          <mc:Choice Requires="x14">
            <control shapeId="41994" r:id="rId8" name="Button 10">
              <controlPr defaultSize="0" print="0" autoFill="0" autoPict="0" macro="[0]!UpTot">
                <anchor moveWithCells="1" sizeWithCells="1">
                  <from>
                    <xdr:col>2</xdr:col>
                    <xdr:colOff>25400</xdr:colOff>
                    <xdr:row>0</xdr:row>
                    <xdr:rowOff>25400</xdr:rowOff>
                  </from>
                  <to>
                    <xdr:col>2</xdr:col>
                    <xdr:colOff>3111500</xdr:colOff>
                    <xdr:row>0</xdr:row>
                    <xdr:rowOff>355600</xdr:rowOff>
                  </to>
                </anchor>
              </controlPr>
            </control>
          </mc:Choice>
        </mc:AlternateContent>
      </controls>
    </mc:Choice>
  </mc:AlternateContent>
  <tableParts count="2">
    <tablePart r:id="rId9"/>
    <tablePart r:id="rId10"/>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AA53"/>
  <sheetViews>
    <sheetView showGridLines="0" tabSelected="1" zoomScaleNormal="80" workbookViewId="0">
      <selection activeCell="C19" sqref="C19"/>
    </sheetView>
  </sheetViews>
  <sheetFormatPr baseColWidth="10" defaultColWidth="11.1640625" defaultRowHeight="15" x14ac:dyDescent="0.2"/>
  <cols>
    <col min="1" max="1" width="3.33203125" customWidth="1"/>
    <col min="2" max="7" width="19.1640625" customWidth="1"/>
    <col min="8" max="8" width="3.33203125" style="83" customWidth="1"/>
    <col min="9" max="14" width="19.1640625" customWidth="1"/>
    <col min="15" max="15" width="3.33203125" customWidth="1"/>
    <col min="16" max="21" width="19.1640625" customWidth="1"/>
    <col min="25" max="27" width="18.5" customWidth="1"/>
  </cols>
  <sheetData>
    <row r="1" spans="1:27" ht="21" customHeight="1" x14ac:dyDescent="0.2">
      <c r="H1"/>
    </row>
    <row r="2" spans="1:27" ht="21" customHeight="1" x14ac:dyDescent="0.2">
      <c r="A2" s="83"/>
      <c r="B2" s="1027" t="s">
        <v>599</v>
      </c>
      <c r="C2" s="1027"/>
      <c r="D2" s="83"/>
      <c r="E2" s="83"/>
      <c r="F2" s="83"/>
      <c r="G2" s="83"/>
      <c r="I2" s="83"/>
      <c r="J2" s="83"/>
      <c r="K2" s="83"/>
      <c r="L2" s="83"/>
      <c r="M2" s="83"/>
      <c r="N2" s="83"/>
      <c r="O2" s="83"/>
      <c r="P2" s="83"/>
      <c r="Q2" s="83"/>
      <c r="R2" s="83"/>
      <c r="S2" s="917" t="s">
        <v>600</v>
      </c>
      <c r="T2" s="918"/>
      <c r="U2" s="918"/>
      <c r="V2" s="918"/>
      <c r="W2" s="918"/>
      <c r="X2" s="918"/>
      <c r="Y2" s="919"/>
    </row>
    <row r="3" spans="1:27" ht="21" customHeight="1" x14ac:dyDescent="0.2">
      <c r="A3" s="83"/>
      <c r="B3" s="1027"/>
      <c r="C3" s="1027"/>
      <c r="D3" s="83"/>
      <c r="E3" s="83"/>
      <c r="F3" s="83"/>
      <c r="G3" s="83"/>
      <c r="I3" s="83"/>
      <c r="J3" s="381"/>
      <c r="K3" s="381"/>
      <c r="L3" s="381"/>
      <c r="M3" s="83"/>
      <c r="N3" s="83"/>
      <c r="O3" s="83"/>
      <c r="P3" s="920" t="s">
        <v>40</v>
      </c>
      <c r="Q3" s="921"/>
      <c r="T3" s="83"/>
      <c r="U3" s="83"/>
      <c r="V3" s="83"/>
    </row>
    <row r="4" spans="1:27" ht="21" customHeight="1" x14ac:dyDescent="0.2">
      <c r="A4" s="83"/>
      <c r="B4" s="1031" t="s">
        <v>146</v>
      </c>
      <c r="C4" s="1032"/>
      <c r="D4" s="83"/>
      <c r="E4" s="83"/>
      <c r="F4" s="227" t="s">
        <v>129</v>
      </c>
      <c r="G4" s="228" t="s">
        <v>130</v>
      </c>
      <c r="I4" s="83"/>
      <c r="J4" s="83"/>
      <c r="K4" s="220"/>
      <c r="L4" s="218"/>
      <c r="M4" s="215"/>
      <c r="N4" s="83"/>
      <c r="O4" s="83"/>
      <c r="P4" s="367"/>
      <c r="Q4" s="324" t="s">
        <v>43</v>
      </c>
      <c r="S4" s="116" t="s">
        <v>252</v>
      </c>
      <c r="T4" s="117" t="s">
        <v>2</v>
      </c>
      <c r="U4" s="939" t="s">
        <v>82</v>
      </c>
      <c r="V4" s="940"/>
      <c r="W4" s="940"/>
      <c r="X4" s="940"/>
      <c r="Y4" s="941"/>
    </row>
    <row r="5" spans="1:27" ht="21" customHeight="1" x14ac:dyDescent="0.2">
      <c r="A5" s="83"/>
      <c r="B5" s="1033"/>
      <c r="C5" s="1034"/>
      <c r="D5" s="83"/>
      <c r="E5" s="226" t="s">
        <v>601</v>
      </c>
      <c r="F5" s="225"/>
      <c r="G5" s="225"/>
      <c r="I5" s="83"/>
      <c r="J5" s="83"/>
      <c r="K5" s="215"/>
      <c r="L5" s="218"/>
      <c r="M5" s="215"/>
      <c r="N5" s="83"/>
      <c r="O5" s="83"/>
      <c r="P5" s="400"/>
      <c r="Q5" s="324" t="s">
        <v>49</v>
      </c>
      <c r="S5" s="493"/>
      <c r="T5" s="110"/>
      <c r="U5" s="988"/>
      <c r="V5" s="989"/>
      <c r="W5" s="989"/>
      <c r="X5" s="989"/>
      <c r="Y5" s="990"/>
    </row>
    <row r="6" spans="1:27" ht="21" customHeight="1" x14ac:dyDescent="0.2">
      <c r="A6" s="83"/>
      <c r="B6" s="1031"/>
      <c r="C6" s="1032"/>
      <c r="D6" s="83"/>
      <c r="E6" s="226" t="s">
        <v>602</v>
      </c>
      <c r="F6" s="225"/>
      <c r="G6" s="225"/>
      <c r="I6" s="83"/>
      <c r="J6" s="83"/>
      <c r="K6" s="375"/>
      <c r="L6" s="218"/>
      <c r="M6" s="215"/>
      <c r="N6" s="83"/>
      <c r="O6" s="83"/>
      <c r="P6" s="401"/>
      <c r="Q6" s="98" t="s">
        <v>51</v>
      </c>
      <c r="S6" s="493"/>
      <c r="T6" s="110"/>
      <c r="U6" s="988"/>
      <c r="V6" s="989"/>
      <c r="W6" s="989"/>
      <c r="X6" s="989"/>
      <c r="Y6" s="990"/>
    </row>
    <row r="7" spans="1:27" s="83" customFormat="1" ht="21" customHeight="1" x14ac:dyDescent="0.2">
      <c r="B7" s="1035"/>
      <c r="C7" s="1036"/>
      <c r="E7" s="226" t="s">
        <v>603</v>
      </c>
      <c r="F7" s="225"/>
      <c r="G7" s="225"/>
      <c r="K7" s="215"/>
      <c r="L7" s="218"/>
      <c r="M7" s="215"/>
      <c r="P7" s="402"/>
      <c r="Q7" s="310" t="s">
        <v>54</v>
      </c>
      <c r="S7" s="493"/>
      <c r="T7" s="110"/>
      <c r="U7" s="988"/>
      <c r="V7" s="989"/>
      <c r="W7" s="989"/>
      <c r="X7" s="989"/>
      <c r="Y7" s="990"/>
    </row>
    <row r="8" spans="1:27" s="83" customFormat="1" ht="21" customHeight="1" x14ac:dyDescent="0.2">
      <c r="B8" s="1035"/>
      <c r="C8" s="1036"/>
      <c r="E8" s="1031" t="s">
        <v>604</v>
      </c>
      <c r="F8" s="1037"/>
      <c r="G8" s="1032"/>
      <c r="K8" s="215"/>
      <c r="L8" s="218"/>
      <c r="M8" s="215"/>
      <c r="S8" s="493"/>
      <c r="T8" s="110"/>
      <c r="U8" s="988"/>
      <c r="V8" s="989"/>
      <c r="W8" s="989"/>
      <c r="X8" s="989"/>
      <c r="Y8" s="990"/>
    </row>
    <row r="9" spans="1:27" ht="21" customHeight="1" x14ac:dyDescent="0.2">
      <c r="A9" s="83"/>
      <c r="B9" s="1033"/>
      <c r="C9" s="1034"/>
      <c r="D9" s="378"/>
      <c r="E9" s="1033"/>
      <c r="F9" s="1038"/>
      <c r="G9" s="1034"/>
      <c r="I9" s="83"/>
      <c r="J9" s="215"/>
      <c r="K9" s="215"/>
      <c r="L9" s="215"/>
      <c r="M9" s="215"/>
      <c r="N9" s="83"/>
      <c r="O9" s="83"/>
      <c r="P9" s="242" t="s">
        <v>605</v>
      </c>
      <c r="Q9" s="310">
        <f>+'Cost Conversion'!L2</f>
        <v>1.2</v>
      </c>
      <c r="S9" s="493"/>
      <c r="T9" s="110"/>
      <c r="U9" s="988"/>
      <c r="V9" s="989"/>
      <c r="W9" s="989"/>
      <c r="X9" s="989"/>
      <c r="Y9" s="990"/>
    </row>
    <row r="10" spans="1:27" ht="21" customHeight="1" x14ac:dyDescent="0.2">
      <c r="A10" s="83"/>
      <c r="B10" s="83"/>
      <c r="C10" s="83"/>
      <c r="D10" s="378"/>
      <c r="E10" s="83"/>
      <c r="F10" s="217"/>
      <c r="G10" s="83"/>
      <c r="I10" s="83"/>
      <c r="J10" s="215"/>
      <c r="K10" s="215"/>
      <c r="L10" s="215"/>
      <c r="M10" s="215"/>
      <c r="N10" s="83"/>
      <c r="O10" s="83"/>
      <c r="P10" s="242" t="s">
        <v>606</v>
      </c>
      <c r="Q10" s="86">
        <f>365.25*24</f>
        <v>8766</v>
      </c>
      <c r="T10" s="215"/>
      <c r="U10" s="215"/>
      <c r="V10" s="215"/>
    </row>
    <row r="11" spans="1:27" ht="21" customHeight="1" x14ac:dyDescent="0.2">
      <c r="A11" s="83"/>
      <c r="B11" s="83"/>
      <c r="C11" s="83"/>
      <c r="D11" s="378"/>
      <c r="E11" s="83"/>
      <c r="F11" s="217"/>
      <c r="G11" s="83"/>
      <c r="I11" s="83"/>
      <c r="J11" s="215"/>
      <c r="K11" s="215"/>
      <c r="L11" s="215"/>
      <c r="M11" s="215"/>
      <c r="N11" s="83"/>
      <c r="O11" s="83"/>
      <c r="P11" s="242" t="s">
        <v>1189</v>
      </c>
      <c r="Q11" s="539">
        <v>0</v>
      </c>
      <c r="T11" s="215"/>
      <c r="U11" s="215"/>
      <c r="V11" s="215"/>
    </row>
    <row r="12" spans="1:27" ht="21" customHeight="1" x14ac:dyDescent="0.2">
      <c r="A12" s="83"/>
      <c r="B12" s="83"/>
      <c r="C12" s="83"/>
      <c r="D12" s="378"/>
      <c r="E12" s="83"/>
      <c r="F12" s="217"/>
      <c r="G12" s="83"/>
      <c r="J12" s="215"/>
      <c r="K12" s="215"/>
      <c r="L12" s="215"/>
      <c r="M12" s="215"/>
      <c r="N12" s="83"/>
      <c r="O12" s="83"/>
      <c r="T12" s="215"/>
      <c r="U12" s="215"/>
      <c r="V12" s="215"/>
    </row>
    <row r="13" spans="1:27" ht="21" customHeight="1" x14ac:dyDescent="0.2">
      <c r="A13" s="83"/>
      <c r="B13" s="83"/>
      <c r="C13" s="83"/>
      <c r="D13" s="215"/>
      <c r="E13" s="215"/>
      <c r="F13" s="215"/>
      <c r="G13" s="215"/>
      <c r="I13" s="83"/>
      <c r="J13" s="222"/>
      <c r="K13" s="217"/>
      <c r="L13" s="83"/>
      <c r="M13" s="83"/>
      <c r="N13" s="83"/>
      <c r="O13" s="83"/>
      <c r="P13" s="215"/>
      <c r="Q13" s="215"/>
      <c r="R13" s="215"/>
      <c r="S13" s="215"/>
      <c r="T13" s="215"/>
      <c r="U13" s="215"/>
      <c r="V13" s="215"/>
    </row>
    <row r="14" spans="1:27" ht="21" customHeight="1" x14ac:dyDescent="0.2">
      <c r="A14" s="83"/>
      <c r="B14" s="1028" t="s">
        <v>607</v>
      </c>
      <c r="C14" s="1029"/>
      <c r="D14" s="1029"/>
      <c r="E14" s="1029"/>
      <c r="F14" s="1029"/>
      <c r="G14" s="1030"/>
      <c r="H14" s="181"/>
      <c r="I14" s="1028" t="s">
        <v>608</v>
      </c>
      <c r="J14" s="1029"/>
      <c r="K14" s="1029"/>
      <c r="L14" s="1029"/>
      <c r="M14" s="1029"/>
      <c r="N14" s="1030"/>
      <c r="O14" s="83"/>
      <c r="P14" s="917" t="s">
        <v>609</v>
      </c>
      <c r="Q14" s="918"/>
      <c r="R14" s="918"/>
      <c r="S14" s="918"/>
      <c r="T14" s="918"/>
      <c r="U14" s="919"/>
      <c r="V14" s="215"/>
      <c r="W14" s="174" t="str">
        <f>+B21</f>
        <v>Total FOM</v>
      </c>
      <c r="Y14" s="877" t="s">
        <v>610</v>
      </c>
      <c r="Z14" s="878"/>
      <c r="AA14" s="879"/>
    </row>
    <row r="15" spans="1:27" ht="21" customHeight="1" x14ac:dyDescent="0.2">
      <c r="A15" s="83"/>
      <c r="B15" s="449" t="s">
        <v>611</v>
      </c>
      <c r="C15" s="450" t="s">
        <v>74</v>
      </c>
      <c r="D15" s="449" t="s">
        <v>612</v>
      </c>
      <c r="E15" s="450" t="s">
        <v>613</v>
      </c>
      <c r="F15" s="449" t="s">
        <v>614</v>
      </c>
      <c r="G15" s="521" t="s">
        <v>615</v>
      </c>
      <c r="H15" s="379"/>
      <c r="I15" s="449" t="s">
        <v>611</v>
      </c>
      <c r="J15" s="450" t="s">
        <v>74</v>
      </c>
      <c r="K15" s="449" t="s">
        <v>612</v>
      </c>
      <c r="L15" s="450" t="s">
        <v>613</v>
      </c>
      <c r="M15" s="449" t="s">
        <v>614</v>
      </c>
      <c r="N15" s="451" t="s">
        <v>616</v>
      </c>
      <c r="O15" s="380"/>
      <c r="P15" s="452" t="s">
        <v>611</v>
      </c>
      <c r="Q15" s="453" t="s">
        <v>74</v>
      </c>
      <c r="R15" s="454" t="s">
        <v>612</v>
      </c>
      <c r="S15" s="453" t="s">
        <v>613</v>
      </c>
      <c r="T15" s="454" t="s">
        <v>614</v>
      </c>
      <c r="U15" s="455" t="s">
        <v>616</v>
      </c>
      <c r="V15" s="215"/>
      <c r="W15" s="174" t="str">
        <f>+I16</f>
        <v>NG</v>
      </c>
      <c r="Y15" s="182" t="s">
        <v>617</v>
      </c>
      <c r="Z15" s="590">
        <f>-'Plant Overview'!E33</f>
        <v>72.193200000000019</v>
      </c>
      <c r="AA15" s="182" t="s">
        <v>57</v>
      </c>
    </row>
    <row r="16" spans="1:27" ht="21" customHeight="1" x14ac:dyDescent="0.2">
      <c r="A16" s="83"/>
      <c r="B16" s="96" t="s">
        <v>618</v>
      </c>
      <c r="C16" s="96">
        <v>60</v>
      </c>
      <c r="D16" s="96" t="s">
        <v>619</v>
      </c>
      <c r="E16" s="96">
        <v>72000</v>
      </c>
      <c r="F16" s="1118" t="s">
        <v>1179</v>
      </c>
      <c r="G16" s="152">
        <f>+C16*E16/10^6</f>
        <v>4.32</v>
      </c>
      <c r="H16" s="181"/>
      <c r="I16" s="96" t="str">
        <f>+'Plant Overview'!H71</f>
        <v>NG</v>
      </c>
      <c r="J16" s="96">
        <f>+'Plant Overview'!I71*'Plant Overview'!E57/10^6*3600*Q10</f>
        <v>24974311.673109803</v>
      </c>
      <c r="K16" s="96" t="s">
        <v>620</v>
      </c>
      <c r="L16" s="96">
        <f>+'Cash Flow Analysis'!G43</f>
        <v>5</v>
      </c>
      <c r="M16" s="1118" t="s">
        <v>1182</v>
      </c>
      <c r="N16" s="398">
        <f>+J16*L16/10^6</f>
        <v>124.87155836554901</v>
      </c>
      <c r="O16" s="83"/>
      <c r="P16" s="96" t="s">
        <v>621</v>
      </c>
      <c r="Q16" s="158">
        <f>+Z16*3600*Q10/1000</f>
        <v>79406.495424000008</v>
      </c>
      <c r="R16" s="96" t="str">
        <f>+R17</f>
        <v>ton/y</v>
      </c>
      <c r="S16" s="96">
        <f>+'Cash Flow Analysis'!G45</f>
        <v>0</v>
      </c>
      <c r="T16" s="1119" t="s">
        <v>1180</v>
      </c>
      <c r="U16" s="152">
        <f t="shared" ref="U16:U23" si="0">+Q16*S16/10^6</f>
        <v>0</v>
      </c>
      <c r="V16" s="215"/>
      <c r="W16" s="174" t="str">
        <f>+I17</f>
        <v>Electricity</v>
      </c>
      <c r="Y16" s="99" t="s">
        <v>622</v>
      </c>
      <c r="Z16" s="154">
        <f>+'Plant Overview'!I52</f>
        <v>2.5162400000000003</v>
      </c>
      <c r="AA16" s="99" t="s">
        <v>78</v>
      </c>
    </row>
    <row r="17" spans="1:27" ht="21" customHeight="1" x14ac:dyDescent="0.25">
      <c r="A17" s="83"/>
      <c r="B17" s="96" t="s">
        <v>623</v>
      </c>
      <c r="C17" s="158">
        <f>+'Plant CAPEX'!N13</f>
        <v>756.0682373046875</v>
      </c>
      <c r="D17" s="96" t="s">
        <v>1184</v>
      </c>
      <c r="E17" s="733">
        <v>2.5000000000000001E-2</v>
      </c>
      <c r="F17" s="96" t="s">
        <v>624</v>
      </c>
      <c r="G17" s="152">
        <f>+C17*E17</f>
        <v>18.901705932617187</v>
      </c>
      <c r="H17" s="221"/>
      <c r="I17" s="96" t="s">
        <v>625</v>
      </c>
      <c r="J17" s="96">
        <f>+Z15*Q10*Q11</f>
        <v>0</v>
      </c>
      <c r="K17" s="96" t="s">
        <v>626</v>
      </c>
      <c r="L17" s="96">
        <f>+'Cash Flow Analysis'!G44</f>
        <v>50</v>
      </c>
      <c r="M17" s="1119" t="s">
        <v>1178</v>
      </c>
      <c r="N17" s="152">
        <f t="shared" ref="N17" si="1">+J17*L17/10^6</f>
        <v>0</v>
      </c>
      <c r="O17" s="83"/>
      <c r="P17" s="96" t="s">
        <v>627</v>
      </c>
      <c r="Q17" s="158">
        <f>+Z17*3600*Q10/1000</f>
        <v>1376858.088</v>
      </c>
      <c r="R17" s="96" t="s">
        <v>628</v>
      </c>
      <c r="S17" s="96">
        <f>+'Cash Flow Analysis'!G48</f>
        <v>0</v>
      </c>
      <c r="T17" s="96" t="str">
        <f>+T16</f>
        <v>$/ton</v>
      </c>
      <c r="U17" s="152">
        <f t="shared" si="0"/>
        <v>0</v>
      </c>
      <c r="V17" s="215"/>
      <c r="W17" s="174" t="str">
        <f>+P26</f>
        <v>Total VOM (exl. Fuel &amp; CO2 tax)</v>
      </c>
      <c r="Y17" s="99" t="s">
        <v>629</v>
      </c>
      <c r="Z17" s="154">
        <f>+'Plant Overview'!E44</f>
        <v>43.63</v>
      </c>
      <c r="AA17" s="99" t="s">
        <v>78</v>
      </c>
    </row>
    <row r="18" spans="1:27" ht="21" customHeight="1" x14ac:dyDescent="0.25">
      <c r="A18" s="83"/>
      <c r="B18" s="96" t="s">
        <v>630</v>
      </c>
      <c r="C18" s="158">
        <f>+C17</f>
        <v>756.0682373046875</v>
      </c>
      <c r="D18" s="96" t="str">
        <f>+D17</f>
        <v>M$</v>
      </c>
      <c r="E18" s="832">
        <v>0.01</v>
      </c>
      <c r="F18" s="96" t="s">
        <v>624</v>
      </c>
      <c r="G18" s="152">
        <f>+C18*E18</f>
        <v>7.5606823730468751</v>
      </c>
      <c r="H18" s="221"/>
      <c r="I18" s="83"/>
      <c r="J18" s="83"/>
      <c r="K18" s="83"/>
      <c r="L18" s="215"/>
      <c r="M18" s="215"/>
      <c r="N18" s="215"/>
      <c r="O18" s="215"/>
      <c r="P18" s="96"/>
      <c r="Q18" s="158"/>
      <c r="R18" s="96"/>
      <c r="S18" s="96"/>
      <c r="T18" s="224"/>
      <c r="U18" s="152"/>
      <c r="V18" s="215"/>
      <c r="Y18" s="99" t="s">
        <v>631</v>
      </c>
      <c r="Z18" s="99">
        <v>3</v>
      </c>
      <c r="AA18" s="99" t="s">
        <v>632</v>
      </c>
    </row>
    <row r="19" spans="1:27" ht="21" customHeight="1" x14ac:dyDescent="0.2">
      <c r="A19" s="83"/>
      <c r="B19" s="96" t="s">
        <v>1183</v>
      </c>
      <c r="C19" s="1120">
        <v>0</v>
      </c>
      <c r="D19" s="96" t="s">
        <v>1185</v>
      </c>
      <c r="E19" s="1121">
        <v>80000</v>
      </c>
      <c r="F19" s="96" t="s">
        <v>1186</v>
      </c>
      <c r="G19" s="152">
        <f>+C19*E19/10^6</f>
        <v>0</v>
      </c>
      <c r="H19" s="181"/>
      <c r="I19" s="83"/>
      <c r="J19" s="83"/>
      <c r="K19" s="83"/>
      <c r="L19" s="215"/>
      <c r="M19" s="215"/>
      <c r="N19" s="215"/>
      <c r="O19" s="215"/>
      <c r="P19" s="96" t="s">
        <v>634</v>
      </c>
      <c r="Q19" s="158">
        <f>+'Unit-100 Reformer Island'!Q49/Z18</f>
        <v>22.430971546631127</v>
      </c>
      <c r="R19" s="96" t="s">
        <v>628</v>
      </c>
      <c r="S19" s="96">
        <f>+'Unit-100 Reformer Island'!O49*10^6</f>
        <v>15000</v>
      </c>
      <c r="T19" s="1119" t="s">
        <v>1180</v>
      </c>
      <c r="U19" s="152">
        <f t="shared" si="0"/>
        <v>0.33646457319946693</v>
      </c>
      <c r="V19" s="215"/>
      <c r="Y19" s="99" t="s">
        <v>635</v>
      </c>
      <c r="Z19" s="99">
        <v>3</v>
      </c>
      <c r="AA19" s="99" t="s">
        <v>632</v>
      </c>
    </row>
    <row r="20" spans="1:27" ht="21" customHeight="1" x14ac:dyDescent="0.2">
      <c r="A20" s="83"/>
      <c r="B20" s="96" t="s">
        <v>1190</v>
      </c>
      <c r="C20" s="1120">
        <v>72.2</v>
      </c>
      <c r="D20" s="96" t="s">
        <v>57</v>
      </c>
      <c r="E20" s="1121">
        <v>15510</v>
      </c>
      <c r="F20" s="96" t="s">
        <v>1191</v>
      </c>
      <c r="G20" s="152">
        <f>+C20*E20/10^6</f>
        <v>1.1198220000000001</v>
      </c>
      <c r="H20" s="181"/>
      <c r="I20" s="83"/>
      <c r="J20" s="83"/>
      <c r="K20" s="83"/>
      <c r="L20" s="215"/>
      <c r="M20" s="215"/>
      <c r="N20" s="215"/>
      <c r="O20" s="215"/>
      <c r="P20" s="96" t="s">
        <v>636</v>
      </c>
      <c r="Q20" s="158">
        <f>+'Unit-200 WGS'!Q46/Z19</f>
        <v>35.856333333333332</v>
      </c>
      <c r="R20" s="96" t="s">
        <v>637</v>
      </c>
      <c r="S20" s="96">
        <f>+'Unit-200 WGS'!O46*10^6</f>
        <v>16100</v>
      </c>
      <c r="T20" s="1119" t="s">
        <v>292</v>
      </c>
      <c r="U20" s="152">
        <f t="shared" si="0"/>
        <v>0.57728696666666668</v>
      </c>
      <c r="V20" s="215"/>
      <c r="Y20" s="99" t="s">
        <v>638</v>
      </c>
      <c r="Z20" s="99">
        <v>3</v>
      </c>
      <c r="AA20" s="99" t="s">
        <v>632</v>
      </c>
    </row>
    <row r="21" spans="1:27" ht="21" customHeight="1" x14ac:dyDescent="0.2">
      <c r="A21" s="83"/>
      <c r="B21" s="877" t="s">
        <v>633</v>
      </c>
      <c r="C21" s="878"/>
      <c r="D21" s="878"/>
      <c r="E21" s="878"/>
      <c r="F21" s="879"/>
      <c r="G21" s="397">
        <f>SUM(Tabla60[cost/year])</f>
        <v>31.902210305664063</v>
      </c>
      <c r="H21" s="220"/>
      <c r="I21" s="83"/>
      <c r="J21" s="83"/>
      <c r="K21" s="83"/>
      <c r="L21" s="215"/>
      <c r="M21" s="215"/>
      <c r="N21" s="215"/>
      <c r="O21" s="215"/>
      <c r="P21" s="96" t="s">
        <v>639</v>
      </c>
      <c r="Q21" s="158">
        <f>+('Unit-600 Synthesis loop'!Q46+'Unit-600 Synthesis loop'!Q47+'Unit-600 Synthesis loop'!Q48)/Z20</f>
        <v>121840.20000000001</v>
      </c>
      <c r="R21" s="96" t="s">
        <v>640</v>
      </c>
      <c r="S21" s="96">
        <f>+'Unit-600 Synthesis loop'!O46*10^6</f>
        <v>20</v>
      </c>
      <c r="T21" s="1119" t="s">
        <v>1181</v>
      </c>
      <c r="U21" s="152">
        <f t="shared" si="0"/>
        <v>2.436804</v>
      </c>
      <c r="V21" s="215"/>
      <c r="Y21" s="99" t="str">
        <f>+P24</f>
        <v>Oxygen Carrier</v>
      </c>
      <c r="Z21" s="99">
        <v>3</v>
      </c>
      <c r="AA21" s="99" t="str">
        <f>+AA20</f>
        <v>years</v>
      </c>
    </row>
    <row r="22" spans="1:27" ht="21" customHeight="1" x14ac:dyDescent="0.2">
      <c r="B22" s="210"/>
      <c r="C22" s="762"/>
      <c r="D22" s="210"/>
      <c r="E22" s="210"/>
      <c r="F22" s="210"/>
      <c r="G22" s="149"/>
      <c r="P22" s="96" t="s">
        <v>641</v>
      </c>
      <c r="Q22" s="158">
        <f>+Z22/1000*3600*Q10</f>
        <v>674385.91200000001</v>
      </c>
      <c r="R22" s="96" t="s">
        <v>642</v>
      </c>
      <c r="S22" s="96">
        <v>6</v>
      </c>
      <c r="T22" s="96" t="str">
        <f>+T16</f>
        <v>$/ton</v>
      </c>
      <c r="U22" s="152">
        <f t="shared" si="0"/>
        <v>4.0463154719999999</v>
      </c>
      <c r="Y22" s="99" t="s">
        <v>641</v>
      </c>
      <c r="Z22" s="763">
        <v>21.37</v>
      </c>
      <c r="AA22" s="99" t="s">
        <v>78</v>
      </c>
    </row>
    <row r="23" spans="1:27" ht="21" customHeight="1" x14ac:dyDescent="0.2">
      <c r="P23" s="96" t="s">
        <v>643</v>
      </c>
      <c r="Q23" s="158">
        <f>+Z23/1000*3600*Q10</f>
        <v>2097949.2480000001</v>
      </c>
      <c r="R23" s="96" t="s">
        <v>642</v>
      </c>
      <c r="S23" s="96">
        <v>0.35</v>
      </c>
      <c r="T23" s="96" t="str">
        <f>+T16</f>
        <v>$/ton</v>
      </c>
      <c r="U23" s="152">
        <f t="shared" si="0"/>
        <v>0.73428223679999993</v>
      </c>
      <c r="Y23" s="173" t="s">
        <v>644</v>
      </c>
      <c r="Z23" s="173">
        <v>66.48</v>
      </c>
      <c r="AA23" s="173" t="s">
        <v>78</v>
      </c>
    </row>
    <row r="24" spans="1:27" ht="21" customHeight="1" x14ac:dyDescent="0.2">
      <c r="P24" s="96" t="s">
        <v>254</v>
      </c>
      <c r="Q24" s="158">
        <f>+'Unit-100 - GSR Island'!Q48/'Plant OPEX'!Z21*1000</f>
        <v>346596.97115015885</v>
      </c>
      <c r="R24" s="96" t="str">
        <f>+R23</f>
        <v>t/y</v>
      </c>
      <c r="S24" s="96">
        <f>+'Unit-100 - GSR Island'!O49*10^6/1000</f>
        <v>15</v>
      </c>
      <c r="T24" s="1118" t="s">
        <v>1181</v>
      </c>
      <c r="U24" s="152">
        <f>+Q24*S24/10^6</f>
        <v>5.1989545672523825</v>
      </c>
    </row>
    <row r="25" spans="1:27" ht="21" customHeight="1" x14ac:dyDescent="0.2">
      <c r="P25" s="96" t="s">
        <v>1190</v>
      </c>
      <c r="Q25" s="158">
        <f>Z15*Q10</f>
        <v>632845.59120000014</v>
      </c>
      <c r="R25" s="96" t="s">
        <v>626</v>
      </c>
      <c r="S25" s="1124">
        <v>3.33</v>
      </c>
      <c r="T25" s="1118" t="s">
        <v>1178</v>
      </c>
      <c r="U25" s="152">
        <f>+Q25*S25/10^6</f>
        <v>2.1073758186960005</v>
      </c>
    </row>
    <row r="26" spans="1:27" ht="21" customHeight="1" x14ac:dyDescent="0.2">
      <c r="P26" s="877" t="s">
        <v>645</v>
      </c>
      <c r="Q26" s="878"/>
      <c r="R26" s="878"/>
      <c r="S26" s="878"/>
      <c r="T26" s="879"/>
      <c r="U26" s="399">
        <f>SUM(Tabla58[cost/year])-U27</f>
        <v>15.437483634614518</v>
      </c>
    </row>
    <row r="27" spans="1:27" ht="21" customHeight="1" x14ac:dyDescent="0.2">
      <c r="P27" s="877" t="s">
        <v>621</v>
      </c>
      <c r="Q27" s="878"/>
      <c r="R27" s="878"/>
      <c r="S27" s="878"/>
      <c r="T27" s="878"/>
      <c r="U27" s="397">
        <f>+U16+U17</f>
        <v>0</v>
      </c>
    </row>
    <row r="28" spans="1:27" ht="21" customHeight="1" x14ac:dyDescent="0.2">
      <c r="P28" s="215"/>
      <c r="Q28" s="215"/>
      <c r="R28" s="215"/>
      <c r="S28" s="215"/>
      <c r="T28" s="215"/>
      <c r="U28" s="215"/>
    </row>
    <row r="29" spans="1:27" ht="21" customHeight="1" x14ac:dyDescent="0.2">
      <c r="P29" s="215"/>
      <c r="Q29" s="215"/>
      <c r="R29" s="215"/>
      <c r="S29" s="215"/>
      <c r="T29" s="215"/>
      <c r="U29" s="215"/>
    </row>
    <row r="30" spans="1:27" ht="21" customHeight="1" x14ac:dyDescent="0.2"/>
    <row r="31" spans="1:27" ht="21" customHeight="1" x14ac:dyDescent="0.2"/>
    <row r="32" spans="1:27" ht="21" customHeight="1" x14ac:dyDescent="0.2"/>
    <row r="33" ht="21" customHeight="1" x14ac:dyDescent="0.2"/>
    <row r="34" ht="21" customHeight="1" x14ac:dyDescent="0.2"/>
    <row r="35" ht="21" customHeight="1" x14ac:dyDescent="0.2"/>
    <row r="36" ht="21" customHeight="1" x14ac:dyDescent="0.2"/>
    <row r="37" ht="21" customHeight="1" x14ac:dyDescent="0.2"/>
    <row r="38" ht="21" customHeight="1" x14ac:dyDescent="0.2"/>
    <row r="39" ht="21" customHeight="1" x14ac:dyDescent="0.2"/>
    <row r="40" ht="21" customHeight="1" x14ac:dyDescent="0.2"/>
    <row r="41" ht="21" customHeight="1" x14ac:dyDescent="0.2"/>
    <row r="42" ht="21" customHeight="1" x14ac:dyDescent="0.2"/>
    <row r="43" ht="21" customHeight="1" x14ac:dyDescent="0.2"/>
    <row r="44" ht="21" customHeight="1" x14ac:dyDescent="0.2"/>
    <row r="45" ht="21" customHeight="1" x14ac:dyDescent="0.2"/>
    <row r="46" ht="15.5" customHeight="1" x14ac:dyDescent="0.2"/>
    <row r="47" ht="15.5" customHeight="1" x14ac:dyDescent="0.2"/>
    <row r="48" ht="15.5" customHeight="1" x14ac:dyDescent="0.2"/>
    <row r="49" ht="15.5" customHeight="1" x14ac:dyDescent="0.2"/>
    <row r="50" ht="15.5" customHeight="1" x14ac:dyDescent="0.2"/>
    <row r="51" ht="15.5" customHeight="1" x14ac:dyDescent="0.2"/>
    <row r="52" ht="15.5" customHeight="1" x14ac:dyDescent="0.2"/>
    <row r="53" ht="15.5" customHeight="1" x14ac:dyDescent="0.2"/>
  </sheetData>
  <mergeCells count="19">
    <mergeCell ref="P27:T27"/>
    <mergeCell ref="B21:F21"/>
    <mergeCell ref="B4:C5"/>
    <mergeCell ref="B6:C9"/>
    <mergeCell ref="E8:G9"/>
    <mergeCell ref="I14:N14"/>
    <mergeCell ref="P14:U14"/>
    <mergeCell ref="U4:Y4"/>
    <mergeCell ref="U5:Y5"/>
    <mergeCell ref="U6:Y6"/>
    <mergeCell ref="U7:Y7"/>
    <mergeCell ref="U8:Y8"/>
    <mergeCell ref="U9:Y9"/>
    <mergeCell ref="S2:Y2"/>
    <mergeCell ref="P3:Q3"/>
    <mergeCell ref="B2:C3"/>
    <mergeCell ref="P26:T26"/>
    <mergeCell ref="B14:G14"/>
    <mergeCell ref="Y14:AA14"/>
  </mergeCells>
  <phoneticPr fontId="15"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101600</xdr:colOff>
                    <xdr:row>5</xdr:row>
                    <xdr:rowOff>63500</xdr:rowOff>
                  </from>
                  <to>
                    <xdr:col>2</xdr:col>
                    <xdr:colOff>1231900</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12700</xdr:colOff>
                    <xdr:row>6</xdr:row>
                    <xdr:rowOff>12700</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12700</xdr:colOff>
                    <xdr:row>6</xdr:row>
                    <xdr:rowOff>25400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12700</xdr:colOff>
                    <xdr:row>4</xdr:row>
                    <xdr:rowOff>12700</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12700</xdr:colOff>
                    <xdr:row>4</xdr:row>
                    <xdr:rowOff>12700</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12700</xdr:colOff>
                    <xdr:row>5</xdr:row>
                    <xdr:rowOff>12700</xdr:rowOff>
                  </from>
                  <to>
                    <xdr:col>5</xdr:col>
                    <xdr:colOff>1320800</xdr:colOff>
                    <xdr:row>6</xdr:row>
                    <xdr:rowOff>12700</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12700</xdr:colOff>
                    <xdr:row>5</xdr:row>
                    <xdr:rowOff>12700</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138"/>
  <sheetViews>
    <sheetView showGridLines="0" zoomScale="90" zoomScaleNormal="90" workbookViewId="0">
      <selection activeCell="D7" sqref="D7"/>
    </sheetView>
  </sheetViews>
  <sheetFormatPr baseColWidth="10" defaultColWidth="11.1640625" defaultRowHeight="15" x14ac:dyDescent="0.2"/>
  <cols>
    <col min="1" max="1" width="5" customWidth="1"/>
    <col min="2" max="2" width="21.6640625" bestFit="1" customWidth="1"/>
    <col min="3" max="3" width="13.6640625" customWidth="1"/>
    <col min="4" max="4" width="14.33203125" customWidth="1"/>
    <col min="5" max="6" width="12.6640625" customWidth="1"/>
    <col min="7" max="7" width="17.5" bestFit="1" customWidth="1"/>
    <col min="8" max="46" width="12.6640625" customWidth="1"/>
    <col min="70" max="70" width="0" hidden="1" customWidth="1"/>
  </cols>
  <sheetData>
    <row r="1" spans="1:70" ht="26" customHeight="1" x14ac:dyDescent="0.2">
      <c r="B1" s="1046" t="s">
        <v>646</v>
      </c>
      <c r="C1" s="1047"/>
      <c r="D1" s="1047"/>
      <c r="E1" s="1048"/>
      <c r="G1" s="1044" t="s">
        <v>647</v>
      </c>
      <c r="H1" s="1045"/>
      <c r="I1" s="1044" t="s">
        <v>646</v>
      </c>
      <c r="J1" s="1045"/>
    </row>
    <row r="2" spans="1:70" ht="20.5" customHeight="1" x14ac:dyDescent="0.2">
      <c r="G2" s="528"/>
      <c r="H2" s="529"/>
      <c r="I2" s="278"/>
      <c r="J2" s="532"/>
      <c r="S2" s="219"/>
      <c r="T2" s="219"/>
      <c r="V2" s="219"/>
      <c r="BR2" t="s">
        <v>648</v>
      </c>
    </row>
    <row r="3" spans="1:70" ht="20.5" customHeight="1" x14ac:dyDescent="0.2">
      <c r="A3" s="83"/>
      <c r="B3" s="914" t="s">
        <v>649</v>
      </c>
      <c r="C3" s="915"/>
      <c r="D3" s="915"/>
      <c r="E3" s="1049"/>
      <c r="F3" s="83"/>
      <c r="G3" s="530"/>
      <c r="H3" s="531"/>
      <c r="I3" s="317"/>
      <c r="J3" s="533"/>
      <c r="K3" s="83"/>
      <c r="S3" s="160"/>
      <c r="T3" s="160"/>
      <c r="U3" s="219"/>
      <c r="V3" s="160"/>
      <c r="W3" s="83"/>
      <c r="X3" s="83"/>
      <c r="Y3" s="83"/>
      <c r="Z3" s="83"/>
      <c r="AA3" s="83"/>
      <c r="AB3" s="83"/>
      <c r="AC3" s="83"/>
      <c r="AD3" s="83"/>
      <c r="AE3" s="83"/>
      <c r="AF3" s="83"/>
      <c r="AG3" s="83"/>
      <c r="AH3" s="83"/>
      <c r="AI3" s="83"/>
      <c r="AJ3" s="83"/>
      <c r="AK3" s="83"/>
      <c r="BR3" t="s">
        <v>650</v>
      </c>
    </row>
    <row r="4" spans="1:70" ht="20.5" customHeight="1" x14ac:dyDescent="0.2">
      <c r="A4" s="83"/>
      <c r="B4" s="1050" t="s">
        <v>159</v>
      </c>
      <c r="C4" s="1050"/>
      <c r="D4" s="542">
        <f>+'Plant Overview'!I71+'Plant Overview'!I72</f>
        <v>17.02</v>
      </c>
      <c r="E4" s="86" t="str">
        <f>+'Plant Overview'!J71</f>
        <v>kg/s</v>
      </c>
      <c r="F4" s="83"/>
      <c r="K4" s="83"/>
      <c r="U4" s="160"/>
      <c r="V4" s="160"/>
      <c r="W4" s="83"/>
      <c r="X4" s="83"/>
      <c r="Y4" s="83"/>
      <c r="Z4" s="83"/>
      <c r="AA4" s="83"/>
      <c r="AB4" s="83"/>
      <c r="AC4" s="83"/>
      <c r="AD4" s="83"/>
      <c r="AE4" s="83"/>
      <c r="AF4" s="83"/>
      <c r="AG4" s="83"/>
      <c r="AH4" s="83"/>
      <c r="AI4" s="83"/>
      <c r="AJ4" s="83"/>
      <c r="AK4" s="83"/>
      <c r="BR4" t="s">
        <v>651</v>
      </c>
    </row>
    <row r="5" spans="1:70" ht="20.5" customHeight="1" x14ac:dyDescent="0.2">
      <c r="A5" s="83"/>
      <c r="B5" s="1050" t="s">
        <v>652</v>
      </c>
      <c r="C5" s="1050"/>
      <c r="D5" s="542">
        <f>+'Plant Overview'!I32</f>
        <v>31.341040000000003</v>
      </c>
      <c r="E5" s="86" t="str">
        <f>+'Plant Overview'!J32</f>
        <v>kg/s</v>
      </c>
      <c r="F5" s="83"/>
      <c r="G5" s="1053" t="s">
        <v>653</v>
      </c>
      <c r="H5" s="1053"/>
      <c r="I5" s="921" t="s">
        <v>650</v>
      </c>
      <c r="J5" s="922"/>
      <c r="K5" s="83"/>
      <c r="S5" s="160"/>
      <c r="T5" s="160"/>
      <c r="U5" s="160"/>
      <c r="V5" s="160"/>
      <c r="W5" s="83"/>
      <c r="X5" s="83"/>
      <c r="Y5" s="83"/>
      <c r="Z5" s="83"/>
      <c r="AA5" s="83"/>
      <c r="AB5" s="83"/>
      <c r="AC5" s="83"/>
      <c r="AD5" s="83"/>
      <c r="AE5" s="83"/>
      <c r="AF5" s="83"/>
      <c r="AG5" s="83"/>
      <c r="AH5" s="83"/>
      <c r="AI5" s="83"/>
      <c r="AJ5" s="83"/>
      <c r="AK5" s="83"/>
      <c r="BR5" t="s">
        <v>654</v>
      </c>
    </row>
    <row r="6" spans="1:70" ht="20.5" customHeight="1" x14ac:dyDescent="0.2">
      <c r="A6" s="83"/>
      <c r="B6" s="1050" t="s">
        <v>655</v>
      </c>
      <c r="C6" s="1050"/>
      <c r="D6" s="542">
        <f>D5/D4</f>
        <v>1.8414242068155113</v>
      </c>
      <c r="E6" s="86" t="str">
        <f>+E5&amp;" / "&amp;E4</f>
        <v>kg/s / kg/s</v>
      </c>
      <c r="F6" s="83"/>
      <c r="G6" s="1051" t="s">
        <v>650</v>
      </c>
      <c r="H6" s="1052"/>
      <c r="I6" s="540">
        <f>+IF(I5="LCOP",D20,"-")</f>
        <v>0.2704364167067797</v>
      </c>
      <c r="J6" s="535" t="str">
        <f>+'Plant Overview'!E9&amp;"/"&amp;'Plant Overview'!J32</f>
        <v>$/kg/s</v>
      </c>
      <c r="K6" s="83"/>
      <c r="S6" s="160"/>
      <c r="T6" s="160"/>
      <c r="U6" s="160"/>
      <c r="V6" s="160"/>
      <c r="W6" s="83"/>
      <c r="X6" s="83"/>
      <c r="Y6" s="83"/>
      <c r="Z6" s="83"/>
      <c r="AA6" s="83"/>
      <c r="AB6" s="83"/>
      <c r="AC6" s="83"/>
      <c r="AD6" s="83"/>
      <c r="AE6" s="83"/>
      <c r="AF6" s="83"/>
      <c r="AG6" s="83"/>
      <c r="AH6" s="83"/>
      <c r="AI6" s="83"/>
      <c r="AJ6" s="83"/>
      <c r="AK6" s="83"/>
    </row>
    <row r="7" spans="1:70" ht="20.5" customHeight="1" x14ac:dyDescent="0.2">
      <c r="A7" s="83"/>
      <c r="B7" s="1050" t="s">
        <v>594</v>
      </c>
      <c r="C7" s="1050"/>
      <c r="D7" s="543">
        <f>+'Plant CAPEX'!N13</f>
        <v>756.0682373046875</v>
      </c>
      <c r="E7" s="414" t="str">
        <f>+J7</f>
        <v>M$</v>
      </c>
      <c r="F7" s="83"/>
      <c r="G7" s="1051" t="s">
        <v>654</v>
      </c>
      <c r="H7" s="1052"/>
      <c r="I7" s="536" t="str">
        <f>IF(I5="NPV",HLOOKUP(D16,C24:AE39,16),"-")</f>
        <v>-</v>
      </c>
      <c r="J7" s="86" t="str">
        <f>+"M"&amp;'Plant Overview'!E9</f>
        <v>M$</v>
      </c>
      <c r="K7" s="83"/>
      <c r="S7" s="160"/>
      <c r="T7" s="160"/>
      <c r="U7" s="160"/>
      <c r="V7" s="160"/>
      <c r="W7" s="83"/>
      <c r="X7" s="83"/>
      <c r="Y7" s="83"/>
      <c r="Z7" s="83"/>
      <c r="AA7" s="83"/>
      <c r="AB7" s="83"/>
      <c r="AC7" s="83"/>
      <c r="AD7" s="83"/>
      <c r="AE7" s="83"/>
      <c r="AF7" s="83"/>
      <c r="AG7" s="83"/>
      <c r="AH7" s="83"/>
      <c r="AI7" s="83"/>
      <c r="AJ7" s="83"/>
      <c r="AK7" s="83"/>
    </row>
    <row r="8" spans="1:70" ht="20.5" customHeight="1" x14ac:dyDescent="0.2">
      <c r="A8" s="83"/>
      <c r="B8" s="1055" t="s">
        <v>601</v>
      </c>
      <c r="C8" s="1055"/>
      <c r="D8" s="542">
        <f>+'Plant OPEX'!G21</f>
        <v>31.902210305664063</v>
      </c>
      <c r="E8" s="414" t="str">
        <f>+"M"&amp;'Plant Overview'!$E$9&amp;"/y"</f>
        <v>M$/y</v>
      </c>
      <c r="F8" s="83"/>
      <c r="G8" s="1051" t="s">
        <v>651</v>
      </c>
      <c r="H8" s="1052"/>
      <c r="I8" s="539" t="str">
        <f>+IF(I5="IRR",D21,"-")</f>
        <v>-</v>
      </c>
      <c r="J8" s="463" t="str">
        <f>+E21</f>
        <v>%</v>
      </c>
      <c r="K8" s="83"/>
      <c r="S8" s="160"/>
      <c r="T8" s="160"/>
      <c r="U8" s="160"/>
      <c r="V8" s="160"/>
      <c r="W8" s="83"/>
      <c r="X8" s="83"/>
      <c r="Y8" s="83"/>
      <c r="Z8" s="83"/>
      <c r="AA8" s="83"/>
      <c r="AB8" s="83"/>
      <c r="AC8" s="83"/>
      <c r="AD8" s="83"/>
      <c r="AE8" s="83"/>
      <c r="AF8" s="83"/>
      <c r="AG8" s="83"/>
      <c r="AH8" s="83"/>
      <c r="AI8" s="83"/>
      <c r="AJ8" s="83"/>
      <c r="AK8" s="83"/>
    </row>
    <row r="9" spans="1:70" ht="20.5" customHeight="1" x14ac:dyDescent="0.2">
      <c r="A9" s="83"/>
      <c r="B9" s="1050" t="str">
        <f>+'Plant OPEX'!I16</f>
        <v>NG</v>
      </c>
      <c r="C9" s="1050"/>
      <c r="D9" s="542">
        <f>+'Plant OPEX'!N16</f>
        <v>124.87155836554901</v>
      </c>
      <c r="E9" s="414" t="str">
        <f>+"M"&amp;'Plant Overview'!$E$9&amp;"/y"</f>
        <v>M$/y</v>
      </c>
      <c r="F9" s="83"/>
      <c r="G9" s="1058" t="s">
        <v>656</v>
      </c>
      <c r="H9" s="1059"/>
      <c r="I9" s="86" cm="1">
        <f t="array" ref="I9">+MATCH(TRUE,G38:AE38&gt;0,0)</f>
        <v>10</v>
      </c>
      <c r="J9" s="86" t="s">
        <v>632</v>
      </c>
      <c r="K9" s="83"/>
      <c r="S9" s="160"/>
      <c r="T9" s="160"/>
      <c r="U9" s="160"/>
      <c r="V9" s="160"/>
      <c r="W9" s="83"/>
      <c r="X9" s="83"/>
      <c r="Y9" s="83"/>
      <c r="Z9" s="83"/>
      <c r="AA9" s="83"/>
      <c r="AB9" s="83"/>
      <c r="AC9" s="83"/>
      <c r="AD9" s="83"/>
      <c r="AE9" s="83"/>
      <c r="AF9" s="83"/>
      <c r="AG9" s="83"/>
      <c r="AH9" s="83"/>
      <c r="AI9" s="83"/>
      <c r="AJ9" s="83"/>
      <c r="AK9" s="83"/>
    </row>
    <row r="10" spans="1:70" ht="20.5" customHeight="1" x14ac:dyDescent="0.2">
      <c r="A10" s="83"/>
      <c r="B10" s="1050" t="str">
        <f>+'Plant OPEX'!I17</f>
        <v>Electricity</v>
      </c>
      <c r="C10" s="1050"/>
      <c r="D10" s="542">
        <f>+'Plant OPEX'!N17</f>
        <v>0</v>
      </c>
      <c r="E10" s="414" t="str">
        <f>+"M"&amp;'Plant Overview'!$E$9&amp;"/y"</f>
        <v>M$/y</v>
      </c>
      <c r="F10" s="83"/>
      <c r="G10" s="1058" t="s">
        <v>657</v>
      </c>
      <c r="H10" s="1059"/>
      <c r="I10" s="86" t="str" cm="1">
        <f t="array" ref="I10">+IF(I5="LCOP","-",IF(I5="IRR","-",MATCH(TRUE,G39:AE39&gt;0,0)))</f>
        <v>-</v>
      </c>
      <c r="J10" s="86" t="str">
        <f>+J9</f>
        <v>years</v>
      </c>
      <c r="K10" s="83"/>
      <c r="S10" s="160"/>
      <c r="T10" s="160"/>
      <c r="U10" s="160"/>
      <c r="V10" s="160"/>
      <c r="W10" s="83"/>
      <c r="X10" s="83"/>
      <c r="Y10" s="83"/>
      <c r="Z10" s="83"/>
      <c r="AA10" s="83"/>
      <c r="AB10" s="83"/>
      <c r="AC10" s="83"/>
      <c r="AD10" s="83"/>
      <c r="AE10" s="83"/>
      <c r="AF10" s="83"/>
      <c r="AG10" s="83"/>
      <c r="AH10" s="83"/>
      <c r="AI10" s="83"/>
      <c r="AJ10" s="83"/>
      <c r="AK10" s="83"/>
    </row>
    <row r="11" spans="1:70" ht="20.5" customHeight="1" x14ac:dyDescent="0.2">
      <c r="A11" s="83"/>
      <c r="B11" s="1050" t="s">
        <v>603</v>
      </c>
      <c r="C11" s="1050"/>
      <c r="D11" s="542">
        <f>+'Plant OPEX'!U26</f>
        <v>15.437483634614518</v>
      </c>
      <c r="E11" s="414" t="str">
        <f>+"M"&amp;'Plant Overview'!$E$9&amp;"/y"</f>
        <v>M$/y</v>
      </c>
      <c r="F11" s="83"/>
      <c r="G11" s="1056" t="s">
        <v>658</v>
      </c>
      <c r="H11" s="1057"/>
      <c r="I11" s="409" t="s">
        <v>187</v>
      </c>
      <c r="J11" s="86" t="str">
        <f>+'Plant Overview'!E9&amp;"/"&amp;'Plant Overview'!J52</f>
        <v>$/kg/s</v>
      </c>
      <c r="K11" s="83"/>
      <c r="S11" s="160"/>
      <c r="T11" s="160"/>
      <c r="U11" s="160"/>
      <c r="V11" s="160"/>
      <c r="W11" s="83"/>
      <c r="X11" s="83"/>
      <c r="Y11" s="83"/>
      <c r="Z11" s="83"/>
      <c r="AA11" s="83"/>
      <c r="AB11" s="83"/>
      <c r="AC11" s="83"/>
      <c r="AD11" s="83"/>
      <c r="AE11" s="83"/>
      <c r="AF11" s="83"/>
      <c r="AG11" s="83"/>
      <c r="AH11" s="83"/>
      <c r="AI11" s="83"/>
      <c r="AJ11" s="83"/>
      <c r="AK11" s="83"/>
    </row>
    <row r="12" spans="1:70" ht="20.5" customHeight="1" x14ac:dyDescent="0.2">
      <c r="A12" s="83"/>
      <c r="F12" s="83"/>
      <c r="G12" s="83"/>
      <c r="H12" s="83"/>
      <c r="I12" s="83"/>
      <c r="J12" s="83"/>
      <c r="K12" s="83"/>
      <c r="L12" s="83"/>
      <c r="M12" s="83"/>
      <c r="N12" s="83"/>
      <c r="O12" s="83"/>
      <c r="P12" s="83"/>
      <c r="Q12" s="83"/>
      <c r="R12" s="83"/>
      <c r="S12" s="160"/>
      <c r="T12" s="160"/>
      <c r="U12" s="160"/>
      <c r="V12" s="160"/>
      <c r="W12" s="83"/>
      <c r="X12" s="83"/>
      <c r="Y12" s="83"/>
      <c r="Z12" s="83"/>
      <c r="AA12" s="83"/>
      <c r="AB12" s="83"/>
      <c r="AC12" s="83"/>
      <c r="AD12" s="83"/>
      <c r="AE12" s="83"/>
      <c r="AF12" s="83"/>
      <c r="AG12" s="83"/>
      <c r="AH12" s="83"/>
      <c r="AI12" s="83"/>
      <c r="AJ12" s="83"/>
      <c r="AK12" s="83"/>
    </row>
    <row r="13" spans="1:70" ht="20.5" customHeight="1" x14ac:dyDescent="0.2">
      <c r="A13" s="83"/>
      <c r="B13" s="1041" t="s">
        <v>659</v>
      </c>
      <c r="C13" s="1042"/>
      <c r="D13" s="1042"/>
      <c r="E13" s="1043"/>
      <c r="F13" s="83"/>
      <c r="G13" s="1041" t="s">
        <v>660</v>
      </c>
      <c r="H13" s="1042"/>
      <c r="I13" s="1042"/>
      <c r="J13" s="1043"/>
      <c r="K13" s="83"/>
      <c r="L13" s="83"/>
      <c r="M13" s="83"/>
      <c r="N13" s="83"/>
      <c r="O13" s="83"/>
      <c r="P13" s="83"/>
      <c r="Q13" s="83"/>
      <c r="R13" s="83"/>
      <c r="S13" s="160"/>
      <c r="T13" s="160"/>
      <c r="U13" s="160"/>
      <c r="V13" s="160"/>
      <c r="W13" s="83"/>
      <c r="X13" s="83"/>
      <c r="Y13" s="83"/>
      <c r="Z13" s="83"/>
      <c r="AA13" s="83"/>
      <c r="AB13" s="83"/>
      <c r="AC13" s="83"/>
      <c r="AD13" s="83"/>
      <c r="AE13" s="83"/>
      <c r="AF13" s="83"/>
      <c r="AG13" s="83"/>
      <c r="AH13" s="83"/>
      <c r="AI13" s="83"/>
      <c r="AJ13" s="83"/>
      <c r="AK13" s="83"/>
    </row>
    <row r="14" spans="1:70" ht="20.5" customHeight="1" x14ac:dyDescent="0.2">
      <c r="A14" s="83"/>
      <c r="B14" s="1054" t="s">
        <v>661</v>
      </c>
      <c r="C14" s="1054"/>
      <c r="D14" s="463">
        <v>0.65</v>
      </c>
      <c r="E14" s="86" t="s">
        <v>187</v>
      </c>
      <c r="F14" s="83"/>
      <c r="G14" s="538"/>
      <c r="H14" s="541" t="str">
        <f>+'Plant Overview'!E6</f>
        <v>GSR-LT</v>
      </c>
      <c r="I14" s="424" t="s">
        <v>250</v>
      </c>
      <c r="J14" s="324"/>
      <c r="K14" s="83"/>
      <c r="L14" s="83"/>
      <c r="M14" s="83"/>
      <c r="N14" s="83"/>
      <c r="O14" s="83"/>
      <c r="P14" s="83"/>
      <c r="Q14" s="83"/>
      <c r="R14" s="83"/>
      <c r="S14" s="160"/>
      <c r="T14" s="160"/>
      <c r="U14" s="160"/>
      <c r="V14" s="160"/>
      <c r="W14" s="83"/>
      <c r="X14" s="83"/>
      <c r="Y14" s="83"/>
      <c r="Z14" s="83"/>
      <c r="AA14" s="83"/>
      <c r="AB14" s="83"/>
      <c r="AC14" s="83"/>
      <c r="AD14" s="83"/>
      <c r="AE14" s="83"/>
      <c r="AF14" s="83"/>
      <c r="AG14" s="83"/>
      <c r="AH14" s="83"/>
      <c r="AI14" s="83"/>
      <c r="AJ14" s="83"/>
      <c r="AK14" s="83"/>
    </row>
    <row r="15" spans="1:70" ht="20.5" customHeight="1" x14ac:dyDescent="0.2">
      <c r="A15" s="83"/>
      <c r="B15" s="1054" t="s">
        <v>662</v>
      </c>
      <c r="C15" s="1054"/>
      <c r="D15" s="463">
        <f>+G47</f>
        <v>0.9</v>
      </c>
      <c r="E15" s="86" t="s">
        <v>187</v>
      </c>
      <c r="F15" s="83"/>
      <c r="G15" s="87" t="s">
        <v>663</v>
      </c>
      <c r="H15" s="537">
        <f>+('Plant Overview'!I32/'Plant Overview'!I52)^-1</f>
        <v>8.0285785028193071E-2</v>
      </c>
      <c r="I15" s="466"/>
      <c r="J15" s="414" t="str">
        <f>+'Plant Overview'!J52&amp;"/"&amp;'Plant Overview'!J32</f>
        <v>kg/s/kg/s</v>
      </c>
      <c r="K15" s="83"/>
      <c r="L15" s="83"/>
      <c r="M15" s="83"/>
      <c r="N15" s="83"/>
      <c r="O15" s="83"/>
      <c r="P15" s="83"/>
      <c r="Q15" s="83"/>
      <c r="R15" s="83"/>
      <c r="S15" s="160"/>
      <c r="T15" s="160"/>
      <c r="U15" s="160"/>
      <c r="V15" s="160"/>
      <c r="W15" s="83"/>
      <c r="X15" s="83"/>
      <c r="Y15" s="83"/>
      <c r="Z15" s="83"/>
      <c r="AA15" s="83"/>
      <c r="AB15" s="83"/>
      <c r="AC15" s="83"/>
      <c r="AD15" s="83"/>
      <c r="AE15" s="83"/>
      <c r="AF15" s="83"/>
      <c r="AG15" s="83"/>
      <c r="AH15" s="83"/>
      <c r="AI15" s="83"/>
      <c r="AJ15" s="83"/>
      <c r="AK15" s="83"/>
    </row>
    <row r="16" spans="1:70" ht="20.5" customHeight="1" x14ac:dyDescent="0.2">
      <c r="A16" s="83"/>
      <c r="B16" s="1061" t="s">
        <v>664</v>
      </c>
      <c r="C16" s="1061"/>
      <c r="D16" s="464">
        <v>25</v>
      </c>
      <c r="E16" s="86" t="s">
        <v>632</v>
      </c>
      <c r="F16" s="83"/>
      <c r="G16" s="87" t="str">
        <f>+G6</f>
        <v>LCOP</v>
      </c>
      <c r="H16" s="413">
        <f>+IF(I5="LCOP",SUM(H17:H22),"-")</f>
        <v>0.2704364167067797</v>
      </c>
      <c r="I16" s="466"/>
      <c r="J16" s="414" t="str">
        <f>+J6</f>
        <v>$/kg/s</v>
      </c>
      <c r="K16" s="83"/>
      <c r="L16" s="83"/>
      <c r="M16" s="83"/>
      <c r="N16" s="83"/>
      <c r="O16" s="83"/>
      <c r="P16" s="83"/>
      <c r="Q16" s="83"/>
      <c r="R16" s="83"/>
      <c r="S16" s="160"/>
      <c r="T16" s="160"/>
      <c r="U16" s="160"/>
      <c r="V16" s="160"/>
      <c r="W16" s="83"/>
      <c r="X16" s="83"/>
      <c r="Y16" s="83"/>
      <c r="Z16" s="83"/>
      <c r="AA16" s="83"/>
      <c r="AB16" s="83"/>
      <c r="AC16" s="83"/>
      <c r="AD16" s="83"/>
      <c r="AE16" s="83"/>
      <c r="AF16" s="83"/>
      <c r="AG16" s="83"/>
      <c r="AH16" s="83"/>
      <c r="AI16" s="83"/>
      <c r="AJ16" s="83"/>
      <c r="AK16" s="83"/>
    </row>
    <row r="17" spans="1:48" ht="20.5" customHeight="1" x14ac:dyDescent="0.2">
      <c r="A17" s="83"/>
      <c r="B17" s="1061" t="s">
        <v>665</v>
      </c>
      <c r="C17" s="1061"/>
      <c r="D17" s="86">
        <v>4</v>
      </c>
      <c r="E17" s="86" t="s">
        <v>632</v>
      </c>
      <c r="F17" s="83"/>
      <c r="G17" s="182" t="str">
        <f>+B29</f>
        <v>Capital</v>
      </c>
      <c r="H17" s="816">
        <f>+IF(I5="LCOP",SUMPRODUCT(C29:AE29,C36:AE36)/SUMPRODUCT(C27:AE27,C36:AE36)*I6,"-")</f>
        <v>9.1849434604205957E-2</v>
      </c>
      <c r="I17" s="467"/>
      <c r="J17" s="544"/>
      <c r="K17" s="83"/>
      <c r="L17" s="83"/>
      <c r="M17" s="83"/>
      <c r="N17" s="83"/>
      <c r="O17" s="83"/>
      <c r="P17" s="83"/>
      <c r="Q17" s="83"/>
      <c r="R17" s="83"/>
      <c r="S17" s="160"/>
      <c r="T17" s="160"/>
      <c r="U17" s="160"/>
      <c r="V17" s="160"/>
      <c r="W17" s="83"/>
      <c r="X17" s="83"/>
      <c r="Y17" s="83"/>
      <c r="Z17" s="83"/>
      <c r="AA17" s="83"/>
      <c r="AB17" s="83"/>
      <c r="AC17" s="83"/>
      <c r="AD17" s="83"/>
      <c r="AE17" s="83"/>
      <c r="AF17" s="83"/>
      <c r="AG17" s="83"/>
      <c r="AH17" s="83"/>
      <c r="AI17" s="83"/>
      <c r="AJ17" s="83"/>
      <c r="AK17" s="83"/>
    </row>
    <row r="18" spans="1:48" ht="20.5" customHeight="1" x14ac:dyDescent="0.2">
      <c r="A18" s="83"/>
      <c r="F18" s="83"/>
      <c r="G18" s="99" t="str">
        <f>+B30</f>
        <v>FOM</v>
      </c>
      <c r="H18" s="817">
        <f>+IF(I5="LCOP",SUMPRODUCT(C30:AE30,C36:AE36)/SUMPRODUCT(C27:AE27,C36:AE36)*I6,"-")</f>
        <v>3.6724260125145541E-2</v>
      </c>
      <c r="I18" s="92"/>
      <c r="J18" s="545"/>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5" customHeight="1" x14ac:dyDescent="0.2">
      <c r="A19" s="83"/>
      <c r="B19" s="1041" t="s">
        <v>666</v>
      </c>
      <c r="C19" s="1042"/>
      <c r="D19" s="1042"/>
      <c r="E19" s="1043"/>
      <c r="F19" s="83"/>
      <c r="G19" s="99" t="str">
        <f>+B34</f>
        <v>VOM</v>
      </c>
      <c r="H19" s="817">
        <f>+IF(I5="LCOP",SUMPRODUCT(C34:AE34,C36:AE36)/SUMPRODUCT(C27:AE27,C36:AE36)*I6,"-")</f>
        <v>1.560842706691608E-2</v>
      </c>
      <c r="I19" s="92"/>
      <c r="J19" s="545"/>
      <c r="K19" s="83"/>
      <c r="L19" s="83"/>
      <c r="M19" s="83"/>
      <c r="N19" s="83"/>
      <c r="O19" s="83"/>
      <c r="P19" s="83"/>
      <c r="Q19" s="83"/>
      <c r="R19" s="83"/>
      <c r="S19" s="157"/>
      <c r="T19" s="83"/>
      <c r="U19" s="83"/>
      <c r="V19" s="83"/>
      <c r="W19" s="83"/>
      <c r="X19" s="83"/>
      <c r="Y19" s="83"/>
      <c r="Z19" s="83"/>
      <c r="AA19" s="83"/>
      <c r="AB19" s="83"/>
      <c r="AC19" s="83"/>
      <c r="AD19" s="83"/>
      <c r="AE19" s="83"/>
      <c r="AF19" s="83"/>
      <c r="AG19" s="83"/>
      <c r="AH19" s="83"/>
      <c r="AI19" s="83"/>
      <c r="AJ19" s="83"/>
      <c r="AK19" s="83"/>
    </row>
    <row r="20" spans="1:48" ht="20.5" customHeight="1" x14ac:dyDescent="0.2">
      <c r="A20" s="83"/>
      <c r="B20" s="1060" t="s">
        <v>667</v>
      </c>
      <c r="C20" s="1060"/>
      <c r="D20" s="734">
        <v>0.2704364167067797</v>
      </c>
      <c r="E20" s="86" t="str">
        <f>+J6</f>
        <v>$/kg/s</v>
      </c>
      <c r="F20" s="83"/>
      <c r="G20" s="99" t="str">
        <f>+B33</f>
        <v>CO2 tax</v>
      </c>
      <c r="H20" s="817">
        <f>+IF(I5="LCOP",SUMPRODUCT(C33:AE33,C37:AE37)/SUMPRODUCT(C27:AE27,C37:AE37)*I6,"-")</f>
        <v>0</v>
      </c>
      <c r="I20" s="92"/>
      <c r="J20" s="545"/>
      <c r="K20" s="83"/>
      <c r="L20" s="83"/>
      <c r="M20" s="83"/>
      <c r="N20" s="83"/>
      <c r="O20" s="83"/>
      <c r="P20" s="83"/>
      <c r="Q20" s="83"/>
      <c r="R20" s="83"/>
      <c r="S20" s="157"/>
      <c r="T20" s="83"/>
      <c r="U20" s="83"/>
      <c r="V20" s="83"/>
      <c r="W20" s="83"/>
      <c r="X20" s="83"/>
      <c r="Y20" s="83"/>
      <c r="Z20" s="83"/>
      <c r="AA20" s="83"/>
      <c r="AB20" s="83"/>
      <c r="AC20" s="83"/>
      <c r="AD20" s="83"/>
      <c r="AE20" s="83"/>
      <c r="AF20" s="83"/>
      <c r="AG20" s="83"/>
      <c r="AH20" s="83"/>
      <c r="AI20" s="83"/>
      <c r="AJ20" s="83"/>
      <c r="AK20" s="83"/>
    </row>
    <row r="21" spans="1:48" ht="20.5" customHeight="1" x14ac:dyDescent="0.2">
      <c r="A21" s="83"/>
      <c r="B21" s="1054" t="s">
        <v>668</v>
      </c>
      <c r="C21" s="1054"/>
      <c r="D21" s="465">
        <f>+G46</f>
        <v>0.08</v>
      </c>
      <c r="E21" s="98" t="s">
        <v>106</v>
      </c>
      <c r="F21" s="83"/>
      <c r="G21" s="99" t="str">
        <f>+B31</f>
        <v>NG</v>
      </c>
      <c r="H21" s="817">
        <f>+IF(I5="LCOP",SUMPRODUCT(C31:AE31,C37:AE37)/SUMPRODUCT(C27:AE27,C37:AE37)*I6,"-")</f>
        <v>0.12625429491051213</v>
      </c>
      <c r="I21" s="92"/>
      <c r="J21" s="545"/>
      <c r="K21" s="83"/>
      <c r="L21" s="83"/>
      <c r="M21" s="83"/>
      <c r="N21" s="83"/>
      <c r="O21" s="83"/>
      <c r="P21" s="83"/>
      <c r="Q21" s="83"/>
      <c r="R21" s="83"/>
      <c r="S21" s="157"/>
      <c r="T21" s="83"/>
      <c r="U21" s="83"/>
      <c r="V21" s="83"/>
      <c r="W21" s="83"/>
      <c r="X21" s="83"/>
      <c r="Y21" s="83"/>
      <c r="Z21" s="83"/>
      <c r="AA21" s="83"/>
      <c r="AB21" s="83"/>
      <c r="AC21" s="83"/>
      <c r="AD21" s="83"/>
      <c r="AE21" s="83"/>
      <c r="AF21" s="83"/>
      <c r="AG21" s="83"/>
      <c r="AH21" s="83"/>
      <c r="AI21" s="83"/>
      <c r="AJ21" s="83"/>
      <c r="AK21" s="83"/>
    </row>
    <row r="22" spans="1:48" ht="20.5" customHeight="1" x14ac:dyDescent="0.2">
      <c r="A22" s="83"/>
      <c r="B22" s="1058" t="s">
        <v>669</v>
      </c>
      <c r="C22" s="1059"/>
      <c r="D22" s="86">
        <f>HLOOKUP(D16,C24:AE39,16)</f>
        <v>-1.7053025658242404E-13</v>
      </c>
      <c r="E22" s="86" t="str">
        <f>+E7</f>
        <v>M$</v>
      </c>
      <c r="F22" s="83"/>
      <c r="G22" s="173" t="str">
        <f>+B32</f>
        <v>Electricity</v>
      </c>
      <c r="H22" s="818">
        <f>+IF(I5="LCOP",SUMPRODUCT(C32:AE32,C37:AE37)/SUMPRODUCT(C27:AE27,C37:AE37)*I6,"-")</f>
        <v>0</v>
      </c>
      <c r="I22" s="547"/>
      <c r="J22" s="546"/>
      <c r="K22" s="83"/>
      <c r="P22" s="83"/>
      <c r="Q22" s="83"/>
      <c r="R22" s="83"/>
      <c r="S22" s="157"/>
      <c r="T22" s="83"/>
      <c r="U22" s="83"/>
      <c r="V22" s="83"/>
      <c r="W22" s="83"/>
      <c r="X22" s="83"/>
      <c r="Y22" s="83"/>
      <c r="Z22" s="83"/>
      <c r="AA22" s="83"/>
      <c r="AB22" s="83"/>
      <c r="AC22" s="83"/>
      <c r="AD22" s="83"/>
      <c r="AE22" s="83"/>
      <c r="AF22" s="83"/>
      <c r="AG22" s="83"/>
      <c r="AH22" s="83"/>
      <c r="AI22" s="83"/>
      <c r="AJ22" s="83"/>
      <c r="AK22" s="83"/>
    </row>
    <row r="23" spans="1:48" ht="20.5" customHeight="1" x14ac:dyDescent="0.2">
      <c r="A23" s="83"/>
      <c r="B23" s="83"/>
      <c r="C23" s="83"/>
      <c r="D23" s="83"/>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row>
    <row r="24" spans="1:48" ht="20.5" customHeight="1" x14ac:dyDescent="0.2">
      <c r="A24" s="83"/>
      <c r="B24" s="440" t="s">
        <v>50</v>
      </c>
      <c r="C24" s="482">
        <v>-4</v>
      </c>
      <c r="D24" s="483">
        <v>-3</v>
      </c>
      <c r="E24" s="483">
        <v>-2</v>
      </c>
      <c r="F24" s="484">
        <v>-1</v>
      </c>
      <c r="G24" s="483">
        <v>1</v>
      </c>
      <c r="H24" s="483">
        <v>2</v>
      </c>
      <c r="I24" s="483">
        <v>3</v>
      </c>
      <c r="J24" s="483">
        <v>4</v>
      </c>
      <c r="K24" s="483">
        <v>5</v>
      </c>
      <c r="L24" s="483">
        <v>6</v>
      </c>
      <c r="M24" s="483">
        <v>7</v>
      </c>
      <c r="N24" s="483">
        <v>8</v>
      </c>
      <c r="O24" s="483">
        <v>9</v>
      </c>
      <c r="P24" s="483">
        <v>10</v>
      </c>
      <c r="Q24" s="483">
        <v>11</v>
      </c>
      <c r="R24" s="483">
        <v>12</v>
      </c>
      <c r="S24" s="483">
        <v>13</v>
      </c>
      <c r="T24" s="483">
        <v>14</v>
      </c>
      <c r="U24" s="483">
        <v>15</v>
      </c>
      <c r="V24" s="483">
        <v>16</v>
      </c>
      <c r="W24" s="483">
        <v>17</v>
      </c>
      <c r="X24" s="483">
        <v>18</v>
      </c>
      <c r="Y24" s="483">
        <v>19</v>
      </c>
      <c r="Z24" s="483">
        <v>20</v>
      </c>
      <c r="AA24" s="483">
        <v>21</v>
      </c>
      <c r="AB24" s="483">
        <v>22</v>
      </c>
      <c r="AC24" s="483">
        <v>23</v>
      </c>
      <c r="AD24" s="483">
        <v>24</v>
      </c>
      <c r="AE24" s="484">
        <v>25</v>
      </c>
      <c r="AF24" s="157"/>
      <c r="AG24" s="157"/>
      <c r="AH24" s="157"/>
      <c r="AI24" s="157"/>
      <c r="AJ24" s="157"/>
      <c r="AK24" s="157"/>
      <c r="AL24" s="157"/>
      <c r="AM24" s="157"/>
      <c r="AN24" s="157"/>
      <c r="AO24" s="157"/>
      <c r="AP24" s="157"/>
      <c r="AQ24" s="157"/>
      <c r="AR24" s="157"/>
      <c r="AS24" s="157"/>
      <c r="AT24" s="157"/>
      <c r="AU24" s="389"/>
      <c r="AV24" s="389"/>
    </row>
    <row r="25" spans="1:48" ht="20.5" customHeight="1" x14ac:dyDescent="0.2">
      <c r="A25" s="83"/>
      <c r="B25" s="479" t="s">
        <v>670</v>
      </c>
      <c r="C25" s="480"/>
      <c r="D25" s="480"/>
      <c r="E25" s="480"/>
      <c r="F25" s="480"/>
      <c r="G25" s="525">
        <f>+D14</f>
        <v>0.65</v>
      </c>
      <c r="H25" s="526">
        <f t="shared" ref="H25:AE25" si="0">+IF(H24&lt;=$D$16,$D$15,0)</f>
        <v>0.9</v>
      </c>
      <c r="I25" s="526">
        <f t="shared" si="0"/>
        <v>0.9</v>
      </c>
      <c r="J25" s="526">
        <f t="shared" si="0"/>
        <v>0.9</v>
      </c>
      <c r="K25" s="526">
        <f t="shared" si="0"/>
        <v>0.9</v>
      </c>
      <c r="L25" s="526">
        <f t="shared" si="0"/>
        <v>0.9</v>
      </c>
      <c r="M25" s="526">
        <f t="shared" si="0"/>
        <v>0.9</v>
      </c>
      <c r="N25" s="526">
        <f t="shared" si="0"/>
        <v>0.9</v>
      </c>
      <c r="O25" s="526">
        <f t="shared" si="0"/>
        <v>0.9</v>
      </c>
      <c r="P25" s="526">
        <f t="shared" si="0"/>
        <v>0.9</v>
      </c>
      <c r="Q25" s="526">
        <f t="shared" si="0"/>
        <v>0.9</v>
      </c>
      <c r="R25" s="526">
        <f t="shared" si="0"/>
        <v>0.9</v>
      </c>
      <c r="S25" s="526">
        <f t="shared" si="0"/>
        <v>0.9</v>
      </c>
      <c r="T25" s="526">
        <f t="shared" si="0"/>
        <v>0.9</v>
      </c>
      <c r="U25" s="526">
        <f t="shared" si="0"/>
        <v>0.9</v>
      </c>
      <c r="V25" s="526">
        <f t="shared" si="0"/>
        <v>0.9</v>
      </c>
      <c r="W25" s="526">
        <f t="shared" si="0"/>
        <v>0.9</v>
      </c>
      <c r="X25" s="526">
        <f t="shared" si="0"/>
        <v>0.9</v>
      </c>
      <c r="Y25" s="526">
        <f t="shared" si="0"/>
        <v>0.9</v>
      </c>
      <c r="Z25" s="526">
        <f t="shared" si="0"/>
        <v>0.9</v>
      </c>
      <c r="AA25" s="526">
        <f t="shared" si="0"/>
        <v>0.9</v>
      </c>
      <c r="AB25" s="526">
        <f t="shared" si="0"/>
        <v>0.9</v>
      </c>
      <c r="AC25" s="526">
        <f t="shared" si="0"/>
        <v>0.9</v>
      </c>
      <c r="AD25" s="526">
        <f t="shared" si="0"/>
        <v>0.9</v>
      </c>
      <c r="AE25" s="527">
        <f t="shared" si="0"/>
        <v>0.9</v>
      </c>
      <c r="AF25" s="83"/>
      <c r="AG25" s="83"/>
      <c r="AH25" s="83"/>
      <c r="AI25" s="83"/>
      <c r="AJ25" s="83"/>
      <c r="AK25" s="83"/>
    </row>
    <row r="26" spans="1:48" ht="20.5" customHeight="1" x14ac:dyDescent="0.2">
      <c r="A26" s="83"/>
      <c r="B26" s="534" t="s">
        <v>671</v>
      </c>
      <c r="C26" s="281"/>
      <c r="D26" s="281"/>
      <c r="E26" s="281"/>
      <c r="F26" s="281"/>
      <c r="G26" s="468"/>
      <c r="H26" s="281"/>
      <c r="I26" s="281"/>
      <c r="J26" s="281"/>
      <c r="K26" s="281"/>
      <c r="L26" s="281"/>
      <c r="M26" s="281"/>
      <c r="N26" s="281"/>
      <c r="O26" s="281"/>
      <c r="P26" s="281"/>
      <c r="Q26" s="281"/>
      <c r="R26" s="281"/>
      <c r="S26" s="281"/>
      <c r="T26" s="281"/>
      <c r="U26" s="281"/>
      <c r="V26" s="281"/>
      <c r="W26" s="281"/>
      <c r="X26" s="281"/>
      <c r="Y26" s="281"/>
      <c r="Z26" s="281"/>
      <c r="AA26" s="281"/>
      <c r="AB26" s="281"/>
      <c r="AC26" s="281"/>
      <c r="AD26" s="281"/>
      <c r="AE26" s="113"/>
      <c r="AF26" s="83"/>
      <c r="AG26" s="83"/>
      <c r="AH26" s="83"/>
      <c r="AI26" s="83"/>
      <c r="AJ26" s="83"/>
      <c r="AK26" s="83"/>
    </row>
    <row r="27" spans="1:48" ht="20.5" customHeight="1" x14ac:dyDescent="0.2">
      <c r="A27" s="83"/>
      <c r="B27" s="478" t="s">
        <v>672</v>
      </c>
      <c r="C27" s="438"/>
      <c r="D27" s="438"/>
      <c r="E27" s="438"/>
      <c r="F27" s="438"/>
      <c r="G27" s="522">
        <f>365.25*24*G25*$D$20*3600*'Plant Overview'!$I$32/10^6</f>
        <v>173.85848878241407</v>
      </c>
      <c r="H27" s="523">
        <f>365.25*24*H25*$D$20*3600*'Plant Overview'!$I$32/10^6</f>
        <v>240.72713831411181</v>
      </c>
      <c r="I27" s="523">
        <f>365.25*24*I25*$D$20*3600*'Plant Overview'!$I$32/10^6</f>
        <v>240.72713831411181</v>
      </c>
      <c r="J27" s="523">
        <f>365.25*24*J25*$D$20*3600*'Plant Overview'!$I$32/10^6</f>
        <v>240.72713831411181</v>
      </c>
      <c r="K27" s="523">
        <f>365.25*24*K25*$D$20*3600*'Plant Overview'!$I$32/10^6</f>
        <v>240.72713831411181</v>
      </c>
      <c r="L27" s="523">
        <f>365.25*24*L25*$D$20*3600*'Plant Overview'!$I$32/10^6</f>
        <v>240.72713831411181</v>
      </c>
      <c r="M27" s="523">
        <f>365.25*24*M25*$D$20*3600*'Plant Overview'!$I$32/10^6</f>
        <v>240.72713831411181</v>
      </c>
      <c r="N27" s="523">
        <f>365.25*24*N25*$D$20*3600*'Plant Overview'!$I$32/10^6</f>
        <v>240.72713831411181</v>
      </c>
      <c r="O27" s="523">
        <f>365.25*24*O25*$D$20*3600*'Plant Overview'!$I$32/10^6</f>
        <v>240.72713831411181</v>
      </c>
      <c r="P27" s="523">
        <f>365.25*24*P25*$D$20*3600*'Plant Overview'!$I$32/10^6</f>
        <v>240.72713831411181</v>
      </c>
      <c r="Q27" s="523">
        <f>365.25*24*Q25*$D$20*3600*'Plant Overview'!$I$32/10^6</f>
        <v>240.72713831411181</v>
      </c>
      <c r="R27" s="523">
        <f>365.25*24*R25*$D$20*3600*'Plant Overview'!$I$32/10^6</f>
        <v>240.72713831411181</v>
      </c>
      <c r="S27" s="523">
        <f>365.25*24*S25*$D$20*3600*'Plant Overview'!$I$32/10^6</f>
        <v>240.72713831411181</v>
      </c>
      <c r="T27" s="523">
        <f>365.25*24*T25*$D$20*3600*'Plant Overview'!$I$32/10^6</f>
        <v>240.72713831411181</v>
      </c>
      <c r="U27" s="523">
        <f>365.25*24*U25*$D$20*3600*'Plant Overview'!$I$32/10^6</f>
        <v>240.72713831411181</v>
      </c>
      <c r="V27" s="523">
        <f>365.25*24*V25*$D$20*3600*'Plant Overview'!$I$32/10^6</f>
        <v>240.72713831411181</v>
      </c>
      <c r="W27" s="523">
        <f>365.25*24*W25*$D$20*3600*'Plant Overview'!$I$32/10^6</f>
        <v>240.72713831411181</v>
      </c>
      <c r="X27" s="523">
        <f>365.25*24*X25*$D$20*3600*'Plant Overview'!$I$32/10^6</f>
        <v>240.72713831411181</v>
      </c>
      <c r="Y27" s="523">
        <f>365.25*24*Y25*$D$20*3600*'Plant Overview'!$I$32/10^6</f>
        <v>240.72713831411181</v>
      </c>
      <c r="Z27" s="523">
        <f>365.25*24*Z25*$D$20*3600*'Plant Overview'!$I$32/10^6</f>
        <v>240.72713831411181</v>
      </c>
      <c r="AA27" s="523">
        <f>365.25*24*AA25*$D$20*3600*'Plant Overview'!$I$32/10^6</f>
        <v>240.72713831411181</v>
      </c>
      <c r="AB27" s="523">
        <f>365.25*24*AB25*$D$20*3600*'Plant Overview'!$I$32/10^6</f>
        <v>240.72713831411181</v>
      </c>
      <c r="AC27" s="523">
        <f>365.25*24*AC25*$D$20*3600*'Plant Overview'!$I$32/10^6</f>
        <v>240.72713831411181</v>
      </c>
      <c r="AD27" s="523">
        <f>365.25*24*AD25*$D$20*3600*'Plant Overview'!$I$32/10^6</f>
        <v>240.72713831411181</v>
      </c>
      <c r="AE27" s="524">
        <f>365.25*24*AE25*$D$20*3600*'Plant Overview'!$I$32/10^6</f>
        <v>240.72713831411181</v>
      </c>
      <c r="AF27" s="83"/>
      <c r="AG27" s="83"/>
      <c r="AH27" s="83"/>
      <c r="AI27" s="83"/>
      <c r="AJ27" s="83"/>
      <c r="AK27" s="83"/>
    </row>
    <row r="28" spans="1:48" ht="20.5" customHeight="1" x14ac:dyDescent="0.2">
      <c r="A28" s="83"/>
      <c r="B28" s="519" t="s">
        <v>673</v>
      </c>
      <c r="C28" s="481"/>
      <c r="D28" s="433"/>
      <c r="E28" s="433"/>
      <c r="F28" s="433"/>
      <c r="G28" s="434"/>
      <c r="H28" s="435"/>
      <c r="I28" s="435"/>
      <c r="J28" s="435"/>
      <c r="K28" s="435"/>
      <c r="L28" s="435"/>
      <c r="M28" s="435"/>
      <c r="N28" s="435"/>
      <c r="O28" s="435"/>
      <c r="P28" s="435"/>
      <c r="Q28" s="435"/>
      <c r="R28" s="435"/>
      <c r="S28" s="435"/>
      <c r="T28" s="435"/>
      <c r="U28" s="435"/>
      <c r="V28" s="435"/>
      <c r="W28" s="435"/>
      <c r="X28" s="435"/>
      <c r="Y28" s="435"/>
      <c r="Z28" s="435"/>
      <c r="AA28" s="435"/>
      <c r="AB28" s="435"/>
      <c r="AC28" s="435"/>
      <c r="AD28" s="435"/>
      <c r="AE28" s="436"/>
      <c r="AF28" s="216"/>
      <c r="AG28" s="216"/>
      <c r="AH28" s="216"/>
      <c r="AI28" s="216"/>
      <c r="AJ28" s="216"/>
      <c r="AK28" s="395"/>
    </row>
    <row r="29" spans="1:48" ht="20.5" customHeight="1" x14ac:dyDescent="0.2">
      <c r="A29" s="83"/>
      <c r="B29" s="476" t="s">
        <v>674</v>
      </c>
      <c r="C29" s="435">
        <f>IF($D$17&gt;3,$D$7/$D$17,0)</f>
        <v>189.01705932617188</v>
      </c>
      <c r="D29" s="435">
        <f>IF($D$17&gt;2,$D$7/$D$17,0)</f>
        <v>189.01705932617188</v>
      </c>
      <c r="E29" s="435">
        <f>IF($D$17&gt;1,$D$7/$D$17,0)</f>
        <v>189.01705932617188</v>
      </c>
      <c r="F29" s="435">
        <f>$D$7/$D$17</f>
        <v>189.01705932617188</v>
      </c>
      <c r="G29" s="434"/>
      <c r="H29" s="435"/>
      <c r="I29" s="435"/>
      <c r="J29" s="435"/>
      <c r="K29" s="435"/>
      <c r="L29" s="435"/>
      <c r="M29" s="435"/>
      <c r="N29" s="435"/>
      <c r="O29" s="435"/>
      <c r="P29" s="435"/>
      <c r="Q29" s="435"/>
      <c r="R29" s="435"/>
      <c r="S29" s="435"/>
      <c r="T29" s="435"/>
      <c r="U29" s="435"/>
      <c r="V29" s="435"/>
      <c r="W29" s="435"/>
      <c r="X29" s="435"/>
      <c r="Y29" s="435"/>
      <c r="Z29" s="435"/>
      <c r="AA29" s="435"/>
      <c r="AB29" s="435"/>
      <c r="AC29" s="435"/>
      <c r="AD29" s="435"/>
      <c r="AE29" s="436"/>
      <c r="AF29" s="216"/>
      <c r="AG29" s="216"/>
      <c r="AH29" s="216"/>
      <c r="AI29" s="216"/>
      <c r="AJ29" s="216"/>
      <c r="AK29" s="395"/>
    </row>
    <row r="30" spans="1:48" ht="20.5" customHeight="1" x14ac:dyDescent="0.2">
      <c r="A30" s="83"/>
      <c r="B30" s="477" t="s">
        <v>601</v>
      </c>
      <c r="C30" s="435"/>
      <c r="D30" s="435"/>
      <c r="E30" s="435"/>
      <c r="F30" s="435"/>
      <c r="G30" s="486">
        <f>+$D$8</f>
        <v>31.902210305664063</v>
      </c>
      <c r="H30" s="485">
        <f t="shared" ref="H30:AE30" si="1">+IF(H24&lt;=$D$16,$D$8,0)</f>
        <v>31.902210305664063</v>
      </c>
      <c r="I30" s="485">
        <f t="shared" si="1"/>
        <v>31.902210305664063</v>
      </c>
      <c r="J30" s="485">
        <f t="shared" si="1"/>
        <v>31.902210305664063</v>
      </c>
      <c r="K30" s="485">
        <f t="shared" si="1"/>
        <v>31.902210305664063</v>
      </c>
      <c r="L30" s="485">
        <f t="shared" si="1"/>
        <v>31.902210305664063</v>
      </c>
      <c r="M30" s="485">
        <f t="shared" si="1"/>
        <v>31.902210305664063</v>
      </c>
      <c r="N30" s="485">
        <f t="shared" si="1"/>
        <v>31.902210305664063</v>
      </c>
      <c r="O30" s="485">
        <f t="shared" si="1"/>
        <v>31.902210305664063</v>
      </c>
      <c r="P30" s="485">
        <f t="shared" si="1"/>
        <v>31.902210305664063</v>
      </c>
      <c r="Q30" s="485">
        <f t="shared" si="1"/>
        <v>31.902210305664063</v>
      </c>
      <c r="R30" s="485">
        <f t="shared" si="1"/>
        <v>31.902210305664063</v>
      </c>
      <c r="S30" s="485">
        <f t="shared" si="1"/>
        <v>31.902210305664063</v>
      </c>
      <c r="T30" s="485">
        <f t="shared" si="1"/>
        <v>31.902210305664063</v>
      </c>
      <c r="U30" s="485">
        <f t="shared" si="1"/>
        <v>31.902210305664063</v>
      </c>
      <c r="V30" s="485">
        <f t="shared" si="1"/>
        <v>31.902210305664063</v>
      </c>
      <c r="W30" s="485">
        <f t="shared" si="1"/>
        <v>31.902210305664063</v>
      </c>
      <c r="X30" s="485">
        <f t="shared" si="1"/>
        <v>31.902210305664063</v>
      </c>
      <c r="Y30" s="485">
        <f t="shared" si="1"/>
        <v>31.902210305664063</v>
      </c>
      <c r="Z30" s="485">
        <f t="shared" si="1"/>
        <v>31.902210305664063</v>
      </c>
      <c r="AA30" s="485">
        <f t="shared" si="1"/>
        <v>31.902210305664063</v>
      </c>
      <c r="AB30" s="485">
        <f t="shared" si="1"/>
        <v>31.902210305664063</v>
      </c>
      <c r="AC30" s="485">
        <f t="shared" si="1"/>
        <v>31.902210305664063</v>
      </c>
      <c r="AD30" s="485">
        <f t="shared" si="1"/>
        <v>31.902210305664063</v>
      </c>
      <c r="AE30" s="487">
        <f t="shared" si="1"/>
        <v>31.902210305664063</v>
      </c>
      <c r="AF30" s="216"/>
      <c r="AG30" s="216"/>
      <c r="AH30" s="216"/>
      <c r="AI30" s="216"/>
      <c r="AJ30" s="216"/>
      <c r="AK30" s="395"/>
    </row>
    <row r="31" spans="1:48" ht="20.5" customHeight="1" x14ac:dyDescent="0.2">
      <c r="A31" s="83"/>
      <c r="B31" s="476" t="str">
        <f>+B9</f>
        <v>NG</v>
      </c>
      <c r="C31" s="435"/>
      <c r="D31" s="435"/>
      <c r="E31" s="435"/>
      <c r="F31" s="435"/>
      <c r="G31" s="486">
        <f t="shared" ref="G31:AE31" si="2">+$D$9*G25</f>
        <v>81.166512937606853</v>
      </c>
      <c r="H31" s="485">
        <f t="shared" si="2"/>
        <v>112.3844025289941</v>
      </c>
      <c r="I31" s="485">
        <f t="shared" si="2"/>
        <v>112.3844025289941</v>
      </c>
      <c r="J31" s="485">
        <f t="shared" si="2"/>
        <v>112.3844025289941</v>
      </c>
      <c r="K31" s="485">
        <f t="shared" si="2"/>
        <v>112.3844025289941</v>
      </c>
      <c r="L31" s="485">
        <f t="shared" si="2"/>
        <v>112.3844025289941</v>
      </c>
      <c r="M31" s="485">
        <f t="shared" si="2"/>
        <v>112.3844025289941</v>
      </c>
      <c r="N31" s="485">
        <f t="shared" si="2"/>
        <v>112.3844025289941</v>
      </c>
      <c r="O31" s="485">
        <f t="shared" si="2"/>
        <v>112.3844025289941</v>
      </c>
      <c r="P31" s="485">
        <f t="shared" si="2"/>
        <v>112.3844025289941</v>
      </c>
      <c r="Q31" s="485">
        <f t="shared" si="2"/>
        <v>112.3844025289941</v>
      </c>
      <c r="R31" s="485">
        <f t="shared" si="2"/>
        <v>112.3844025289941</v>
      </c>
      <c r="S31" s="485">
        <f t="shared" si="2"/>
        <v>112.3844025289941</v>
      </c>
      <c r="T31" s="485">
        <f t="shared" si="2"/>
        <v>112.3844025289941</v>
      </c>
      <c r="U31" s="485">
        <f t="shared" si="2"/>
        <v>112.3844025289941</v>
      </c>
      <c r="V31" s="485">
        <f t="shared" si="2"/>
        <v>112.3844025289941</v>
      </c>
      <c r="W31" s="485">
        <f t="shared" si="2"/>
        <v>112.3844025289941</v>
      </c>
      <c r="X31" s="485">
        <f t="shared" si="2"/>
        <v>112.3844025289941</v>
      </c>
      <c r="Y31" s="485">
        <f t="shared" si="2"/>
        <v>112.3844025289941</v>
      </c>
      <c r="Z31" s="485">
        <f t="shared" si="2"/>
        <v>112.3844025289941</v>
      </c>
      <c r="AA31" s="485">
        <f t="shared" si="2"/>
        <v>112.3844025289941</v>
      </c>
      <c r="AB31" s="485">
        <f t="shared" si="2"/>
        <v>112.3844025289941</v>
      </c>
      <c r="AC31" s="485">
        <f t="shared" si="2"/>
        <v>112.3844025289941</v>
      </c>
      <c r="AD31" s="485">
        <f t="shared" si="2"/>
        <v>112.3844025289941</v>
      </c>
      <c r="AE31" s="487">
        <f t="shared" si="2"/>
        <v>112.3844025289941</v>
      </c>
      <c r="AF31" s="216"/>
      <c r="AG31" s="216"/>
      <c r="AH31" s="216"/>
      <c r="AI31" s="216"/>
      <c r="AJ31" s="216"/>
      <c r="AK31" s="395"/>
    </row>
    <row r="32" spans="1:48" ht="20.5" customHeight="1" x14ac:dyDescent="0.2">
      <c r="A32" s="83"/>
      <c r="B32" s="476" t="str">
        <f>+B10</f>
        <v>Electricity</v>
      </c>
      <c r="C32" s="435"/>
      <c r="D32" s="435"/>
      <c r="E32" s="435"/>
      <c r="F32" s="435"/>
      <c r="G32" s="486">
        <f t="shared" ref="G32:AE32" si="3">+$D$10*G25</f>
        <v>0</v>
      </c>
      <c r="H32" s="485">
        <f t="shared" si="3"/>
        <v>0</v>
      </c>
      <c r="I32" s="485">
        <f t="shared" si="3"/>
        <v>0</v>
      </c>
      <c r="J32" s="485">
        <f t="shared" si="3"/>
        <v>0</v>
      </c>
      <c r="K32" s="485">
        <f t="shared" si="3"/>
        <v>0</v>
      </c>
      <c r="L32" s="485">
        <f t="shared" si="3"/>
        <v>0</v>
      </c>
      <c r="M32" s="485">
        <f t="shared" si="3"/>
        <v>0</v>
      </c>
      <c r="N32" s="485">
        <f t="shared" si="3"/>
        <v>0</v>
      </c>
      <c r="O32" s="485">
        <f t="shared" si="3"/>
        <v>0</v>
      </c>
      <c r="P32" s="485">
        <f t="shared" si="3"/>
        <v>0</v>
      </c>
      <c r="Q32" s="485">
        <f t="shared" si="3"/>
        <v>0</v>
      </c>
      <c r="R32" s="485">
        <f t="shared" si="3"/>
        <v>0</v>
      </c>
      <c r="S32" s="485">
        <f t="shared" si="3"/>
        <v>0</v>
      </c>
      <c r="T32" s="485">
        <f t="shared" si="3"/>
        <v>0</v>
      </c>
      <c r="U32" s="485">
        <f t="shared" si="3"/>
        <v>0</v>
      </c>
      <c r="V32" s="485">
        <f t="shared" si="3"/>
        <v>0</v>
      </c>
      <c r="W32" s="485">
        <f t="shared" si="3"/>
        <v>0</v>
      </c>
      <c r="X32" s="485">
        <f t="shared" si="3"/>
        <v>0</v>
      </c>
      <c r="Y32" s="485">
        <f t="shared" si="3"/>
        <v>0</v>
      </c>
      <c r="Z32" s="485">
        <f t="shared" si="3"/>
        <v>0</v>
      </c>
      <c r="AA32" s="485">
        <f t="shared" si="3"/>
        <v>0</v>
      </c>
      <c r="AB32" s="485">
        <f t="shared" si="3"/>
        <v>0</v>
      </c>
      <c r="AC32" s="485">
        <f t="shared" si="3"/>
        <v>0</v>
      </c>
      <c r="AD32" s="485">
        <f t="shared" si="3"/>
        <v>0</v>
      </c>
      <c r="AE32" s="487">
        <f t="shared" si="3"/>
        <v>0</v>
      </c>
      <c r="AF32" s="216"/>
      <c r="AG32" s="216"/>
      <c r="AH32" s="216"/>
      <c r="AI32" s="216"/>
      <c r="AJ32" s="216"/>
      <c r="AK32" s="395"/>
    </row>
    <row r="33" spans="1:37" ht="20.5" customHeight="1" x14ac:dyDescent="0.2">
      <c r="A33" s="83"/>
      <c r="B33" s="476" t="s">
        <v>621</v>
      </c>
      <c r="C33" s="435"/>
      <c r="D33" s="435"/>
      <c r="E33" s="435"/>
      <c r="F33" s="435"/>
      <c r="G33" s="486">
        <f>'Plant OPEX'!$U$27*'Cash Flow Analysis'!G25</f>
        <v>0</v>
      </c>
      <c r="H33" s="485">
        <f>'Plant OPEX'!$U$27*'Cash Flow Analysis'!H25</f>
        <v>0</v>
      </c>
      <c r="I33" s="485">
        <f>'Plant OPEX'!$U$27*'Cash Flow Analysis'!I25</f>
        <v>0</v>
      </c>
      <c r="J33" s="485">
        <f>'Plant OPEX'!$U$27*'Cash Flow Analysis'!J25</f>
        <v>0</v>
      </c>
      <c r="K33" s="485">
        <f>'Plant OPEX'!$U$27*'Cash Flow Analysis'!K25</f>
        <v>0</v>
      </c>
      <c r="L33" s="485">
        <f>'Plant OPEX'!$U$27*'Cash Flow Analysis'!L25</f>
        <v>0</v>
      </c>
      <c r="M33" s="485">
        <f>'Plant OPEX'!$U$27*'Cash Flow Analysis'!M25</f>
        <v>0</v>
      </c>
      <c r="N33" s="485">
        <f>'Plant OPEX'!$U$27*'Cash Flow Analysis'!N25</f>
        <v>0</v>
      </c>
      <c r="O33" s="485">
        <f>'Plant OPEX'!$U$27*'Cash Flow Analysis'!O25</f>
        <v>0</v>
      </c>
      <c r="P33" s="485">
        <f>'Plant OPEX'!$U$27*'Cash Flow Analysis'!P25</f>
        <v>0</v>
      </c>
      <c r="Q33" s="485">
        <f>'Plant OPEX'!$U$27*'Cash Flow Analysis'!Q25</f>
        <v>0</v>
      </c>
      <c r="R33" s="485">
        <f>'Plant OPEX'!$U$27*'Cash Flow Analysis'!R25</f>
        <v>0</v>
      </c>
      <c r="S33" s="485">
        <f>'Plant OPEX'!$U$27*'Cash Flow Analysis'!S25</f>
        <v>0</v>
      </c>
      <c r="T33" s="485">
        <f>'Plant OPEX'!$U$27*'Cash Flow Analysis'!T25</f>
        <v>0</v>
      </c>
      <c r="U33" s="485">
        <f>'Plant OPEX'!$U$27*'Cash Flow Analysis'!U25</f>
        <v>0</v>
      </c>
      <c r="V33" s="485">
        <f>'Plant OPEX'!$U$27*'Cash Flow Analysis'!V25</f>
        <v>0</v>
      </c>
      <c r="W33" s="485">
        <f>'Plant OPEX'!$U$27*'Cash Flow Analysis'!W25</f>
        <v>0</v>
      </c>
      <c r="X33" s="485">
        <f>'Plant OPEX'!$U$27*'Cash Flow Analysis'!X25</f>
        <v>0</v>
      </c>
      <c r="Y33" s="485">
        <f>'Plant OPEX'!$U$27*'Cash Flow Analysis'!Y25</f>
        <v>0</v>
      </c>
      <c r="Z33" s="485">
        <f>'Plant OPEX'!$U$27*'Cash Flow Analysis'!Z25</f>
        <v>0</v>
      </c>
      <c r="AA33" s="485">
        <f>'Plant OPEX'!$U$27*'Cash Flow Analysis'!AA25</f>
        <v>0</v>
      </c>
      <c r="AB33" s="485">
        <f>'Plant OPEX'!$U$27*'Cash Flow Analysis'!AB25</f>
        <v>0</v>
      </c>
      <c r="AC33" s="485">
        <f>'Plant OPEX'!$U$27*'Cash Flow Analysis'!AC25</f>
        <v>0</v>
      </c>
      <c r="AD33" s="485">
        <f>'Plant OPEX'!$U$27*'Cash Flow Analysis'!AD25</f>
        <v>0</v>
      </c>
      <c r="AE33" s="487">
        <f>'Plant OPEX'!$U$27*'Cash Flow Analysis'!AE25</f>
        <v>0</v>
      </c>
      <c r="AF33" s="216"/>
      <c r="AG33" s="216"/>
      <c r="AH33" s="216"/>
      <c r="AI33" s="216"/>
      <c r="AJ33" s="216"/>
      <c r="AK33" s="395"/>
    </row>
    <row r="34" spans="1:37" ht="20.5" customHeight="1" x14ac:dyDescent="0.2">
      <c r="A34" s="83"/>
      <c r="B34" s="477" t="str">
        <f>+B11</f>
        <v>VOM</v>
      </c>
      <c r="C34" s="435"/>
      <c r="D34" s="435"/>
      <c r="E34" s="435"/>
      <c r="F34" s="435"/>
      <c r="G34" s="486">
        <f t="shared" ref="G34:AE34" si="4">+$D$11*G25</f>
        <v>10.034364362499437</v>
      </c>
      <c r="H34" s="485">
        <f t="shared" si="4"/>
        <v>13.893735271153066</v>
      </c>
      <c r="I34" s="485">
        <f t="shared" si="4"/>
        <v>13.893735271153066</v>
      </c>
      <c r="J34" s="485">
        <f t="shared" si="4"/>
        <v>13.893735271153066</v>
      </c>
      <c r="K34" s="485">
        <f t="shared" si="4"/>
        <v>13.893735271153066</v>
      </c>
      <c r="L34" s="485">
        <f t="shared" si="4"/>
        <v>13.893735271153066</v>
      </c>
      <c r="M34" s="485">
        <f t="shared" si="4"/>
        <v>13.893735271153066</v>
      </c>
      <c r="N34" s="485">
        <f t="shared" si="4"/>
        <v>13.893735271153066</v>
      </c>
      <c r="O34" s="485">
        <f t="shared" si="4"/>
        <v>13.893735271153066</v>
      </c>
      <c r="P34" s="485">
        <f t="shared" si="4"/>
        <v>13.893735271153066</v>
      </c>
      <c r="Q34" s="485">
        <f t="shared" si="4"/>
        <v>13.893735271153066</v>
      </c>
      <c r="R34" s="485">
        <f t="shared" si="4"/>
        <v>13.893735271153066</v>
      </c>
      <c r="S34" s="485">
        <f t="shared" si="4"/>
        <v>13.893735271153066</v>
      </c>
      <c r="T34" s="485">
        <f t="shared" si="4"/>
        <v>13.893735271153066</v>
      </c>
      <c r="U34" s="485">
        <f t="shared" si="4"/>
        <v>13.893735271153066</v>
      </c>
      <c r="V34" s="485">
        <f t="shared" si="4"/>
        <v>13.893735271153066</v>
      </c>
      <c r="W34" s="485">
        <f t="shared" si="4"/>
        <v>13.893735271153066</v>
      </c>
      <c r="X34" s="485">
        <f t="shared" si="4"/>
        <v>13.893735271153066</v>
      </c>
      <c r="Y34" s="485">
        <f t="shared" si="4"/>
        <v>13.893735271153066</v>
      </c>
      <c r="Z34" s="485">
        <f t="shared" si="4"/>
        <v>13.893735271153066</v>
      </c>
      <c r="AA34" s="485">
        <f t="shared" si="4"/>
        <v>13.893735271153066</v>
      </c>
      <c r="AB34" s="485">
        <f t="shared" si="4"/>
        <v>13.893735271153066</v>
      </c>
      <c r="AC34" s="485">
        <f t="shared" si="4"/>
        <v>13.893735271153066</v>
      </c>
      <c r="AD34" s="485">
        <f t="shared" si="4"/>
        <v>13.893735271153066</v>
      </c>
      <c r="AE34" s="487">
        <f t="shared" si="4"/>
        <v>13.893735271153066</v>
      </c>
      <c r="AF34" s="216"/>
      <c r="AG34" s="216"/>
      <c r="AH34" s="216"/>
      <c r="AI34" s="216"/>
      <c r="AJ34" s="216"/>
      <c r="AK34" s="395"/>
    </row>
    <row r="35" spans="1:37" ht="20.5" customHeight="1" x14ac:dyDescent="0.2">
      <c r="A35" s="83"/>
      <c r="B35" s="520" t="s">
        <v>101</v>
      </c>
      <c r="C35" s="438">
        <f t="shared" ref="C35:AE35" si="5">C27-SUM(C29:C34)</f>
        <v>-189.01705932617188</v>
      </c>
      <c r="D35" s="438">
        <f t="shared" si="5"/>
        <v>-189.01705932617188</v>
      </c>
      <c r="E35" s="438">
        <f t="shared" si="5"/>
        <v>-189.01705932617188</v>
      </c>
      <c r="F35" s="438">
        <f t="shared" si="5"/>
        <v>-189.01705932617188</v>
      </c>
      <c r="G35" s="522">
        <f>G27-SUM(G29:G34)</f>
        <v>50.75540117664373</v>
      </c>
      <c r="H35" s="523">
        <f t="shared" si="5"/>
        <v>82.546790208300564</v>
      </c>
      <c r="I35" s="523">
        <f t="shared" si="5"/>
        <v>82.546790208300564</v>
      </c>
      <c r="J35" s="523">
        <f t="shared" si="5"/>
        <v>82.546790208300564</v>
      </c>
      <c r="K35" s="523">
        <f t="shared" si="5"/>
        <v>82.546790208300564</v>
      </c>
      <c r="L35" s="523">
        <f t="shared" si="5"/>
        <v>82.546790208300564</v>
      </c>
      <c r="M35" s="523">
        <f t="shared" si="5"/>
        <v>82.546790208300564</v>
      </c>
      <c r="N35" s="523">
        <f t="shared" si="5"/>
        <v>82.546790208300564</v>
      </c>
      <c r="O35" s="523">
        <f t="shared" si="5"/>
        <v>82.546790208300564</v>
      </c>
      <c r="P35" s="523">
        <f t="shared" si="5"/>
        <v>82.546790208300564</v>
      </c>
      <c r="Q35" s="523">
        <f t="shared" si="5"/>
        <v>82.546790208300564</v>
      </c>
      <c r="R35" s="523">
        <f t="shared" si="5"/>
        <v>82.546790208300564</v>
      </c>
      <c r="S35" s="523">
        <f t="shared" si="5"/>
        <v>82.546790208300564</v>
      </c>
      <c r="T35" s="523">
        <f t="shared" si="5"/>
        <v>82.546790208300564</v>
      </c>
      <c r="U35" s="523">
        <f t="shared" si="5"/>
        <v>82.546790208300564</v>
      </c>
      <c r="V35" s="523">
        <f t="shared" si="5"/>
        <v>82.546790208300564</v>
      </c>
      <c r="W35" s="523">
        <f t="shared" si="5"/>
        <v>82.546790208300564</v>
      </c>
      <c r="X35" s="523">
        <f t="shared" si="5"/>
        <v>82.546790208300564</v>
      </c>
      <c r="Y35" s="523">
        <f t="shared" si="5"/>
        <v>82.546790208300564</v>
      </c>
      <c r="Z35" s="523">
        <f t="shared" si="5"/>
        <v>82.546790208300564</v>
      </c>
      <c r="AA35" s="523">
        <f t="shared" si="5"/>
        <v>82.546790208300564</v>
      </c>
      <c r="AB35" s="523">
        <f t="shared" si="5"/>
        <v>82.546790208300564</v>
      </c>
      <c r="AC35" s="523">
        <f t="shared" si="5"/>
        <v>82.546790208300564</v>
      </c>
      <c r="AD35" s="523">
        <f t="shared" si="5"/>
        <v>82.546790208300564</v>
      </c>
      <c r="AE35" s="524">
        <f t="shared" si="5"/>
        <v>82.546790208300564</v>
      </c>
      <c r="AF35" s="216"/>
      <c r="AG35" s="216"/>
      <c r="AH35" s="216"/>
      <c r="AI35" s="216"/>
      <c r="AJ35" s="216"/>
      <c r="AK35" s="395"/>
    </row>
    <row r="36" spans="1:37" ht="20.5" customHeight="1" x14ac:dyDescent="0.2">
      <c r="A36" s="83"/>
      <c r="B36" s="476" t="s">
        <v>675</v>
      </c>
      <c r="C36" s="485">
        <v>1</v>
      </c>
      <c r="D36" s="485">
        <f>C36/(1+$D$21)</f>
        <v>0.92592592592592582</v>
      </c>
      <c r="E36" s="485">
        <f>D36/(1+$D$21)</f>
        <v>0.8573388203017831</v>
      </c>
      <c r="F36" s="485">
        <f>E36/(1+$D$21)</f>
        <v>0.79383224102016947</v>
      </c>
      <c r="G36" s="486">
        <f>F36/(1+$D$21)</f>
        <v>0.73502985279645316</v>
      </c>
      <c r="H36" s="485">
        <f t="shared" ref="H36:AE36" si="6">IF(H24&lt;=$D$16,G36/(1+$D$21),0)</f>
        <v>0.68058319703375292</v>
      </c>
      <c r="I36" s="485">
        <f t="shared" si="6"/>
        <v>0.63016962688310452</v>
      </c>
      <c r="J36" s="485">
        <f t="shared" si="6"/>
        <v>0.58349039526213375</v>
      </c>
      <c r="K36" s="485">
        <f t="shared" si="6"/>
        <v>0.54026888450197563</v>
      </c>
      <c r="L36" s="485">
        <f t="shared" si="6"/>
        <v>0.50024896713145883</v>
      </c>
      <c r="M36" s="485">
        <f t="shared" si="6"/>
        <v>0.46319348808468408</v>
      </c>
      <c r="N36" s="485">
        <f t="shared" si="6"/>
        <v>0.4288828593376704</v>
      </c>
      <c r="O36" s="485">
        <f t="shared" si="6"/>
        <v>0.39711375864599108</v>
      </c>
      <c r="P36" s="485">
        <f t="shared" si="6"/>
        <v>0.36769792467221396</v>
      </c>
      <c r="Q36" s="485">
        <f t="shared" si="6"/>
        <v>0.34046104136316108</v>
      </c>
      <c r="R36" s="485">
        <f t="shared" si="6"/>
        <v>0.31524170496588988</v>
      </c>
      <c r="S36" s="485">
        <f t="shared" si="6"/>
        <v>0.29189046756100911</v>
      </c>
      <c r="T36" s="485">
        <f t="shared" si="6"/>
        <v>0.27026895144537877</v>
      </c>
      <c r="U36" s="485">
        <f t="shared" si="6"/>
        <v>0.25024902911609143</v>
      </c>
      <c r="V36" s="485">
        <f t="shared" si="6"/>
        <v>0.23171206399638095</v>
      </c>
      <c r="W36" s="485">
        <f t="shared" si="6"/>
        <v>0.21454820740405642</v>
      </c>
      <c r="X36" s="485">
        <f t="shared" si="6"/>
        <v>0.19865574759634852</v>
      </c>
      <c r="Y36" s="485">
        <f t="shared" si="6"/>
        <v>0.18394050703365603</v>
      </c>
      <c r="Z36" s="485">
        <f t="shared" si="6"/>
        <v>0.17031528429042223</v>
      </c>
      <c r="AA36" s="485">
        <f t="shared" si="6"/>
        <v>0.15769933730594649</v>
      </c>
      <c r="AB36" s="485">
        <f t="shared" si="6"/>
        <v>0.14601790491291342</v>
      </c>
      <c r="AC36" s="485">
        <f t="shared" si="6"/>
        <v>0.13520176380825316</v>
      </c>
      <c r="AD36" s="485">
        <f t="shared" si="6"/>
        <v>0.12518681834097514</v>
      </c>
      <c r="AE36" s="487">
        <f t="shared" si="6"/>
        <v>0.11591372068608809</v>
      </c>
      <c r="AF36" s="216"/>
      <c r="AG36" s="216"/>
      <c r="AH36" s="216"/>
      <c r="AI36" s="216"/>
      <c r="AJ36" s="216"/>
      <c r="AK36" s="395"/>
    </row>
    <row r="37" spans="1:37" ht="20.5" customHeight="1" x14ac:dyDescent="0.2">
      <c r="A37" s="83"/>
      <c r="B37" s="476" t="s">
        <v>676</v>
      </c>
      <c r="C37" s="435">
        <f>C35*C36</f>
        <v>-189.01705932617188</v>
      </c>
      <c r="D37" s="435">
        <f>D35*D36</f>
        <v>-175.01579567238136</v>
      </c>
      <c r="E37" s="435">
        <f>E35*E36</f>
        <v>-162.05166265961233</v>
      </c>
      <c r="F37" s="435">
        <f>F35*F36</f>
        <v>-150.04783579593735</v>
      </c>
      <c r="G37" s="434">
        <f t="shared" ref="G37:AE37" si="7">G35*G36</f>
        <v>37.30673505549337</v>
      </c>
      <c r="H37" s="435">
        <f t="shared" si="7"/>
        <v>56.179958384839686</v>
      </c>
      <c r="I37" s="435">
        <f t="shared" si="7"/>
        <v>52.018479985962671</v>
      </c>
      <c r="J37" s="435">
        <f t="shared" si="7"/>
        <v>48.165259246261726</v>
      </c>
      <c r="K37" s="435">
        <f t="shared" si="7"/>
        <v>44.597462265057153</v>
      </c>
      <c r="L37" s="435">
        <f t="shared" si="7"/>
        <v>41.293946541719578</v>
      </c>
      <c r="M37" s="435">
        <f t="shared" si="7"/>
        <v>38.235135686777383</v>
      </c>
      <c r="N37" s="435">
        <f t="shared" si="7"/>
        <v>35.402903413682758</v>
      </c>
      <c r="O37" s="435">
        <f t="shared" si="7"/>
        <v>32.780466123780329</v>
      </c>
      <c r="P37" s="435">
        <f t="shared" si="7"/>
        <v>30.35228344794475</v>
      </c>
      <c r="Q37" s="435">
        <f t="shared" si="7"/>
        <v>28.103966155504398</v>
      </c>
      <c r="R37" s="435">
        <f t="shared" si="7"/>
        <v>26.022190884726292</v>
      </c>
      <c r="S37" s="435">
        <f t="shared" si="7"/>
        <v>24.09462118956138</v>
      </c>
      <c r="T37" s="435">
        <f t="shared" si="7"/>
        <v>22.309834434779052</v>
      </c>
      <c r="U37" s="435">
        <f t="shared" si="7"/>
        <v>20.657254106276898</v>
      </c>
      <c r="V37" s="435">
        <f t="shared" si="7"/>
        <v>19.127087135441574</v>
      </c>
      <c r="W37" s="435">
        <f t="shared" si="7"/>
        <v>17.710265866149602</v>
      </c>
      <c r="X37" s="435">
        <f t="shared" si="7"/>
        <v>16.398394320508892</v>
      </c>
      <c r="Y37" s="435">
        <f t="shared" si="7"/>
        <v>15.183698444915638</v>
      </c>
      <c r="Z37" s="435">
        <f t="shared" si="7"/>
        <v>14.058980041588553</v>
      </c>
      <c r="AA37" s="435">
        <f t="shared" si="7"/>
        <v>13.017574112581991</v>
      </c>
      <c r="AB37" s="435">
        <f t="shared" si="7"/>
        <v>12.053309363501844</v>
      </c>
      <c r="AC37" s="435">
        <f t="shared" si="7"/>
        <v>11.160471632872078</v>
      </c>
      <c r="AD37" s="435">
        <f t="shared" si="7"/>
        <v>10.333770030437108</v>
      </c>
      <c r="AE37" s="436">
        <f t="shared" si="7"/>
        <v>9.5683055837380628</v>
      </c>
      <c r="AF37" s="216"/>
      <c r="AG37" s="216"/>
      <c r="AH37" s="216"/>
      <c r="AI37" s="216"/>
      <c r="AJ37" s="216"/>
      <c r="AK37" s="395"/>
    </row>
    <row r="38" spans="1:37" ht="20.5" customHeight="1" x14ac:dyDescent="0.2">
      <c r="A38" s="83"/>
      <c r="B38" s="476" t="s">
        <v>677</v>
      </c>
      <c r="C38" s="435">
        <f>+C37</f>
        <v>-189.01705932617188</v>
      </c>
      <c r="D38" s="435">
        <f>D35+C38</f>
        <v>-378.03411865234375</v>
      </c>
      <c r="E38" s="435">
        <f>E35+D38</f>
        <v>-567.05117797851562</v>
      </c>
      <c r="F38" s="435">
        <f>F35+E38</f>
        <v>-756.0682373046875</v>
      </c>
      <c r="G38" s="486">
        <f>G35+F38</f>
        <v>-705.31283612804373</v>
      </c>
      <c r="H38" s="435">
        <f t="shared" ref="H38:AE38" si="8">IF(H24&lt;=$D$16,H35+G38,0)</f>
        <v>-622.76604591974319</v>
      </c>
      <c r="I38" s="435">
        <f t="shared" si="8"/>
        <v>-540.21925571144266</v>
      </c>
      <c r="J38" s="435">
        <f t="shared" si="8"/>
        <v>-457.67246550314212</v>
      </c>
      <c r="K38" s="435">
        <f t="shared" si="8"/>
        <v>-375.12567529484159</v>
      </c>
      <c r="L38" s="435">
        <f t="shared" si="8"/>
        <v>-292.57888508654105</v>
      </c>
      <c r="M38" s="435">
        <f t="shared" si="8"/>
        <v>-210.03209487824049</v>
      </c>
      <c r="N38" s="435">
        <f t="shared" si="8"/>
        <v>-127.48530466993992</v>
      </c>
      <c r="O38" s="435">
        <f t="shared" si="8"/>
        <v>-44.938514461639357</v>
      </c>
      <c r="P38" s="435">
        <f t="shared" si="8"/>
        <v>37.608275746661207</v>
      </c>
      <c r="Q38" s="435">
        <f t="shared" si="8"/>
        <v>120.15506595496177</v>
      </c>
      <c r="R38" s="435">
        <f t="shared" si="8"/>
        <v>202.70185616326233</v>
      </c>
      <c r="S38" s="435">
        <f t="shared" si="8"/>
        <v>285.24864637156293</v>
      </c>
      <c r="T38" s="435">
        <f t="shared" si="8"/>
        <v>367.79543657986346</v>
      </c>
      <c r="U38" s="435">
        <f t="shared" si="8"/>
        <v>450.342226788164</v>
      </c>
      <c r="V38" s="435">
        <f t="shared" si="8"/>
        <v>532.88901699646453</v>
      </c>
      <c r="W38" s="435">
        <f t="shared" si="8"/>
        <v>615.43580720476507</v>
      </c>
      <c r="X38" s="435">
        <f t="shared" si="8"/>
        <v>697.9825974130656</v>
      </c>
      <c r="Y38" s="435">
        <f t="shared" si="8"/>
        <v>780.52938762136614</v>
      </c>
      <c r="Z38" s="435">
        <f t="shared" si="8"/>
        <v>863.07617782966668</v>
      </c>
      <c r="AA38" s="435">
        <f t="shared" si="8"/>
        <v>945.62296803796721</v>
      </c>
      <c r="AB38" s="435">
        <f t="shared" si="8"/>
        <v>1028.1697582462677</v>
      </c>
      <c r="AC38" s="435">
        <f t="shared" si="8"/>
        <v>1110.7165484545683</v>
      </c>
      <c r="AD38" s="435">
        <f t="shared" si="8"/>
        <v>1193.2633386628688</v>
      </c>
      <c r="AE38" s="436">
        <f t="shared" si="8"/>
        <v>1275.8101288711694</v>
      </c>
      <c r="AF38" s="216"/>
      <c r="AG38" s="216"/>
      <c r="AH38" s="216"/>
      <c r="AI38" s="216"/>
      <c r="AJ38" s="216"/>
      <c r="AK38" s="395"/>
    </row>
    <row r="39" spans="1:37" ht="20.5" customHeight="1" x14ac:dyDescent="0.2">
      <c r="A39" s="83"/>
      <c r="B39" s="478" t="s">
        <v>678</v>
      </c>
      <c r="C39" s="438">
        <f>+C38</f>
        <v>-189.01705932617188</v>
      </c>
      <c r="D39" s="438">
        <f>D37+C39</f>
        <v>-364.03285499855326</v>
      </c>
      <c r="E39" s="438">
        <f>E37+D39</f>
        <v>-526.08451765816562</v>
      </c>
      <c r="F39" s="438">
        <f>F37+E39</f>
        <v>-676.13235345410294</v>
      </c>
      <c r="G39" s="437">
        <f>G37+F39</f>
        <v>-638.82561839860955</v>
      </c>
      <c r="H39" s="438">
        <f t="shared" ref="H39:AE39" si="9">IF(H24&lt;=$D$16,H37+G39,0)</f>
        <v>-582.64566001376988</v>
      </c>
      <c r="I39" s="438">
        <f t="shared" si="9"/>
        <v>-530.62718002780719</v>
      </c>
      <c r="J39" s="438">
        <f t="shared" si="9"/>
        <v>-482.46192078154547</v>
      </c>
      <c r="K39" s="438">
        <f t="shared" si="9"/>
        <v>-437.8644585164883</v>
      </c>
      <c r="L39" s="438">
        <f t="shared" si="9"/>
        <v>-396.57051197476869</v>
      </c>
      <c r="M39" s="438">
        <f t="shared" si="9"/>
        <v>-358.33537628799132</v>
      </c>
      <c r="N39" s="438">
        <f t="shared" si="9"/>
        <v>-322.93247287430859</v>
      </c>
      <c r="O39" s="438">
        <f t="shared" si="9"/>
        <v>-290.15200675052824</v>
      </c>
      <c r="P39" s="438">
        <f t="shared" si="9"/>
        <v>-259.79972330258352</v>
      </c>
      <c r="Q39" s="438">
        <f t="shared" si="9"/>
        <v>-231.69575714707912</v>
      </c>
      <c r="R39" s="438">
        <f t="shared" si="9"/>
        <v>-205.67356626235284</v>
      </c>
      <c r="S39" s="438">
        <f t="shared" si="9"/>
        <v>-181.57894507279144</v>
      </c>
      <c r="T39" s="438">
        <f t="shared" si="9"/>
        <v>-159.26911063801239</v>
      </c>
      <c r="U39" s="438">
        <f t="shared" si="9"/>
        <v>-138.6118565317355</v>
      </c>
      <c r="V39" s="438">
        <f t="shared" si="9"/>
        <v>-119.48476939629393</v>
      </c>
      <c r="W39" s="438">
        <f t="shared" si="9"/>
        <v>-101.77450353014433</v>
      </c>
      <c r="X39" s="438">
        <f t="shared" si="9"/>
        <v>-85.376109209635445</v>
      </c>
      <c r="Y39" s="438">
        <f t="shared" si="9"/>
        <v>-70.19241076471981</v>
      </c>
      <c r="Z39" s="438">
        <f t="shared" si="9"/>
        <v>-56.133430723131255</v>
      </c>
      <c r="AA39" s="438">
        <f t="shared" si="9"/>
        <v>-43.115856610549265</v>
      </c>
      <c r="AB39" s="438">
        <f t="shared" si="9"/>
        <v>-31.062547247047419</v>
      </c>
      <c r="AC39" s="438">
        <f t="shared" si="9"/>
        <v>-19.902075614175342</v>
      </c>
      <c r="AD39" s="438">
        <f t="shared" si="9"/>
        <v>-9.5683055837382334</v>
      </c>
      <c r="AE39" s="439">
        <f t="shared" si="9"/>
        <v>-1.7053025658242404E-13</v>
      </c>
      <c r="AF39" s="216"/>
      <c r="AG39" s="216"/>
      <c r="AH39" s="216"/>
      <c r="AI39" s="216"/>
      <c r="AJ39" s="216"/>
      <c r="AK39" s="395"/>
    </row>
    <row r="40" spans="1:37" ht="20.5" customHeight="1" x14ac:dyDescent="0.2">
      <c r="A40" s="83"/>
      <c r="B40" s="83"/>
      <c r="C40" s="157">
        <f>+C24</f>
        <v>-4</v>
      </c>
      <c r="D40" s="157">
        <f t="shared" ref="D40:AE40" si="10">+D24</f>
        <v>-3</v>
      </c>
      <c r="E40" s="157">
        <f t="shared" si="10"/>
        <v>-2</v>
      </c>
      <c r="F40" s="157">
        <f t="shared" si="10"/>
        <v>-1</v>
      </c>
      <c r="G40" s="157">
        <f t="shared" si="10"/>
        <v>1</v>
      </c>
      <c r="H40" s="157">
        <f t="shared" si="10"/>
        <v>2</v>
      </c>
      <c r="I40" s="157">
        <f t="shared" si="10"/>
        <v>3</v>
      </c>
      <c r="J40" s="157">
        <f t="shared" si="10"/>
        <v>4</v>
      </c>
      <c r="K40" s="157">
        <f t="shared" si="10"/>
        <v>5</v>
      </c>
      <c r="L40" s="157">
        <f t="shared" si="10"/>
        <v>6</v>
      </c>
      <c r="M40" s="157">
        <f t="shared" si="10"/>
        <v>7</v>
      </c>
      <c r="N40" s="157">
        <f t="shared" si="10"/>
        <v>8</v>
      </c>
      <c r="O40" s="157">
        <f t="shared" si="10"/>
        <v>9</v>
      </c>
      <c r="P40" s="157">
        <f t="shared" si="10"/>
        <v>10</v>
      </c>
      <c r="Q40" s="157">
        <f t="shared" si="10"/>
        <v>11</v>
      </c>
      <c r="R40" s="157">
        <f t="shared" si="10"/>
        <v>12</v>
      </c>
      <c r="S40" s="157">
        <f t="shared" si="10"/>
        <v>13</v>
      </c>
      <c r="T40" s="157">
        <f t="shared" si="10"/>
        <v>14</v>
      </c>
      <c r="U40" s="157">
        <f t="shared" si="10"/>
        <v>15</v>
      </c>
      <c r="V40" s="157">
        <f t="shared" si="10"/>
        <v>16</v>
      </c>
      <c r="W40" s="157">
        <f t="shared" si="10"/>
        <v>17</v>
      </c>
      <c r="X40" s="157">
        <f t="shared" si="10"/>
        <v>18</v>
      </c>
      <c r="Y40" s="157">
        <f t="shared" si="10"/>
        <v>19</v>
      </c>
      <c r="Z40" s="157">
        <f t="shared" si="10"/>
        <v>20</v>
      </c>
      <c r="AA40" s="157">
        <f t="shared" si="10"/>
        <v>21</v>
      </c>
      <c r="AB40" s="157">
        <f t="shared" si="10"/>
        <v>22</v>
      </c>
      <c r="AC40" s="157">
        <f t="shared" si="10"/>
        <v>23</v>
      </c>
      <c r="AD40" s="157">
        <f t="shared" si="10"/>
        <v>24</v>
      </c>
      <c r="AE40" s="157">
        <f t="shared" si="10"/>
        <v>25</v>
      </c>
      <c r="AF40" s="216"/>
      <c r="AG40" s="216"/>
      <c r="AH40" s="216"/>
      <c r="AI40" s="216"/>
      <c r="AJ40" s="216"/>
      <c r="AK40" s="395"/>
    </row>
    <row r="41" spans="1:37" ht="20.5" customHeight="1" x14ac:dyDescent="0.2">
      <c r="A41" s="83"/>
      <c r="B41" s="1066" t="s">
        <v>679</v>
      </c>
      <c r="C41" s="1066"/>
      <c r="D41" s="1066"/>
      <c r="E41" s="1066"/>
      <c r="F41" s="1066"/>
      <c r="G41" s="1066"/>
      <c r="H41" s="1066"/>
      <c r="I41" s="1066"/>
      <c r="J41" s="1066"/>
      <c r="K41" s="1066"/>
      <c r="M41" s="623" t="s">
        <v>129</v>
      </c>
      <c r="N41" s="624" t="s">
        <v>130</v>
      </c>
      <c r="O41" s="83"/>
      <c r="P41" s="1041" t="str">
        <f>"Sensitivity Results: "&amp;H14</f>
        <v>Sensitivity Results: GSR-LT</v>
      </c>
      <c r="Q41" s="1042"/>
      <c r="R41" s="1042"/>
      <c r="S41" s="1042"/>
      <c r="T41" s="1042"/>
      <c r="U41" s="1042"/>
      <c r="V41" s="1042"/>
      <c r="W41" s="1042"/>
      <c r="X41" s="1042"/>
      <c r="Y41" s="1042"/>
      <c r="Z41" s="1042"/>
      <c r="AA41" s="1043"/>
      <c r="AB41" s="83"/>
      <c r="AC41" s="83"/>
      <c r="AD41" s="83"/>
      <c r="AE41" s="83"/>
      <c r="AF41" s="216"/>
      <c r="AG41" s="216"/>
      <c r="AH41" s="216"/>
      <c r="AI41" s="216"/>
      <c r="AJ41" s="216"/>
      <c r="AK41" s="395"/>
    </row>
    <row r="42" spans="1:37" ht="20.5" customHeight="1" x14ac:dyDescent="0.2">
      <c r="A42" s="83"/>
      <c r="B42" s="628" t="s">
        <v>680</v>
      </c>
      <c r="C42" s="628" t="s">
        <v>681</v>
      </c>
      <c r="D42" s="629" t="s">
        <v>682</v>
      </c>
      <c r="E42" s="629" t="s">
        <v>683</v>
      </c>
      <c r="F42" s="630" t="s">
        <v>684</v>
      </c>
      <c r="G42" s="630" t="s">
        <v>685</v>
      </c>
      <c r="H42" s="631" t="s">
        <v>686</v>
      </c>
      <c r="I42" s="631" t="s">
        <v>687</v>
      </c>
      <c r="J42" s="622" t="s">
        <v>688</v>
      </c>
      <c r="K42" s="632" t="s">
        <v>689</v>
      </c>
      <c r="M42" s="930"/>
      <c r="N42" s="1064"/>
      <c r="O42" s="83"/>
      <c r="P42" s="1039" t="str">
        <f>+D43</f>
        <v>NG</v>
      </c>
      <c r="Q42" s="1040"/>
      <c r="R42" s="1039" t="str">
        <f>+D44</f>
        <v>Electricity</v>
      </c>
      <c r="S42" s="1040"/>
      <c r="T42" s="1039" t="str">
        <f>+D45</f>
        <v>CO2 tax</v>
      </c>
      <c r="U42" s="1040"/>
      <c r="V42" s="1039" t="str">
        <f>+D46</f>
        <v xml:space="preserve">Discount rate </v>
      </c>
      <c r="W42" s="1040"/>
      <c r="X42" s="1039" t="str">
        <f>+D47</f>
        <v>Capacity factor</v>
      </c>
      <c r="Y42" s="1040"/>
      <c r="Z42" s="1039" t="str">
        <f>+D48</f>
        <v>CO2 T&amp;S</v>
      </c>
      <c r="AA42" s="1040"/>
      <c r="AB42" s="83"/>
      <c r="AC42" s="83"/>
      <c r="AD42" s="83"/>
      <c r="AE42" s="83"/>
      <c r="AF42" s="216"/>
      <c r="AG42" s="216"/>
      <c r="AH42" s="216"/>
      <c r="AI42" s="216"/>
      <c r="AJ42" s="216"/>
      <c r="AK42" s="395"/>
    </row>
    <row r="43" spans="1:37" ht="20.5" customHeight="1" x14ac:dyDescent="0.2">
      <c r="A43" s="83"/>
      <c r="B43" s="764" t="str">
        <f>+I5</f>
        <v>LCOP</v>
      </c>
      <c r="C43" s="633" t="str">
        <f>+E45</f>
        <v>$/ton</v>
      </c>
      <c r="D43" s="320" t="str">
        <f>+'Plant OPEX'!I16</f>
        <v>NG</v>
      </c>
      <c r="E43" s="634" t="str">
        <f>+'Plant OPEX'!M16</f>
        <v>$/GJ</v>
      </c>
      <c r="F43" s="635">
        <f>+I6*1000</f>
        <v>270.43641670677971</v>
      </c>
      <c r="G43" s="320">
        <v>5</v>
      </c>
      <c r="H43" s="320">
        <v>5</v>
      </c>
      <c r="I43" s="320">
        <v>2</v>
      </c>
      <c r="J43" s="320">
        <v>5</v>
      </c>
      <c r="K43" s="635">
        <v>3</v>
      </c>
      <c r="M43" s="931"/>
      <c r="N43" s="1065"/>
      <c r="O43" s="83"/>
      <c r="P43" s="242" t="s">
        <v>682</v>
      </c>
      <c r="Q43" s="242" t="s">
        <v>680</v>
      </c>
      <c r="R43" s="242" t="str">
        <f>+P43</f>
        <v>Man. Var.</v>
      </c>
      <c r="S43" s="242" t="str">
        <f>+Q43</f>
        <v>Ind. Var</v>
      </c>
      <c r="T43" s="242" t="str">
        <f t="shared" ref="T43:W43" si="11">+R43</f>
        <v>Man. Var.</v>
      </c>
      <c r="U43" s="242" t="str">
        <f t="shared" si="11"/>
        <v>Ind. Var</v>
      </c>
      <c r="V43" s="242" t="str">
        <f t="shared" si="11"/>
        <v>Man. Var.</v>
      </c>
      <c r="W43" s="242" t="str">
        <f t="shared" si="11"/>
        <v>Ind. Var</v>
      </c>
      <c r="X43" s="242" t="str">
        <f t="shared" ref="X43" si="12">+V43</f>
        <v>Man. Var.</v>
      </c>
      <c r="Y43" s="242" t="str">
        <f t="shared" ref="Y43" si="13">+W43</f>
        <v>Ind. Var</v>
      </c>
      <c r="Z43" s="242" t="str">
        <f t="shared" ref="Z43" si="14">+X43</f>
        <v>Man. Var.</v>
      </c>
      <c r="AA43" s="242" t="str">
        <f t="shared" ref="AA43" si="15">+Y43</f>
        <v>Ind. Var</v>
      </c>
      <c r="AB43" s="83"/>
      <c r="AC43" s="83"/>
      <c r="AD43" s="83"/>
      <c r="AE43" s="83"/>
      <c r="AF43" s="216"/>
      <c r="AG43" s="216"/>
      <c r="AH43" s="216"/>
      <c r="AI43" s="216"/>
      <c r="AJ43" s="216"/>
      <c r="AK43" s="395"/>
    </row>
    <row r="44" spans="1:37" ht="20.5" customHeight="1" x14ac:dyDescent="0.2">
      <c r="A44" s="83"/>
      <c r="B44" s="764" t="str">
        <f>+B43</f>
        <v>LCOP</v>
      </c>
      <c r="C44" s="633" t="str">
        <f>+C43</f>
        <v>$/ton</v>
      </c>
      <c r="D44" s="320" t="str">
        <f>+'Plant OPEX'!I17</f>
        <v>Electricity</v>
      </c>
      <c r="E44" s="634" t="str">
        <f>+'Plant OPEX'!M17</f>
        <v>$/MWh</v>
      </c>
      <c r="F44" s="635">
        <f>+F43</f>
        <v>270.43641670677971</v>
      </c>
      <c r="G44" s="320">
        <v>50</v>
      </c>
      <c r="H44" s="320">
        <v>50</v>
      </c>
      <c r="I44" s="320">
        <v>15</v>
      </c>
      <c r="J44" s="320">
        <v>5</v>
      </c>
      <c r="K44" s="635">
        <v>20</v>
      </c>
      <c r="M44" s="1062" t="s">
        <v>690</v>
      </c>
      <c r="N44" s="1063"/>
      <c r="O44" s="83"/>
      <c r="P44" s="308">
        <v>3</v>
      </c>
      <c r="Q44" s="636">
        <v>205.85798006059252</v>
      </c>
      <c r="R44" s="637">
        <v>20</v>
      </c>
      <c r="S44" s="636">
        <v>251.47113172586234</v>
      </c>
      <c r="T44" s="637"/>
      <c r="U44" s="636"/>
      <c r="V44" s="766">
        <v>0.06</v>
      </c>
      <c r="W44" s="636">
        <v>234.34913083395219</v>
      </c>
      <c r="X44" s="766">
        <v>0.75</v>
      </c>
      <c r="Y44" s="636">
        <v>274.26316705733052</v>
      </c>
      <c r="Z44" s="637"/>
      <c r="AA44" s="636">
        <v>319.50102111744621</v>
      </c>
      <c r="AB44" s="216"/>
      <c r="AC44" s="216"/>
      <c r="AD44" s="216"/>
      <c r="AE44" s="216"/>
      <c r="AF44" s="216"/>
      <c r="AG44" s="216"/>
      <c r="AH44" s="216"/>
      <c r="AI44" s="216"/>
      <c r="AJ44" s="216"/>
      <c r="AK44" s="395"/>
    </row>
    <row r="45" spans="1:37" ht="20.5" customHeight="1" x14ac:dyDescent="0.2">
      <c r="A45" s="83"/>
      <c r="B45" s="764" t="str">
        <f t="shared" ref="B45:B48" si="16">+B44</f>
        <v>LCOP</v>
      </c>
      <c r="C45" s="633" t="str">
        <f t="shared" ref="C45:C48" si="17">+C44</f>
        <v>$/ton</v>
      </c>
      <c r="D45" s="320" t="str">
        <f>+'Plant OPEX'!P16</f>
        <v>CO2 tax</v>
      </c>
      <c r="E45" s="320" t="str">
        <f>+'Plant OPEX'!T16</f>
        <v>$/ton</v>
      </c>
      <c r="F45" s="635">
        <f>+F44</f>
        <v>270.43641670677971</v>
      </c>
      <c r="G45" s="320">
        <v>0</v>
      </c>
      <c r="H45" s="320">
        <v>0</v>
      </c>
      <c r="I45" s="320">
        <v>0</v>
      </c>
      <c r="J45" s="320">
        <v>0</v>
      </c>
      <c r="K45" s="320">
        <v>0</v>
      </c>
      <c r="M45" s="625"/>
      <c r="N45" s="626"/>
      <c r="O45" s="83"/>
      <c r="P45" s="303">
        <v>5</v>
      </c>
      <c r="Q45" s="304">
        <v>251.47113172586234</v>
      </c>
      <c r="R45" s="216">
        <v>35</v>
      </c>
      <c r="S45" s="304">
        <v>251.47113172586234</v>
      </c>
      <c r="T45" s="216"/>
      <c r="U45" s="304"/>
      <c r="V45" s="767">
        <v>6.999999977648258E-2</v>
      </c>
      <c r="W45" s="304">
        <v>242.64635721264798</v>
      </c>
      <c r="X45" s="767">
        <v>0.80000000074505806</v>
      </c>
      <c r="Y45" s="304">
        <v>265.78418894079005</v>
      </c>
      <c r="Z45" s="216"/>
      <c r="AA45" s="304">
        <v>325.78776463329632</v>
      </c>
      <c r="AB45" s="216"/>
      <c r="AC45" s="216"/>
      <c r="AD45" s="216"/>
      <c r="AE45" s="216"/>
      <c r="AF45" s="216"/>
      <c r="AG45" s="216"/>
      <c r="AH45" s="216"/>
      <c r="AI45" s="216"/>
      <c r="AJ45" s="216"/>
      <c r="AK45" s="395"/>
    </row>
    <row r="46" spans="1:37" ht="20.5" customHeight="1" x14ac:dyDescent="0.2">
      <c r="A46" s="83"/>
      <c r="B46" s="764" t="str">
        <f t="shared" si="16"/>
        <v>LCOP</v>
      </c>
      <c r="C46" s="633" t="str">
        <f t="shared" si="17"/>
        <v>$/ton</v>
      </c>
      <c r="D46" s="320" t="str">
        <f>+B21</f>
        <v xml:space="preserve">Discount rate </v>
      </c>
      <c r="E46" s="320" t="s">
        <v>106</v>
      </c>
      <c r="F46" s="635">
        <f>+F45</f>
        <v>270.43641670677971</v>
      </c>
      <c r="G46" s="765">
        <v>0.08</v>
      </c>
      <c r="H46" s="765">
        <v>0.08</v>
      </c>
      <c r="I46" s="765">
        <v>0.01</v>
      </c>
      <c r="J46" s="320">
        <v>5</v>
      </c>
      <c r="K46" s="320">
        <v>0.06</v>
      </c>
      <c r="M46" s="627"/>
      <c r="N46" s="111"/>
      <c r="O46" s="83"/>
      <c r="P46" s="303">
        <v>7</v>
      </c>
      <c r="Q46" s="304">
        <v>297.08428339113215</v>
      </c>
      <c r="R46" s="216">
        <v>50</v>
      </c>
      <c r="S46" s="304">
        <v>251.47113172586234</v>
      </c>
      <c r="T46" s="216"/>
      <c r="U46" s="304"/>
      <c r="V46" s="767">
        <v>7.9999999552965162E-2</v>
      </c>
      <c r="W46" s="304">
        <v>251.471131319644</v>
      </c>
      <c r="X46" s="767">
        <v>0.85000000149011612</v>
      </c>
      <c r="Y46" s="304">
        <v>258.23519288606116</v>
      </c>
      <c r="Z46" s="216"/>
      <c r="AA46" s="304">
        <v>332.07450814914648</v>
      </c>
      <c r="AB46" s="216"/>
      <c r="AC46" s="216"/>
      <c r="AD46" s="216"/>
      <c r="AE46" s="216"/>
      <c r="AF46" s="216"/>
      <c r="AG46" s="216"/>
      <c r="AH46" s="216"/>
      <c r="AI46" s="216"/>
      <c r="AJ46" s="216"/>
      <c r="AK46" s="395"/>
    </row>
    <row r="47" spans="1:37" ht="20.5" customHeight="1" x14ac:dyDescent="0.2">
      <c r="A47" s="83"/>
      <c r="B47" s="764" t="str">
        <f t="shared" si="16"/>
        <v>LCOP</v>
      </c>
      <c r="C47" s="633" t="str">
        <f t="shared" si="17"/>
        <v>$/ton</v>
      </c>
      <c r="D47" s="320" t="str">
        <f>+B25</f>
        <v>Capacity factor</v>
      </c>
      <c r="E47" s="320" t="s">
        <v>106</v>
      </c>
      <c r="F47" s="635">
        <f>+F46</f>
        <v>270.43641670677971</v>
      </c>
      <c r="G47" s="765">
        <v>0.9</v>
      </c>
      <c r="H47" s="765">
        <v>0.9</v>
      </c>
      <c r="I47" s="765">
        <v>0.05</v>
      </c>
      <c r="J47" s="320">
        <v>5</v>
      </c>
      <c r="K47" s="320">
        <v>0.75</v>
      </c>
      <c r="L47" s="83"/>
      <c r="M47" s="83"/>
      <c r="N47" s="83"/>
      <c r="O47" s="83"/>
      <c r="P47" s="303">
        <v>9</v>
      </c>
      <c r="Q47" s="304">
        <v>342.69743505640201</v>
      </c>
      <c r="R47" s="216">
        <v>65</v>
      </c>
      <c r="S47" s="304">
        <v>251.47113172586234</v>
      </c>
      <c r="T47" s="216"/>
      <c r="U47" s="304"/>
      <c r="V47" s="767">
        <v>8.9999999329447744E-2</v>
      </c>
      <c r="W47" s="304">
        <v>260.81839035575103</v>
      </c>
      <c r="X47" s="767">
        <v>0.90000000223517418</v>
      </c>
      <c r="Y47" s="304">
        <v>251.47113143920564</v>
      </c>
      <c r="Z47" s="216"/>
      <c r="AA47" s="304">
        <v>338.36125166499681</v>
      </c>
      <c r="AB47" s="216"/>
      <c r="AC47" s="216"/>
      <c r="AD47" s="216"/>
      <c r="AE47" s="216"/>
      <c r="AF47" s="216"/>
      <c r="AG47" s="216"/>
      <c r="AH47" s="216"/>
      <c r="AI47" s="216"/>
      <c r="AJ47" s="216"/>
      <c r="AK47" s="395"/>
    </row>
    <row r="48" spans="1:37" ht="20.5" customHeight="1" x14ac:dyDescent="0.2">
      <c r="A48" s="83"/>
      <c r="B48" s="764" t="str">
        <f t="shared" si="16"/>
        <v>LCOP</v>
      </c>
      <c r="C48" s="633" t="str">
        <f t="shared" si="17"/>
        <v>$/ton</v>
      </c>
      <c r="D48" s="320" t="str">
        <f>+'Plant OPEX'!P17</f>
        <v>CO2 T&amp;S</v>
      </c>
      <c r="E48" s="320" t="str">
        <f>+E45</f>
        <v>$/ton</v>
      </c>
      <c r="F48" s="635">
        <f>+F47</f>
        <v>270.43641670677971</v>
      </c>
      <c r="G48" s="320">
        <v>0</v>
      </c>
      <c r="H48" s="320">
        <v>0</v>
      </c>
      <c r="I48" s="320">
        <v>0</v>
      </c>
      <c r="J48" s="320">
        <v>0</v>
      </c>
      <c r="K48" s="320">
        <v>0</v>
      </c>
      <c r="L48" s="83"/>
      <c r="M48" s="83"/>
      <c r="N48" s="83"/>
      <c r="O48" s="83"/>
      <c r="P48" s="305">
        <v>11</v>
      </c>
      <c r="Q48" s="306">
        <v>388.31058672167188</v>
      </c>
      <c r="R48" s="285">
        <v>80</v>
      </c>
      <c r="S48" s="306">
        <v>251.47113172586234</v>
      </c>
      <c r="T48" s="285"/>
      <c r="U48" s="306"/>
      <c r="V48" s="768">
        <v>9.9999999105930326E-2</v>
      </c>
      <c r="W48" s="306">
        <v>270.6821994858708</v>
      </c>
      <c r="X48" s="768">
        <v>0.95000000298023224</v>
      </c>
      <c r="Y48" s="306">
        <v>245.37563014047788</v>
      </c>
      <c r="Z48" s="285"/>
      <c r="AA48" s="306">
        <v>344.64799518084681</v>
      </c>
      <c r="AB48" s="216"/>
      <c r="AC48" s="216"/>
      <c r="AD48" s="216"/>
      <c r="AE48" s="216"/>
      <c r="AF48" s="216"/>
      <c r="AG48" s="216"/>
      <c r="AH48" s="216"/>
      <c r="AI48" s="216"/>
      <c r="AJ48" s="216"/>
      <c r="AK48" s="395"/>
    </row>
    <row r="49" spans="1:37" ht="20.5" customHeight="1" x14ac:dyDescent="0.2">
      <c r="A49" s="83"/>
      <c r="B49" s="83"/>
      <c r="C49" s="247"/>
      <c r="D49" s="247"/>
      <c r="E49" s="247"/>
      <c r="F49" s="246"/>
      <c r="L49" s="83"/>
      <c r="M49" s="83"/>
      <c r="N49" s="83"/>
      <c r="O49" s="83"/>
      <c r="P49" s="216"/>
      <c r="Q49" s="216"/>
      <c r="R49" s="216"/>
      <c r="S49" s="216"/>
      <c r="T49" s="216"/>
      <c r="U49" s="216"/>
      <c r="V49" s="216"/>
      <c r="W49" s="216"/>
      <c r="X49" s="216"/>
      <c r="Y49" s="216"/>
      <c r="Z49" s="216"/>
      <c r="AA49" s="216"/>
      <c r="AB49" s="216"/>
      <c r="AC49" s="216"/>
      <c r="AD49" s="216"/>
      <c r="AE49" s="216"/>
      <c r="AF49" s="216"/>
      <c r="AG49" s="216"/>
      <c r="AH49" s="216"/>
      <c r="AI49" s="216"/>
      <c r="AJ49" s="216"/>
      <c r="AK49" s="395"/>
    </row>
    <row r="50" spans="1:37" ht="20.5" customHeight="1" x14ac:dyDescent="0.2">
      <c r="A50" s="83"/>
      <c r="B50" s="83"/>
      <c r="C50" s="247"/>
      <c r="D50" s="248"/>
      <c r="E50" s="247"/>
      <c r="F50" s="246"/>
      <c r="G50" s="83"/>
      <c r="H50" s="83"/>
      <c r="I50" s="83"/>
      <c r="J50" s="83"/>
      <c r="K50" s="83"/>
      <c r="L50" s="83"/>
      <c r="M50" s="83"/>
      <c r="N50" s="83"/>
      <c r="O50" s="83"/>
      <c r="P50" s="216"/>
      <c r="Q50" s="216"/>
      <c r="R50" s="216"/>
      <c r="S50" s="216"/>
      <c r="T50" s="216"/>
      <c r="U50" s="216"/>
      <c r="V50" s="216"/>
      <c r="W50" s="216"/>
      <c r="X50" s="216"/>
      <c r="Y50" s="216"/>
      <c r="Z50" s="216"/>
      <c r="AA50" s="216"/>
      <c r="AB50" s="216"/>
      <c r="AC50" s="216"/>
      <c r="AD50" s="216"/>
      <c r="AE50" s="216"/>
      <c r="AF50" s="216"/>
      <c r="AG50" s="216"/>
      <c r="AH50" s="216"/>
      <c r="AI50" s="216"/>
      <c r="AJ50" s="216"/>
      <c r="AK50" s="395"/>
    </row>
    <row r="51" spans="1:37" ht="20.5" customHeight="1" x14ac:dyDescent="0.2">
      <c r="A51" s="83"/>
      <c r="B51" s="83"/>
      <c r="C51" s="247"/>
      <c r="D51" s="248"/>
      <c r="E51" s="247"/>
      <c r="F51" s="246"/>
      <c r="G51" s="83"/>
      <c r="H51" s="83"/>
      <c r="I51" s="83"/>
      <c r="J51" s="83"/>
      <c r="K51" s="83"/>
      <c r="L51" s="216"/>
      <c r="M51" s="216"/>
      <c r="N51" s="216"/>
      <c r="O51" s="216"/>
      <c r="P51" s="216"/>
      <c r="Q51" s="216"/>
      <c r="R51" s="216"/>
      <c r="S51" s="216"/>
      <c r="T51" s="216"/>
      <c r="U51" s="216"/>
      <c r="V51" s="216"/>
      <c r="W51" s="216"/>
      <c r="X51" s="216"/>
      <c r="Y51" s="216"/>
      <c r="Z51" s="216"/>
      <c r="AA51" s="216"/>
      <c r="AB51" s="216"/>
      <c r="AC51" s="395"/>
    </row>
    <row r="52" spans="1:37" ht="20.5" customHeight="1" x14ac:dyDescent="0.2">
      <c r="A52" s="83"/>
      <c r="B52" s="83"/>
      <c r="C52" s="247"/>
      <c r="D52" s="247"/>
      <c r="E52" s="247"/>
      <c r="F52" s="83"/>
      <c r="G52" s="246"/>
      <c r="H52" s="83"/>
      <c r="I52" s="83"/>
      <c r="J52" s="83"/>
      <c r="K52" s="83"/>
      <c r="L52" s="216"/>
      <c r="M52" s="216"/>
      <c r="N52" s="216"/>
      <c r="O52" s="216"/>
      <c r="P52" s="216"/>
      <c r="Q52" s="216"/>
      <c r="R52" s="216"/>
      <c r="S52" s="216"/>
      <c r="T52" s="395"/>
      <c r="X52" s="216"/>
      <c r="Y52" s="216"/>
      <c r="Z52" s="216"/>
      <c r="AA52" s="216"/>
      <c r="AB52" s="216"/>
      <c r="AC52" s="395"/>
    </row>
    <row r="53" spans="1:37" ht="20.5" customHeight="1" x14ac:dyDescent="0.2">
      <c r="A53" s="83"/>
      <c r="B53" s="83"/>
      <c r="C53" s="247"/>
      <c r="D53" s="247"/>
      <c r="E53" s="247"/>
      <c r="F53" s="247"/>
      <c r="G53" s="83"/>
      <c r="H53" s="83"/>
      <c r="I53" s="83"/>
      <c r="J53" s="83"/>
      <c r="K53" s="83"/>
      <c r="L53" s="216"/>
      <c r="M53" s="216"/>
      <c r="N53" s="216"/>
      <c r="O53" s="216"/>
      <c r="P53" s="216"/>
      <c r="Q53" s="216"/>
      <c r="R53" s="216"/>
      <c r="S53" s="216"/>
      <c r="T53" s="395"/>
      <c r="X53" s="216"/>
      <c r="Y53" s="216"/>
      <c r="Z53" s="216"/>
      <c r="AA53" s="216"/>
      <c r="AB53" s="216"/>
      <c r="AC53" s="395"/>
    </row>
    <row r="54" spans="1:37" ht="20.5" customHeight="1" x14ac:dyDescent="0.2">
      <c r="A54" s="83"/>
      <c r="B54" s="83"/>
      <c r="C54" s="247"/>
      <c r="D54" s="247"/>
      <c r="E54" s="247"/>
      <c r="F54" s="247"/>
      <c r="G54" s="83"/>
      <c r="H54" s="83"/>
      <c r="I54" s="83"/>
      <c r="J54" s="83"/>
      <c r="K54" s="83"/>
      <c r="L54" s="83"/>
      <c r="M54" s="83"/>
      <c r="N54" s="83"/>
      <c r="O54" s="83"/>
      <c r="P54" s="216"/>
      <c r="Q54" s="216"/>
      <c r="R54" s="216"/>
      <c r="S54" s="216"/>
      <c r="T54" s="395"/>
      <c r="X54" s="216"/>
      <c r="Y54" s="216"/>
      <c r="Z54" s="216"/>
      <c r="AA54" s="216"/>
      <c r="AB54" s="216"/>
      <c r="AC54" s="216"/>
      <c r="AD54" s="216"/>
      <c r="AE54" s="216"/>
      <c r="AF54" s="216"/>
      <c r="AG54" s="395"/>
    </row>
    <row r="55" spans="1:37" ht="20.5" customHeight="1" x14ac:dyDescent="0.2">
      <c r="A55" s="83"/>
      <c r="B55" s="83"/>
      <c r="C55" s="247"/>
      <c r="D55" s="247"/>
      <c r="E55" s="247"/>
      <c r="F55" s="247"/>
      <c r="G55" s="83"/>
      <c r="H55" s="83"/>
      <c r="I55" s="83"/>
      <c r="J55" s="83"/>
      <c r="K55" s="83"/>
      <c r="L55" s="83"/>
      <c r="M55" s="83"/>
      <c r="N55" s="83"/>
      <c r="O55" s="83"/>
      <c r="P55" s="216"/>
      <c r="Q55" s="216"/>
      <c r="R55" s="216"/>
      <c r="S55" s="216"/>
      <c r="T55" s="216"/>
      <c r="U55" s="216"/>
      <c r="V55" s="216"/>
      <c r="W55" s="216"/>
      <c r="X55" s="216"/>
      <c r="Y55" s="216"/>
      <c r="Z55" s="216"/>
      <c r="AA55" s="216"/>
      <c r="AB55" s="216"/>
      <c r="AC55" s="216"/>
      <c r="AD55" s="216"/>
      <c r="AE55" s="216"/>
      <c r="AF55" s="216"/>
      <c r="AG55" s="395"/>
    </row>
    <row r="56" spans="1:37" ht="20.5" customHeight="1" x14ac:dyDescent="0.2">
      <c r="A56" s="83"/>
      <c r="B56" s="83"/>
      <c r="C56" s="247"/>
      <c r="D56" s="245"/>
      <c r="E56" s="245"/>
      <c r="F56" s="83"/>
      <c r="G56" s="83"/>
      <c r="H56" s="83"/>
      <c r="I56" s="83"/>
      <c r="J56" s="83"/>
      <c r="K56" s="83"/>
      <c r="L56" s="83"/>
      <c r="M56" s="83"/>
      <c r="N56" s="83"/>
      <c r="O56" s="83"/>
      <c r="P56" s="216"/>
      <c r="Q56" s="216"/>
      <c r="R56" s="216"/>
      <c r="S56" s="216"/>
      <c r="T56" s="216"/>
      <c r="U56" s="216"/>
      <c r="V56" s="216"/>
      <c r="W56" s="216"/>
      <c r="X56" s="216"/>
      <c r="Y56" s="216"/>
      <c r="Z56" s="216"/>
      <c r="AA56" s="216"/>
      <c r="AB56" s="216"/>
      <c r="AC56" s="216"/>
      <c r="AD56" s="216"/>
      <c r="AE56" s="216"/>
      <c r="AF56" s="216"/>
      <c r="AG56" s="395"/>
    </row>
    <row r="57" spans="1:37" ht="20.5" customHeight="1" x14ac:dyDescent="0.2">
      <c r="A57" s="83"/>
      <c r="B57" s="83"/>
      <c r="C57" s="247"/>
      <c r="D57" s="247"/>
      <c r="E57" s="247"/>
      <c r="F57" s="83"/>
      <c r="G57" s="83"/>
      <c r="H57" s="83"/>
      <c r="I57" s="83"/>
      <c r="J57" s="83"/>
      <c r="K57" s="83"/>
      <c r="L57" s="83"/>
      <c r="M57" s="83"/>
      <c r="N57" s="83"/>
      <c r="O57" s="83"/>
      <c r="P57" s="216"/>
      <c r="Q57" s="216"/>
      <c r="R57" s="216"/>
      <c r="S57" s="216"/>
      <c r="T57" s="216"/>
      <c r="U57" s="216"/>
      <c r="V57" s="216"/>
      <c r="W57" s="216"/>
      <c r="X57" s="216"/>
      <c r="Y57" s="216"/>
      <c r="Z57" s="216"/>
      <c r="AA57" s="216"/>
      <c r="AB57" s="216"/>
      <c r="AC57" s="216"/>
      <c r="AD57" s="216"/>
      <c r="AE57" s="216"/>
      <c r="AF57" s="216"/>
      <c r="AG57" s="395"/>
    </row>
    <row r="58" spans="1:37" ht="20.5" customHeight="1" x14ac:dyDescent="0.2">
      <c r="A58" s="83"/>
      <c r="B58" s="83"/>
      <c r="C58" s="247"/>
      <c r="D58" s="247"/>
      <c r="E58" s="247"/>
      <c r="F58" s="83"/>
      <c r="G58" s="83"/>
      <c r="H58" s="83"/>
      <c r="I58" s="83"/>
      <c r="J58" s="83"/>
      <c r="K58" s="83"/>
      <c r="L58" s="83"/>
      <c r="M58" s="83"/>
      <c r="N58" s="83"/>
      <c r="O58" s="83"/>
      <c r="P58" s="216"/>
      <c r="Q58" s="216"/>
      <c r="R58" s="216"/>
      <c r="S58" s="216"/>
      <c r="T58" s="216"/>
      <c r="U58" s="216"/>
      <c r="V58" s="216"/>
      <c r="W58" s="216"/>
      <c r="X58" s="216"/>
      <c r="Y58" s="216"/>
      <c r="Z58" s="216"/>
      <c r="AA58" s="216"/>
      <c r="AB58" s="216"/>
      <c r="AC58" s="216"/>
      <c r="AD58" s="216"/>
      <c r="AE58" s="216"/>
      <c r="AF58" s="216"/>
      <c r="AG58" s="216"/>
      <c r="AH58" s="216"/>
      <c r="AI58" s="216"/>
      <c r="AJ58" s="216"/>
      <c r="AK58" s="395"/>
    </row>
    <row r="59" spans="1:37" ht="20.5" customHeight="1" x14ac:dyDescent="0.2">
      <c r="A59" s="83"/>
      <c r="B59" s="83"/>
      <c r="C59" s="247"/>
      <c r="D59" s="247"/>
      <c r="E59" s="247"/>
      <c r="F59" s="83"/>
      <c r="G59" s="83"/>
      <c r="H59" s="83"/>
      <c r="I59" s="83"/>
      <c r="J59" s="83"/>
      <c r="K59" s="83"/>
      <c r="L59" s="83"/>
      <c r="M59" s="83"/>
      <c r="N59" s="83"/>
      <c r="O59" s="83"/>
      <c r="P59" s="216"/>
      <c r="Q59" s="216"/>
      <c r="R59" s="216"/>
      <c r="S59" s="216"/>
      <c r="T59" s="216"/>
      <c r="U59" s="216"/>
      <c r="V59" s="216"/>
      <c r="W59" s="216"/>
      <c r="X59" s="216"/>
      <c r="Y59" s="216"/>
      <c r="Z59" s="216"/>
      <c r="AA59" s="216"/>
      <c r="AB59" s="216"/>
      <c r="AC59" s="216"/>
      <c r="AD59" s="216"/>
      <c r="AE59" s="216"/>
      <c r="AF59" s="216"/>
      <c r="AG59" s="216"/>
      <c r="AH59" s="216"/>
      <c r="AI59" s="216"/>
      <c r="AJ59" s="216"/>
      <c r="AK59" s="395"/>
    </row>
    <row r="60" spans="1:37" ht="20.5" customHeight="1" x14ac:dyDescent="0.2">
      <c r="A60" s="83"/>
      <c r="B60" s="83"/>
      <c r="C60" s="245"/>
      <c r="D60" s="245"/>
      <c r="E60" s="245"/>
      <c r="F60" s="83"/>
      <c r="G60" s="83"/>
      <c r="H60" s="83"/>
      <c r="I60" s="83"/>
      <c r="J60" s="83"/>
      <c r="K60" s="83"/>
      <c r="L60" s="83"/>
      <c r="M60" s="83"/>
      <c r="N60" s="83"/>
      <c r="O60" s="83"/>
      <c r="P60" s="216"/>
      <c r="Q60" s="216"/>
      <c r="R60" s="216"/>
      <c r="S60" s="216"/>
      <c r="T60" s="216"/>
      <c r="U60" s="216"/>
      <c r="V60" s="216"/>
      <c r="W60" s="216"/>
      <c r="X60" s="216"/>
      <c r="Y60" s="216"/>
      <c r="Z60" s="216"/>
      <c r="AA60" s="216"/>
      <c r="AB60" s="216"/>
      <c r="AC60" s="216"/>
      <c r="AD60" s="216"/>
      <c r="AE60" s="216"/>
      <c r="AF60" s="216"/>
      <c r="AG60" s="216"/>
      <c r="AH60" s="216"/>
      <c r="AI60" s="216"/>
      <c r="AJ60" s="216"/>
      <c r="AK60" s="395"/>
    </row>
    <row r="61" spans="1:37" ht="20.5" customHeight="1" x14ac:dyDescent="0.2">
      <c r="A61" s="83"/>
      <c r="B61" s="83"/>
      <c r="C61" s="247"/>
      <c r="D61" s="247"/>
      <c r="E61" s="247"/>
      <c r="F61" s="83"/>
      <c r="G61" s="83"/>
      <c r="H61" s="83"/>
      <c r="I61" s="83"/>
      <c r="J61" s="83"/>
      <c r="K61" s="83"/>
      <c r="L61" s="83"/>
      <c r="M61" s="83"/>
      <c r="N61" s="83"/>
      <c r="O61" s="83"/>
      <c r="P61" s="216"/>
      <c r="Q61" s="216"/>
      <c r="R61" s="216"/>
      <c r="S61" s="216"/>
      <c r="T61" s="216"/>
      <c r="U61" s="216"/>
      <c r="V61" s="216"/>
      <c r="W61" s="216"/>
      <c r="X61" s="216"/>
      <c r="Y61" s="216"/>
      <c r="Z61" s="216"/>
      <c r="AA61" s="216"/>
      <c r="AB61" s="216"/>
      <c r="AC61" s="216"/>
      <c r="AD61" s="216"/>
      <c r="AE61" s="216"/>
      <c r="AF61" s="216"/>
      <c r="AG61" s="216"/>
      <c r="AH61" s="216"/>
      <c r="AI61" s="216"/>
      <c r="AJ61" s="216"/>
      <c r="AK61" s="395"/>
    </row>
    <row r="62" spans="1:37" ht="20.5" customHeight="1" x14ac:dyDescent="0.2">
      <c r="A62" s="83"/>
      <c r="B62" s="83"/>
      <c r="C62" s="247"/>
      <c r="D62" s="83"/>
      <c r="E62" s="83"/>
      <c r="F62" s="83"/>
      <c r="G62" s="83"/>
      <c r="H62" s="83"/>
      <c r="I62" s="83"/>
      <c r="J62" s="83"/>
      <c r="K62" s="83"/>
      <c r="L62" s="83"/>
      <c r="M62" s="83"/>
      <c r="N62" s="83"/>
      <c r="O62" s="83"/>
      <c r="P62" s="216"/>
      <c r="Q62" s="216"/>
      <c r="R62" s="216"/>
      <c r="S62" s="216"/>
      <c r="T62" s="216"/>
      <c r="U62" s="216"/>
      <c r="V62" s="216"/>
      <c r="W62" s="216"/>
      <c r="X62" s="216"/>
      <c r="Y62" s="216"/>
      <c r="Z62" s="216"/>
      <c r="AA62" s="216"/>
      <c r="AB62" s="216"/>
      <c r="AC62" s="216"/>
      <c r="AD62" s="216"/>
      <c r="AE62" s="216"/>
      <c r="AF62" s="216"/>
      <c r="AG62" s="216"/>
      <c r="AH62" s="216"/>
      <c r="AI62" s="216"/>
      <c r="AJ62" s="216"/>
      <c r="AK62" s="395"/>
    </row>
    <row r="63" spans="1:37" ht="20.5" customHeight="1" x14ac:dyDescent="0.2">
      <c r="A63" s="83"/>
      <c r="B63" s="83"/>
      <c r="C63" s="247"/>
      <c r="D63" s="83"/>
      <c r="E63" s="83"/>
      <c r="F63" s="83"/>
      <c r="G63" s="83"/>
      <c r="H63" s="83"/>
      <c r="I63" s="83"/>
      <c r="J63" s="83"/>
      <c r="K63" s="83"/>
      <c r="L63" s="83"/>
      <c r="M63" s="83"/>
      <c r="N63" s="83"/>
      <c r="O63" s="83"/>
      <c r="P63" s="216"/>
      <c r="Q63" s="216"/>
      <c r="R63" s="216"/>
      <c r="S63" s="216"/>
      <c r="T63" s="216"/>
      <c r="U63" s="216"/>
      <c r="V63" s="216"/>
      <c r="W63" s="216"/>
      <c r="X63" s="216"/>
      <c r="Y63" s="216"/>
      <c r="Z63" s="216"/>
      <c r="AA63" s="216"/>
      <c r="AB63" s="216"/>
      <c r="AC63" s="216"/>
      <c r="AD63" s="216"/>
      <c r="AE63" s="216"/>
      <c r="AF63" s="216"/>
      <c r="AG63" s="216"/>
      <c r="AH63" s="216"/>
      <c r="AI63" s="216"/>
      <c r="AJ63" s="216"/>
      <c r="AK63" s="395"/>
    </row>
    <row r="64" spans="1:37" ht="20.5" customHeight="1" x14ac:dyDescent="0.2">
      <c r="A64" s="83"/>
      <c r="B64" s="83"/>
      <c r="C64" s="245"/>
      <c r="D64" s="83"/>
      <c r="E64" s="83"/>
      <c r="F64" s="83"/>
      <c r="G64" s="83"/>
      <c r="H64" s="83"/>
      <c r="I64" s="83"/>
      <c r="J64" s="83"/>
      <c r="K64" s="83"/>
      <c r="L64" s="83"/>
      <c r="M64" s="83"/>
      <c r="N64" s="83"/>
      <c r="O64" s="83"/>
      <c r="P64" s="216"/>
      <c r="Q64" s="216"/>
      <c r="R64" s="216"/>
      <c r="S64" s="216"/>
      <c r="T64" s="216"/>
      <c r="U64" s="216"/>
      <c r="V64" s="216"/>
      <c r="W64" s="216"/>
      <c r="X64" s="216"/>
      <c r="Y64" s="216"/>
      <c r="Z64" s="216"/>
      <c r="AA64" s="216"/>
      <c r="AB64" s="216"/>
      <c r="AC64" s="216"/>
      <c r="AD64" s="216"/>
      <c r="AE64" s="216"/>
      <c r="AF64" s="216"/>
      <c r="AG64" s="216"/>
      <c r="AH64" s="216"/>
      <c r="AI64" s="216"/>
      <c r="AJ64" s="216"/>
      <c r="AK64" s="395"/>
    </row>
    <row r="65" spans="1:37" ht="20.5" customHeight="1" x14ac:dyDescent="0.2">
      <c r="A65" s="83"/>
      <c r="B65" s="83"/>
      <c r="C65" s="247"/>
      <c r="D65" s="83"/>
      <c r="E65" s="83"/>
      <c r="F65" s="83"/>
      <c r="G65" s="83"/>
      <c r="H65" s="83"/>
      <c r="I65" s="83"/>
      <c r="J65" s="83"/>
      <c r="K65" s="83"/>
      <c r="L65" s="83"/>
      <c r="M65" s="83"/>
      <c r="N65" s="83"/>
      <c r="O65" s="83"/>
      <c r="P65" s="216"/>
      <c r="Q65" s="216"/>
      <c r="R65" s="216"/>
      <c r="S65" s="216"/>
      <c r="T65" s="216"/>
      <c r="U65" s="216"/>
      <c r="V65" s="216"/>
      <c r="W65" s="216"/>
      <c r="X65" s="216"/>
      <c r="Y65" s="216"/>
      <c r="Z65" s="216"/>
      <c r="AA65" s="216"/>
      <c r="AB65" s="216"/>
      <c r="AC65" s="216"/>
      <c r="AD65" s="216"/>
      <c r="AE65" s="216"/>
      <c r="AF65" s="216"/>
      <c r="AG65" s="216"/>
      <c r="AH65" s="216"/>
      <c r="AI65" s="216"/>
      <c r="AJ65" s="216"/>
      <c r="AK65" s="395"/>
    </row>
    <row r="66" spans="1:37" ht="20.5" customHeight="1" x14ac:dyDescent="0.2">
      <c r="A66" s="83"/>
      <c r="B66" s="83"/>
      <c r="C66" s="83"/>
      <c r="D66" s="83"/>
      <c r="E66" s="83"/>
      <c r="F66" s="83"/>
      <c r="G66" s="83"/>
      <c r="H66" s="83"/>
      <c r="I66" s="83"/>
      <c r="J66" s="83"/>
      <c r="K66" s="83"/>
      <c r="L66" s="83"/>
      <c r="M66" s="83"/>
      <c r="N66" s="83"/>
      <c r="O66" s="83"/>
      <c r="P66" s="216"/>
      <c r="Q66" s="216"/>
      <c r="R66" s="216"/>
      <c r="S66" s="216"/>
      <c r="T66" s="216"/>
      <c r="U66" s="216"/>
      <c r="V66" s="216"/>
      <c r="W66" s="216"/>
      <c r="X66" s="216"/>
      <c r="Y66" s="216"/>
      <c r="Z66" s="216"/>
      <c r="AA66" s="216"/>
      <c r="AB66" s="216"/>
      <c r="AC66" s="216"/>
      <c r="AD66" s="216"/>
      <c r="AE66" s="216"/>
      <c r="AF66" s="216"/>
      <c r="AG66" s="216"/>
      <c r="AH66" s="216"/>
      <c r="AI66" s="216"/>
      <c r="AJ66" s="216"/>
      <c r="AK66" s="395"/>
    </row>
    <row r="67" spans="1:37" ht="20.5" customHeight="1" x14ac:dyDescent="0.2">
      <c r="A67" s="83"/>
      <c r="B67" s="83"/>
      <c r="C67" s="83"/>
      <c r="D67" s="83"/>
      <c r="E67" s="83"/>
      <c r="F67" s="83"/>
      <c r="G67" s="83"/>
      <c r="H67" s="83"/>
      <c r="I67" s="83"/>
      <c r="J67" s="83"/>
      <c r="K67" s="83"/>
      <c r="L67" s="83"/>
      <c r="M67" s="83"/>
      <c r="N67" s="83"/>
      <c r="O67" s="83"/>
      <c r="P67" s="216"/>
      <c r="Q67" s="216"/>
      <c r="R67" s="216"/>
      <c r="S67" s="216"/>
      <c r="T67" s="216"/>
      <c r="U67" s="216"/>
      <c r="V67" s="216"/>
      <c r="W67" s="216"/>
      <c r="X67" s="216"/>
      <c r="Y67" s="216"/>
      <c r="Z67" s="216"/>
      <c r="AA67" s="216"/>
      <c r="AB67" s="216"/>
      <c r="AC67" s="216"/>
      <c r="AD67" s="216"/>
      <c r="AE67" s="216"/>
      <c r="AF67" s="216"/>
      <c r="AG67" s="216"/>
      <c r="AH67" s="216"/>
      <c r="AI67" s="216"/>
      <c r="AJ67" s="216"/>
      <c r="AK67" s="395"/>
    </row>
    <row r="68" spans="1:37" ht="20.5" customHeight="1" x14ac:dyDescent="0.2">
      <c r="A68" s="83"/>
      <c r="B68" s="83"/>
      <c r="C68" s="83"/>
      <c r="D68" s="83"/>
      <c r="E68" s="83"/>
      <c r="F68" s="83"/>
      <c r="G68" s="83"/>
      <c r="H68" s="83"/>
      <c r="I68" s="83"/>
      <c r="J68" s="83"/>
      <c r="K68" s="83"/>
      <c r="L68" s="83"/>
      <c r="M68" s="83"/>
      <c r="N68" s="83"/>
      <c r="O68" s="83"/>
      <c r="P68" s="216"/>
      <c r="Q68" s="216"/>
      <c r="R68" s="216"/>
      <c r="S68" s="216"/>
      <c r="T68" s="216"/>
      <c r="U68" s="216"/>
      <c r="V68" s="216"/>
      <c r="W68" s="216"/>
      <c r="X68" s="216"/>
      <c r="Y68" s="216"/>
      <c r="Z68" s="216"/>
      <c r="AA68" s="216"/>
      <c r="AB68" s="216"/>
      <c r="AC68" s="216"/>
      <c r="AD68" s="216"/>
      <c r="AE68" s="216"/>
      <c r="AF68" s="216"/>
      <c r="AG68" s="216"/>
      <c r="AH68" s="216"/>
      <c r="AI68" s="216"/>
      <c r="AJ68" s="216"/>
      <c r="AK68" s="395"/>
    </row>
    <row r="69" spans="1:37" ht="20.5" customHeight="1" x14ac:dyDescent="0.2">
      <c r="A69" s="83"/>
      <c r="B69" s="83"/>
      <c r="C69" s="83"/>
      <c r="D69" s="83"/>
      <c r="E69" s="83"/>
      <c r="F69" s="83"/>
      <c r="G69" s="83"/>
      <c r="H69" s="83"/>
      <c r="I69" s="83"/>
      <c r="J69" s="83"/>
      <c r="K69" s="83"/>
      <c r="L69" s="83"/>
      <c r="M69" s="83"/>
      <c r="N69" s="83"/>
      <c r="O69" s="83"/>
      <c r="P69" s="216"/>
      <c r="Q69" s="216"/>
      <c r="R69" s="216"/>
      <c r="S69" s="216"/>
      <c r="T69" s="216"/>
      <c r="U69" s="216"/>
      <c r="V69" s="216"/>
      <c r="W69" s="216"/>
      <c r="X69" s="216"/>
      <c r="Y69" s="216"/>
      <c r="Z69" s="216"/>
      <c r="AA69" s="216"/>
      <c r="AB69" s="216"/>
      <c r="AC69" s="216"/>
      <c r="AD69" s="216"/>
      <c r="AE69" s="216"/>
      <c r="AF69" s="216"/>
      <c r="AG69" s="216"/>
      <c r="AH69" s="216"/>
      <c r="AI69" s="216"/>
      <c r="AJ69" s="216"/>
      <c r="AK69" s="395"/>
    </row>
    <row r="70" spans="1:37" ht="20.5" customHeight="1" x14ac:dyDescent="0.2">
      <c r="A70" s="83"/>
      <c r="B70" s="83"/>
      <c r="C70" s="83"/>
      <c r="D70" s="83"/>
      <c r="E70" s="83"/>
      <c r="F70" s="83"/>
      <c r="G70" s="83"/>
      <c r="H70" s="83"/>
      <c r="I70" s="83"/>
      <c r="J70" s="83"/>
      <c r="K70" s="83"/>
      <c r="L70" s="83"/>
      <c r="M70" s="83"/>
      <c r="N70" s="83"/>
      <c r="O70" s="83"/>
      <c r="P70" s="216"/>
      <c r="Q70" s="216"/>
      <c r="R70" s="216"/>
      <c r="S70" s="216"/>
      <c r="T70" s="216"/>
      <c r="U70" s="216"/>
      <c r="V70" s="216"/>
      <c r="W70" s="216"/>
      <c r="X70" s="216"/>
      <c r="Y70" s="216"/>
      <c r="Z70" s="216"/>
      <c r="AA70" s="216"/>
      <c r="AB70" s="216"/>
      <c r="AC70" s="216"/>
      <c r="AD70" s="216"/>
      <c r="AE70" s="216"/>
      <c r="AF70" s="216"/>
      <c r="AG70" s="216"/>
      <c r="AH70" s="216"/>
      <c r="AI70" s="216"/>
      <c r="AJ70" s="216"/>
      <c r="AK70" s="395"/>
    </row>
    <row r="71" spans="1:37" ht="20.5" customHeight="1" x14ac:dyDescent="0.2">
      <c r="A71" s="83"/>
      <c r="B71" s="83"/>
      <c r="C71" s="83"/>
      <c r="D71" s="83"/>
      <c r="E71" s="83"/>
      <c r="F71" s="83"/>
      <c r="G71" s="83"/>
      <c r="H71" s="83"/>
      <c r="I71" s="83"/>
      <c r="J71" s="83"/>
      <c r="K71" s="83"/>
      <c r="L71" s="83"/>
      <c r="M71" s="83"/>
      <c r="N71" s="83"/>
      <c r="O71" s="83"/>
      <c r="P71" s="216"/>
      <c r="Q71" s="216"/>
      <c r="R71" s="216"/>
      <c r="S71" s="216"/>
      <c r="T71" s="216"/>
      <c r="U71" s="216"/>
      <c r="V71" s="216"/>
      <c r="W71" s="216"/>
      <c r="X71" s="216"/>
      <c r="Y71" s="216"/>
      <c r="Z71" s="216"/>
      <c r="AA71" s="216"/>
      <c r="AB71" s="216"/>
      <c r="AC71" s="216"/>
      <c r="AD71" s="216"/>
      <c r="AE71" s="216"/>
      <c r="AF71" s="216"/>
      <c r="AG71" s="216"/>
      <c r="AH71" s="216"/>
      <c r="AI71" s="216"/>
      <c r="AJ71" s="216"/>
      <c r="AK71" s="395"/>
    </row>
    <row r="72" spans="1:37" ht="20.5" customHeight="1" x14ac:dyDescent="0.2">
      <c r="A72" s="83"/>
      <c r="B72" s="83"/>
      <c r="C72" s="83"/>
      <c r="D72" s="83"/>
      <c r="E72" s="83"/>
      <c r="F72" s="83"/>
      <c r="G72" s="83"/>
      <c r="H72" s="83"/>
      <c r="I72" s="83"/>
      <c r="J72" s="83"/>
      <c r="K72" s="83"/>
      <c r="L72" s="83"/>
      <c r="M72" s="83"/>
      <c r="N72" s="83"/>
      <c r="O72" s="83"/>
      <c r="P72" s="216"/>
      <c r="Q72" s="216"/>
      <c r="R72" s="216"/>
      <c r="S72" s="216"/>
      <c r="T72" s="216"/>
      <c r="U72" s="216"/>
      <c r="V72" s="216"/>
      <c r="W72" s="216"/>
      <c r="X72" s="216"/>
      <c r="Y72" s="216"/>
      <c r="Z72" s="216"/>
      <c r="AA72" s="216"/>
      <c r="AB72" s="216"/>
      <c r="AC72" s="216"/>
      <c r="AD72" s="216"/>
      <c r="AE72" s="216"/>
      <c r="AF72" s="216"/>
      <c r="AG72" s="216"/>
      <c r="AH72" s="216"/>
      <c r="AI72" s="216"/>
      <c r="AJ72" s="216"/>
      <c r="AK72" s="395"/>
    </row>
    <row r="73" spans="1:37" ht="20.5" customHeight="1" x14ac:dyDescent="0.2">
      <c r="A73" s="83"/>
      <c r="B73" s="83"/>
      <c r="C73" s="83"/>
      <c r="D73" s="83"/>
      <c r="E73" s="83"/>
      <c r="F73" s="83"/>
      <c r="G73" s="83"/>
      <c r="H73" s="83"/>
      <c r="I73" s="83"/>
      <c r="J73" s="83"/>
      <c r="K73" s="83"/>
      <c r="L73" s="83"/>
      <c r="M73" s="83"/>
      <c r="N73" s="83"/>
      <c r="O73" s="83"/>
      <c r="P73" s="216"/>
      <c r="Q73" s="216"/>
      <c r="R73" s="216"/>
      <c r="S73" s="216"/>
      <c r="T73" s="216"/>
      <c r="U73" s="216"/>
      <c r="V73" s="216"/>
      <c r="W73" s="216"/>
      <c r="X73" s="216"/>
      <c r="Y73" s="216"/>
      <c r="Z73" s="216"/>
      <c r="AA73" s="216"/>
      <c r="AB73" s="216"/>
      <c r="AC73" s="216"/>
      <c r="AD73" s="216"/>
      <c r="AE73" s="216"/>
      <c r="AF73" s="216"/>
      <c r="AG73" s="216"/>
      <c r="AH73" s="216"/>
      <c r="AI73" s="216"/>
      <c r="AJ73" s="216"/>
      <c r="AK73" s="395"/>
    </row>
    <row r="74" spans="1:37" ht="20.5" customHeight="1" x14ac:dyDescent="0.2">
      <c r="A74" s="83"/>
      <c r="B74" s="83"/>
      <c r="C74" s="83"/>
      <c r="D74" s="83"/>
      <c r="E74" s="83"/>
      <c r="F74" s="83"/>
      <c r="G74" s="83"/>
      <c r="H74" s="83"/>
      <c r="I74" s="83"/>
      <c r="J74" s="83"/>
      <c r="K74" s="83"/>
      <c r="L74" s="83"/>
      <c r="M74" s="83"/>
      <c r="N74" s="83"/>
      <c r="O74" s="83"/>
      <c r="P74" s="216"/>
      <c r="Q74" s="216"/>
      <c r="R74" s="216"/>
      <c r="S74" s="216"/>
      <c r="T74" s="216"/>
      <c r="U74" s="216"/>
      <c r="V74" s="216"/>
      <c r="W74" s="216"/>
      <c r="X74" s="216"/>
      <c r="Y74" s="216"/>
      <c r="Z74" s="216"/>
      <c r="AA74" s="216"/>
      <c r="AB74" s="216"/>
      <c r="AC74" s="216"/>
      <c r="AD74" s="216"/>
      <c r="AE74" s="216"/>
      <c r="AF74" s="216"/>
      <c r="AG74" s="216"/>
      <c r="AH74" s="216"/>
      <c r="AI74" s="216"/>
      <c r="AJ74" s="216"/>
      <c r="AK74" s="395"/>
    </row>
    <row r="75" spans="1:37" ht="20.5" customHeight="1" x14ac:dyDescent="0.2">
      <c r="A75" s="83"/>
      <c r="B75" s="83"/>
      <c r="C75" s="83"/>
      <c r="D75" s="83"/>
      <c r="E75" s="83"/>
      <c r="F75" s="83"/>
      <c r="G75" s="83"/>
      <c r="H75" s="83"/>
      <c r="I75" s="83"/>
      <c r="J75" s="83"/>
      <c r="K75" s="83"/>
      <c r="L75" s="83"/>
      <c r="M75" s="83"/>
      <c r="N75" s="83"/>
      <c r="O75" s="83"/>
      <c r="P75" s="216"/>
      <c r="Q75" s="216"/>
      <c r="R75" s="216"/>
      <c r="S75" s="216"/>
      <c r="T75" s="216"/>
      <c r="U75" s="216"/>
      <c r="V75" s="216"/>
      <c r="W75" s="216"/>
      <c r="X75" s="216"/>
      <c r="Y75" s="216"/>
      <c r="Z75" s="216"/>
      <c r="AA75" s="216"/>
      <c r="AB75" s="216"/>
      <c r="AC75" s="216"/>
      <c r="AD75" s="216"/>
      <c r="AE75" s="216"/>
      <c r="AF75" s="216"/>
      <c r="AG75" s="216"/>
      <c r="AH75" s="216"/>
      <c r="AI75" s="216"/>
      <c r="AJ75" s="216"/>
      <c r="AK75" s="395"/>
    </row>
    <row r="76" spans="1:37" ht="20.5" customHeight="1" x14ac:dyDescent="0.2">
      <c r="A76" s="83"/>
      <c r="B76" s="83"/>
      <c r="C76" s="83"/>
      <c r="D76" s="83"/>
      <c r="E76" s="83"/>
      <c r="F76" s="83"/>
      <c r="G76" s="83"/>
      <c r="H76" s="83"/>
      <c r="I76" s="83"/>
      <c r="J76" s="83"/>
      <c r="K76" s="83"/>
      <c r="L76" s="83"/>
      <c r="M76" s="83"/>
      <c r="N76" s="83"/>
      <c r="O76" s="83"/>
      <c r="P76" s="216"/>
      <c r="Q76" s="216"/>
      <c r="R76" s="216"/>
      <c r="S76" s="216"/>
      <c r="T76" s="216"/>
      <c r="U76" s="216"/>
      <c r="V76" s="216"/>
      <c r="W76" s="216"/>
      <c r="X76" s="216"/>
      <c r="Y76" s="216"/>
      <c r="Z76" s="216"/>
      <c r="AA76" s="216"/>
      <c r="AB76" s="216"/>
      <c r="AC76" s="216"/>
      <c r="AD76" s="216"/>
      <c r="AE76" s="216"/>
      <c r="AF76" s="216"/>
      <c r="AG76" s="216"/>
      <c r="AH76" s="216"/>
      <c r="AI76" s="216"/>
      <c r="AJ76" s="216"/>
      <c r="AK76" s="395"/>
    </row>
    <row r="77" spans="1:37" ht="20.5" customHeight="1" x14ac:dyDescent="0.2">
      <c r="A77" s="83"/>
      <c r="B77" s="83"/>
      <c r="C77" s="83"/>
      <c r="D77" s="83"/>
      <c r="E77" s="83"/>
      <c r="F77" s="83"/>
      <c r="G77" s="83"/>
      <c r="H77" s="83"/>
      <c r="I77" s="83"/>
      <c r="J77" s="83"/>
      <c r="K77" s="83"/>
      <c r="L77" s="83"/>
      <c r="M77" s="83"/>
      <c r="N77" s="83"/>
      <c r="O77" s="83"/>
      <c r="P77" s="216"/>
      <c r="Q77" s="216"/>
      <c r="R77" s="216"/>
      <c r="S77" s="216"/>
      <c r="T77" s="216"/>
      <c r="U77" s="216"/>
      <c r="V77" s="216"/>
      <c r="W77" s="216"/>
      <c r="X77" s="216"/>
      <c r="Y77" s="216"/>
      <c r="Z77" s="216"/>
      <c r="AA77" s="216"/>
      <c r="AB77" s="216"/>
      <c r="AC77" s="216"/>
      <c r="AD77" s="216"/>
      <c r="AE77" s="216"/>
      <c r="AF77" s="216"/>
      <c r="AG77" s="216"/>
      <c r="AH77" s="216"/>
      <c r="AI77" s="216"/>
      <c r="AJ77" s="216"/>
      <c r="AK77" s="395"/>
    </row>
    <row r="78" spans="1:37" ht="20.5" customHeight="1" x14ac:dyDescent="0.2">
      <c r="A78" s="83"/>
      <c r="B78" s="83"/>
      <c r="C78" s="83"/>
      <c r="D78" s="83"/>
      <c r="E78" s="83"/>
      <c r="F78" s="83"/>
      <c r="G78" s="83"/>
      <c r="H78" s="83"/>
      <c r="I78" s="83"/>
      <c r="J78" s="83"/>
      <c r="K78" s="83"/>
      <c r="L78" s="83"/>
      <c r="M78" s="83"/>
      <c r="N78" s="83"/>
      <c r="O78" s="83"/>
      <c r="P78" s="216"/>
      <c r="Q78" s="216"/>
      <c r="R78" s="216"/>
      <c r="S78" s="216"/>
      <c r="T78" s="216"/>
      <c r="U78" s="216"/>
      <c r="V78" s="216"/>
      <c r="W78" s="216"/>
      <c r="X78" s="216"/>
      <c r="Y78" s="216"/>
      <c r="Z78" s="216"/>
      <c r="AA78" s="216"/>
      <c r="AB78" s="216"/>
      <c r="AC78" s="216"/>
      <c r="AD78" s="216"/>
      <c r="AE78" s="216"/>
      <c r="AF78" s="216"/>
      <c r="AG78" s="216"/>
      <c r="AH78" s="216"/>
      <c r="AI78" s="216"/>
      <c r="AJ78" s="216"/>
      <c r="AK78" s="395"/>
    </row>
    <row r="79" spans="1:37" ht="20.5" customHeight="1" x14ac:dyDescent="0.2">
      <c r="A79" s="83"/>
      <c r="B79" s="83"/>
      <c r="C79" s="83"/>
      <c r="D79" s="83"/>
      <c r="E79" s="83"/>
      <c r="F79" s="83"/>
      <c r="G79" s="83"/>
      <c r="H79" s="83"/>
      <c r="I79" s="83"/>
      <c r="J79" s="83"/>
      <c r="K79" s="83"/>
      <c r="L79" s="83"/>
      <c r="M79" s="83"/>
      <c r="N79" s="83"/>
      <c r="O79" s="83"/>
      <c r="P79" s="216"/>
      <c r="Q79" s="216"/>
      <c r="R79" s="216"/>
      <c r="S79" s="216"/>
      <c r="T79" s="216"/>
      <c r="U79" s="216"/>
      <c r="V79" s="216"/>
      <c r="W79" s="216"/>
      <c r="X79" s="216"/>
      <c r="Y79" s="216"/>
      <c r="Z79" s="216"/>
      <c r="AA79" s="216"/>
      <c r="AB79" s="216"/>
      <c r="AC79" s="216"/>
      <c r="AD79" s="216"/>
      <c r="AE79" s="216"/>
      <c r="AF79" s="216"/>
      <c r="AG79" s="216"/>
      <c r="AH79" s="216"/>
      <c r="AI79" s="216"/>
      <c r="AJ79" s="216"/>
      <c r="AK79" s="395"/>
    </row>
    <row r="80" spans="1:37" ht="20.5" customHeight="1" x14ac:dyDescent="0.2">
      <c r="A80" s="83"/>
      <c r="B80" s="83"/>
      <c r="C80" s="83"/>
      <c r="D80" s="83"/>
      <c r="E80" s="83"/>
      <c r="F80" s="83"/>
      <c r="G80" s="83"/>
      <c r="H80" s="83"/>
      <c r="I80" s="83"/>
      <c r="J80" s="83"/>
      <c r="K80" s="83"/>
      <c r="L80" s="83"/>
      <c r="M80" s="83"/>
      <c r="N80" s="83"/>
      <c r="O80" s="83"/>
      <c r="P80" s="216"/>
      <c r="Q80" s="216"/>
      <c r="R80" s="216"/>
      <c r="S80" s="216"/>
      <c r="T80" s="216"/>
      <c r="U80" s="216"/>
      <c r="V80" s="216"/>
      <c r="W80" s="216"/>
      <c r="X80" s="216"/>
      <c r="Y80" s="216"/>
      <c r="Z80" s="216"/>
      <c r="AA80" s="216"/>
      <c r="AB80" s="216"/>
      <c r="AC80" s="216"/>
      <c r="AD80" s="216"/>
      <c r="AE80" s="216"/>
      <c r="AF80" s="216"/>
      <c r="AG80" s="216"/>
      <c r="AH80" s="216"/>
      <c r="AI80" s="216"/>
      <c r="AJ80" s="216"/>
      <c r="AK80" s="395"/>
    </row>
    <row r="81" spans="1:37" ht="20.5" customHeight="1" x14ac:dyDescent="0.2">
      <c r="A81" s="83"/>
      <c r="B81" s="83"/>
      <c r="C81" s="83"/>
      <c r="D81" s="83"/>
      <c r="E81" s="83"/>
      <c r="F81" s="83"/>
      <c r="G81" s="83"/>
      <c r="H81" s="83"/>
      <c r="I81" s="83"/>
      <c r="J81" s="83"/>
      <c r="K81" s="83"/>
      <c r="L81" s="83"/>
      <c r="M81" s="83"/>
      <c r="N81" s="83"/>
      <c r="O81" s="83"/>
      <c r="P81" s="216"/>
      <c r="Q81" s="216"/>
      <c r="R81" s="216"/>
      <c r="S81" s="216"/>
      <c r="T81" s="216"/>
      <c r="U81" s="216"/>
      <c r="V81" s="216"/>
      <c r="W81" s="216"/>
      <c r="X81" s="216"/>
      <c r="Y81" s="216"/>
      <c r="Z81" s="216"/>
      <c r="AA81" s="216"/>
      <c r="AB81" s="216"/>
      <c r="AC81" s="216"/>
      <c r="AD81" s="216"/>
      <c r="AE81" s="216"/>
      <c r="AF81" s="216"/>
      <c r="AG81" s="216"/>
      <c r="AH81" s="216"/>
      <c r="AI81" s="216"/>
      <c r="AJ81" s="216"/>
      <c r="AK81" s="395"/>
    </row>
    <row r="82" spans="1:37" ht="20.5" customHeight="1" x14ac:dyDescent="0.2">
      <c r="A82" s="83"/>
      <c r="B82" s="83"/>
      <c r="C82" s="83"/>
      <c r="D82" s="83"/>
      <c r="E82" s="83"/>
      <c r="F82" s="83"/>
      <c r="G82" s="83"/>
      <c r="H82" s="83"/>
      <c r="I82" s="83"/>
      <c r="J82" s="83"/>
      <c r="K82" s="83"/>
      <c r="L82" s="83"/>
      <c r="M82" s="83"/>
      <c r="N82" s="83"/>
      <c r="O82" s="83"/>
      <c r="P82" s="216"/>
      <c r="Q82" s="216"/>
      <c r="R82" s="216"/>
      <c r="S82" s="216"/>
      <c r="T82" s="216"/>
      <c r="U82" s="216"/>
      <c r="V82" s="216"/>
      <c r="W82" s="216"/>
      <c r="X82" s="216"/>
      <c r="Y82" s="216"/>
      <c r="Z82" s="216"/>
      <c r="AA82" s="216"/>
      <c r="AB82" s="216"/>
      <c r="AC82" s="216"/>
      <c r="AD82" s="216"/>
      <c r="AE82" s="216"/>
      <c r="AF82" s="216"/>
      <c r="AG82" s="216"/>
      <c r="AH82" s="216"/>
      <c r="AI82" s="216"/>
      <c r="AJ82" s="216"/>
      <c r="AK82" s="395"/>
    </row>
    <row r="83" spans="1:37" ht="20.5" customHeight="1" x14ac:dyDescent="0.2">
      <c r="A83" s="83"/>
      <c r="B83" s="83"/>
      <c r="C83" s="83"/>
      <c r="D83" s="83"/>
      <c r="E83" s="83"/>
      <c r="F83" s="83"/>
      <c r="G83" s="83"/>
      <c r="H83" s="83"/>
      <c r="I83" s="83"/>
      <c r="J83" s="83"/>
      <c r="K83" s="83"/>
      <c r="L83" s="83"/>
      <c r="M83" s="83"/>
      <c r="N83" s="83"/>
      <c r="O83" s="83"/>
      <c r="P83" s="216"/>
      <c r="Q83" s="216"/>
      <c r="R83" s="216"/>
      <c r="S83" s="216"/>
      <c r="T83" s="216"/>
      <c r="U83" s="216"/>
      <c r="V83" s="216"/>
      <c r="W83" s="216"/>
      <c r="X83" s="216"/>
      <c r="Y83" s="216"/>
      <c r="Z83" s="216"/>
      <c r="AA83" s="216"/>
      <c r="AB83" s="216"/>
      <c r="AC83" s="216"/>
      <c r="AD83" s="216"/>
      <c r="AE83" s="216"/>
      <c r="AF83" s="152"/>
      <c r="AG83" s="152"/>
      <c r="AH83" s="152"/>
      <c r="AI83" s="152"/>
      <c r="AJ83" s="152"/>
      <c r="AK83" s="96"/>
    </row>
    <row r="84" spans="1:37" ht="20.5" customHeight="1" x14ac:dyDescent="0.2">
      <c r="A84" s="83"/>
      <c r="B84" s="83"/>
      <c r="C84" s="83"/>
      <c r="D84" s="83"/>
      <c r="E84" s="83"/>
      <c r="F84" s="83"/>
      <c r="G84" s="83"/>
      <c r="H84" s="83"/>
      <c r="I84" s="83"/>
      <c r="J84" s="83"/>
      <c r="K84" s="83"/>
      <c r="L84" s="83"/>
      <c r="M84" s="83"/>
      <c r="N84" s="83"/>
      <c r="O84" s="83"/>
      <c r="P84" s="216"/>
      <c r="Q84" s="216"/>
      <c r="R84" s="216"/>
      <c r="S84" s="216"/>
      <c r="T84" s="216"/>
      <c r="U84" s="216"/>
      <c r="V84" s="216"/>
      <c r="W84" s="216"/>
      <c r="X84" s="216"/>
      <c r="Y84" s="216"/>
      <c r="Z84" s="216"/>
      <c r="AA84" s="216"/>
      <c r="AB84" s="216"/>
      <c r="AC84" s="216"/>
      <c r="AD84" s="216"/>
      <c r="AE84" s="216"/>
      <c r="AF84" s="152"/>
      <c r="AG84" s="152"/>
      <c r="AH84" s="152"/>
      <c r="AI84" s="152"/>
      <c r="AJ84" s="152"/>
      <c r="AK84" s="96"/>
    </row>
    <row r="85" spans="1:37" ht="20.5" customHeight="1" x14ac:dyDescent="0.2">
      <c r="A85" s="83"/>
      <c r="B85" s="83"/>
      <c r="C85" s="83"/>
      <c r="D85" s="83"/>
      <c r="E85" s="83"/>
      <c r="F85" s="83"/>
      <c r="G85" s="83"/>
      <c r="H85" s="83"/>
      <c r="I85" s="83"/>
      <c r="J85" s="83"/>
      <c r="K85" s="83"/>
      <c r="L85" s="83"/>
      <c r="M85" s="83"/>
      <c r="N85" s="83"/>
      <c r="O85" s="83"/>
      <c r="P85" s="216"/>
      <c r="Q85" s="216"/>
      <c r="R85" s="216"/>
      <c r="S85" s="216"/>
      <c r="T85" s="216"/>
      <c r="U85" s="216"/>
      <c r="V85" s="216"/>
      <c r="W85" s="216"/>
      <c r="X85" s="216"/>
      <c r="Y85" s="216"/>
      <c r="Z85" s="216"/>
      <c r="AA85" s="216"/>
      <c r="AB85" s="216"/>
      <c r="AC85" s="216"/>
      <c r="AD85" s="216"/>
      <c r="AE85" s="216"/>
      <c r="AF85" s="152"/>
      <c r="AG85" s="152"/>
      <c r="AH85" s="152"/>
      <c r="AI85" s="152"/>
      <c r="AJ85" s="152"/>
      <c r="AK85" s="96"/>
    </row>
    <row r="86" spans="1:37" ht="20.5" customHeight="1" x14ac:dyDescent="0.2">
      <c r="A86" s="83"/>
      <c r="B86" s="83"/>
      <c r="C86" s="83"/>
      <c r="D86" s="83"/>
      <c r="E86" s="83"/>
      <c r="F86" s="83"/>
      <c r="G86" s="83"/>
      <c r="H86" s="83"/>
      <c r="I86" s="83"/>
      <c r="J86" s="83"/>
      <c r="K86" s="83"/>
      <c r="L86" s="83"/>
      <c r="M86" s="83"/>
      <c r="N86" s="83"/>
      <c r="O86" s="83"/>
      <c r="P86" s="216"/>
      <c r="Q86" s="216"/>
      <c r="R86" s="216"/>
      <c r="S86" s="216"/>
      <c r="T86" s="216"/>
      <c r="U86" s="216"/>
      <c r="V86" s="216"/>
      <c r="W86" s="216"/>
      <c r="X86" s="216"/>
      <c r="Y86" s="216"/>
      <c r="Z86" s="216"/>
      <c r="AA86" s="216"/>
      <c r="AB86" s="216"/>
      <c r="AC86" s="216"/>
      <c r="AD86" s="216"/>
      <c r="AE86" s="216"/>
      <c r="AF86" s="152"/>
      <c r="AG86" s="152"/>
      <c r="AH86" s="152"/>
      <c r="AI86" s="152"/>
      <c r="AJ86" s="152"/>
      <c r="AK86" s="96"/>
    </row>
    <row r="87" spans="1:37" ht="20.5" customHeight="1" x14ac:dyDescent="0.2">
      <c r="A87" s="83"/>
      <c r="B87" s="83"/>
      <c r="C87" s="83"/>
      <c r="D87" s="83"/>
      <c r="E87" s="83"/>
      <c r="F87" s="83"/>
      <c r="G87" s="83"/>
      <c r="H87" s="83"/>
      <c r="I87" s="83"/>
      <c r="J87" s="83"/>
      <c r="K87" s="83"/>
      <c r="L87" s="83"/>
      <c r="M87" s="83"/>
      <c r="N87" s="83"/>
      <c r="O87" s="83"/>
      <c r="P87" s="216"/>
      <c r="Q87" s="216"/>
      <c r="R87" s="216"/>
      <c r="S87" s="216"/>
      <c r="T87" s="216"/>
      <c r="U87" s="216"/>
      <c r="V87" s="216"/>
      <c r="W87" s="216"/>
      <c r="X87" s="216"/>
      <c r="Y87" s="216"/>
      <c r="Z87" s="216"/>
      <c r="AA87" s="216"/>
      <c r="AB87" s="216"/>
      <c r="AC87" s="216"/>
      <c r="AD87" s="216"/>
      <c r="AE87" s="216"/>
      <c r="AF87" s="152"/>
      <c r="AG87" s="152"/>
      <c r="AH87" s="152"/>
      <c r="AI87" s="152"/>
      <c r="AJ87" s="152"/>
      <c r="AK87" s="96"/>
    </row>
    <row r="88" spans="1:37" ht="20.5" customHeight="1" x14ac:dyDescent="0.2">
      <c r="A88" s="83"/>
      <c r="B88" s="83"/>
      <c r="C88" s="83"/>
      <c r="D88" s="83"/>
      <c r="E88" s="83"/>
      <c r="F88" s="83"/>
      <c r="G88" s="83"/>
      <c r="H88" s="83"/>
      <c r="I88" s="83"/>
      <c r="J88" s="83"/>
      <c r="K88" s="83"/>
      <c r="L88" s="83"/>
      <c r="M88" s="83"/>
      <c r="N88" s="83"/>
      <c r="O88" s="83"/>
      <c r="P88" s="216"/>
      <c r="Q88" s="216"/>
      <c r="R88" s="216"/>
      <c r="S88" s="216"/>
      <c r="T88" s="216"/>
      <c r="U88" s="216"/>
      <c r="V88" s="216"/>
      <c r="W88" s="216"/>
      <c r="X88" s="216"/>
      <c r="Y88" s="216"/>
      <c r="Z88" s="216"/>
      <c r="AA88" s="216"/>
      <c r="AB88" s="216"/>
      <c r="AC88" s="216"/>
      <c r="AD88" s="216"/>
      <c r="AE88" s="216"/>
      <c r="AF88" s="152"/>
      <c r="AG88" s="152"/>
      <c r="AH88" s="152"/>
      <c r="AI88" s="152"/>
      <c r="AJ88" s="152"/>
      <c r="AK88" s="96"/>
    </row>
    <row r="89" spans="1:37" ht="20.5" customHeight="1" x14ac:dyDescent="0.2">
      <c r="A89" s="83"/>
      <c r="B89" s="83"/>
      <c r="C89" s="83"/>
      <c r="D89" s="83"/>
      <c r="E89" s="83"/>
      <c r="F89" s="83"/>
      <c r="G89" s="83"/>
      <c r="H89" s="83"/>
      <c r="I89" s="83"/>
      <c r="J89" s="83"/>
      <c r="K89" s="83"/>
      <c r="L89" s="83"/>
      <c r="M89" s="83"/>
      <c r="N89" s="83"/>
      <c r="O89" s="83"/>
      <c r="P89" s="216"/>
      <c r="Q89" s="216"/>
      <c r="R89" s="216"/>
      <c r="S89" s="216"/>
      <c r="T89" s="216"/>
      <c r="U89" s="216"/>
      <c r="V89" s="216"/>
      <c r="W89" s="216"/>
      <c r="X89" s="216"/>
      <c r="Y89" s="216"/>
      <c r="Z89" s="216"/>
      <c r="AA89" s="216"/>
      <c r="AB89" s="216"/>
      <c r="AC89" s="216"/>
      <c r="AD89" s="216"/>
      <c r="AE89" s="216"/>
      <c r="AF89" s="152"/>
      <c r="AG89" s="152"/>
      <c r="AH89" s="152"/>
      <c r="AI89" s="152"/>
      <c r="AJ89" s="152"/>
      <c r="AK89" s="96"/>
    </row>
    <row r="90" spans="1:37" ht="20.5" customHeight="1" x14ac:dyDescent="0.2">
      <c r="A90" s="83"/>
      <c r="B90" s="83"/>
      <c r="C90" s="83"/>
      <c r="D90" s="83"/>
      <c r="E90" s="83"/>
      <c r="F90" s="83"/>
      <c r="G90" s="83"/>
      <c r="H90" s="83"/>
      <c r="I90" s="83"/>
      <c r="J90" s="83"/>
      <c r="K90" s="83"/>
      <c r="L90" s="83"/>
      <c r="M90" s="83"/>
      <c r="N90" s="83"/>
      <c r="O90" s="83"/>
      <c r="P90" s="216"/>
      <c r="Q90" s="216"/>
      <c r="R90" s="216"/>
      <c r="S90" s="216"/>
      <c r="T90" s="216"/>
      <c r="U90" s="216"/>
      <c r="V90" s="216"/>
      <c r="W90" s="216"/>
      <c r="X90" s="216"/>
      <c r="Y90" s="216"/>
      <c r="Z90" s="216"/>
      <c r="AA90" s="216"/>
      <c r="AB90" s="216"/>
      <c r="AC90" s="216"/>
      <c r="AD90" s="216"/>
      <c r="AE90" s="216"/>
      <c r="AF90" s="152"/>
      <c r="AG90" s="152"/>
      <c r="AH90" s="152"/>
      <c r="AI90" s="152"/>
      <c r="AJ90" s="152"/>
      <c r="AK90" s="96"/>
    </row>
    <row r="91" spans="1:37" ht="20.5" customHeight="1" x14ac:dyDescent="0.2">
      <c r="A91" s="83"/>
      <c r="B91" s="83"/>
      <c r="C91" s="83"/>
      <c r="D91" s="83"/>
      <c r="E91" s="83"/>
      <c r="F91" s="83"/>
      <c r="G91" s="83"/>
      <c r="H91" s="83"/>
      <c r="I91" s="83"/>
      <c r="J91" s="83"/>
      <c r="K91" s="83"/>
      <c r="L91" s="83"/>
      <c r="M91" s="83"/>
      <c r="N91" s="83"/>
      <c r="O91" s="83"/>
      <c r="P91" s="216"/>
      <c r="Q91" s="216"/>
      <c r="R91" s="216"/>
      <c r="S91" s="216"/>
      <c r="T91" s="216"/>
      <c r="U91" s="216"/>
      <c r="V91" s="216"/>
      <c r="W91" s="216"/>
      <c r="X91" s="216"/>
      <c r="Y91" s="216"/>
      <c r="Z91" s="216"/>
      <c r="AA91" s="216"/>
      <c r="AB91" s="216"/>
      <c r="AC91" s="216"/>
      <c r="AD91" s="216"/>
      <c r="AE91" s="216"/>
      <c r="AF91" s="152"/>
      <c r="AG91" s="152"/>
      <c r="AH91" s="152"/>
      <c r="AI91" s="152"/>
      <c r="AJ91" s="152"/>
      <c r="AK91" s="96"/>
    </row>
    <row r="92" spans="1:37" ht="20.5" customHeight="1" x14ac:dyDescent="0.2">
      <c r="A92" s="83"/>
      <c r="B92" s="83"/>
      <c r="C92" s="83"/>
      <c r="D92" s="83"/>
      <c r="E92" s="83"/>
      <c r="F92" s="83"/>
      <c r="G92" s="83"/>
      <c r="H92" s="83"/>
      <c r="I92" s="83"/>
      <c r="J92" s="83"/>
      <c r="K92" s="83"/>
      <c r="L92" s="83"/>
      <c r="M92" s="83"/>
      <c r="N92" s="83"/>
      <c r="O92" s="83"/>
      <c r="P92" s="216"/>
      <c r="Q92" s="216"/>
      <c r="R92" s="216"/>
      <c r="S92" s="216"/>
      <c r="T92" s="216"/>
      <c r="U92" s="216"/>
      <c r="V92" s="216"/>
      <c r="W92" s="216"/>
      <c r="X92" s="216"/>
      <c r="Y92" s="216"/>
      <c r="Z92" s="216"/>
      <c r="AA92" s="216"/>
      <c r="AB92" s="216"/>
      <c r="AC92" s="216"/>
      <c r="AD92" s="216"/>
      <c r="AE92" s="216"/>
      <c r="AF92" s="152"/>
      <c r="AG92" s="152"/>
      <c r="AH92" s="152"/>
      <c r="AI92" s="152"/>
      <c r="AJ92" s="152"/>
      <c r="AK92" s="96"/>
    </row>
    <row r="93" spans="1:37" ht="20.5" customHeight="1" x14ac:dyDescent="0.2">
      <c r="A93" s="83"/>
      <c r="B93" s="83"/>
      <c r="C93" s="83"/>
      <c r="D93" s="83"/>
      <c r="E93" s="83"/>
      <c r="F93" s="83"/>
      <c r="G93" s="83"/>
      <c r="H93" s="83"/>
      <c r="I93" s="83"/>
      <c r="J93" s="83"/>
      <c r="K93" s="83"/>
      <c r="L93" s="83"/>
      <c r="M93" s="83"/>
      <c r="N93" s="83"/>
      <c r="O93" s="83"/>
      <c r="P93" s="216"/>
      <c r="Q93" s="216"/>
      <c r="R93" s="216"/>
      <c r="S93" s="216"/>
      <c r="T93" s="216"/>
      <c r="U93" s="216"/>
      <c r="V93" s="216"/>
      <c r="W93" s="216"/>
      <c r="X93" s="216"/>
      <c r="Y93" s="216"/>
      <c r="Z93" s="216"/>
      <c r="AA93" s="216"/>
      <c r="AB93" s="216"/>
      <c r="AC93" s="216"/>
      <c r="AD93" s="216"/>
      <c r="AE93" s="216"/>
      <c r="AF93" s="152"/>
      <c r="AG93" s="152"/>
      <c r="AH93" s="152"/>
      <c r="AI93" s="152"/>
      <c r="AJ93" s="152"/>
      <c r="AK93" s="96"/>
    </row>
    <row r="94" spans="1:37" ht="20.5" customHeight="1" x14ac:dyDescent="0.2">
      <c r="A94" s="83"/>
      <c r="B94" s="83"/>
      <c r="C94" s="83"/>
      <c r="D94" s="83"/>
      <c r="E94" s="83"/>
      <c r="F94" s="83"/>
      <c r="G94" s="83"/>
      <c r="H94" s="83"/>
      <c r="I94" s="83"/>
      <c r="J94" s="83"/>
      <c r="K94" s="83"/>
      <c r="L94" s="83"/>
      <c r="M94" s="83"/>
      <c r="N94" s="83"/>
      <c r="O94" s="83"/>
      <c r="P94" s="216"/>
      <c r="Q94" s="216"/>
      <c r="R94" s="216"/>
      <c r="S94" s="216"/>
      <c r="T94" s="216"/>
      <c r="U94" s="216"/>
      <c r="V94" s="216"/>
      <c r="W94" s="216"/>
      <c r="X94" s="216"/>
      <c r="Y94" s="216"/>
      <c r="Z94" s="216"/>
      <c r="AA94" s="216"/>
      <c r="AB94" s="216"/>
      <c r="AC94" s="216"/>
      <c r="AD94" s="216"/>
      <c r="AE94" s="216"/>
      <c r="AF94" s="152"/>
      <c r="AG94" s="152"/>
      <c r="AH94" s="152"/>
      <c r="AI94" s="152"/>
      <c r="AJ94" s="152"/>
      <c r="AK94" s="96"/>
    </row>
    <row r="95" spans="1:37" ht="20.5" customHeight="1" x14ac:dyDescent="0.2">
      <c r="A95" s="83"/>
      <c r="B95" s="83"/>
      <c r="C95" s="83"/>
      <c r="D95" s="83"/>
      <c r="E95" s="83"/>
      <c r="F95" s="83"/>
      <c r="G95" s="83"/>
      <c r="H95" s="83"/>
      <c r="I95" s="83"/>
      <c r="J95" s="83"/>
      <c r="K95" s="83"/>
      <c r="L95" s="83"/>
      <c r="M95" s="83"/>
      <c r="N95" s="83"/>
      <c r="O95" s="83"/>
      <c r="P95" s="216"/>
      <c r="Q95" s="216"/>
      <c r="R95" s="216"/>
      <c r="S95" s="216"/>
      <c r="T95" s="216"/>
      <c r="U95" s="216"/>
      <c r="V95" s="216"/>
      <c r="W95" s="216"/>
      <c r="X95" s="216"/>
      <c r="Y95" s="216"/>
      <c r="Z95" s="216"/>
      <c r="AA95" s="216"/>
      <c r="AB95" s="216"/>
      <c r="AC95" s="216"/>
      <c r="AD95" s="216"/>
      <c r="AE95" s="216"/>
      <c r="AF95" s="152"/>
      <c r="AG95" s="152"/>
      <c r="AH95" s="152"/>
      <c r="AI95" s="152"/>
      <c r="AJ95" s="152"/>
      <c r="AK95" s="96"/>
    </row>
    <row r="96" spans="1:37" ht="20.5" customHeight="1" x14ac:dyDescent="0.2">
      <c r="A96" s="83"/>
      <c r="B96" s="83"/>
      <c r="C96" s="83"/>
      <c r="D96" s="83"/>
      <c r="E96" s="83"/>
      <c r="F96" s="83"/>
      <c r="G96" s="83"/>
      <c r="H96" s="83"/>
      <c r="I96" s="83"/>
      <c r="J96" s="83"/>
      <c r="K96" s="83"/>
      <c r="L96" s="83"/>
      <c r="M96" s="83"/>
      <c r="N96" s="83"/>
      <c r="O96" s="83"/>
      <c r="P96" s="216"/>
      <c r="Q96" s="216"/>
      <c r="R96" s="216"/>
      <c r="S96" s="216"/>
      <c r="T96" s="216"/>
      <c r="U96" s="216"/>
      <c r="V96" s="216"/>
      <c r="W96" s="216"/>
      <c r="X96" s="216"/>
      <c r="Y96" s="216"/>
      <c r="Z96" s="216"/>
      <c r="AA96" s="216"/>
      <c r="AB96" s="216"/>
      <c r="AC96" s="216"/>
      <c r="AD96" s="216"/>
      <c r="AE96" s="216"/>
      <c r="AF96" s="152"/>
      <c r="AG96" s="152"/>
      <c r="AH96" s="152"/>
      <c r="AI96" s="152"/>
      <c r="AJ96" s="152"/>
      <c r="AK96" s="96"/>
    </row>
    <row r="97" spans="1:37" ht="20.5" customHeight="1" x14ac:dyDescent="0.2">
      <c r="A97" s="83"/>
      <c r="B97" s="83"/>
      <c r="C97" s="83"/>
      <c r="D97" s="83"/>
      <c r="E97" s="83"/>
      <c r="F97" s="83"/>
      <c r="G97" s="83"/>
      <c r="H97" s="83"/>
      <c r="I97" s="83"/>
      <c r="J97" s="83"/>
      <c r="K97" s="83"/>
      <c r="L97" s="83"/>
      <c r="M97" s="83"/>
      <c r="N97" s="83"/>
      <c r="O97" s="83"/>
      <c r="P97" s="216"/>
      <c r="Q97" s="216"/>
      <c r="R97" s="216"/>
      <c r="S97" s="216"/>
      <c r="T97" s="216"/>
      <c r="U97" s="216"/>
      <c r="V97" s="216"/>
      <c r="W97" s="216"/>
      <c r="X97" s="216"/>
      <c r="Y97" s="216"/>
      <c r="Z97" s="216"/>
      <c r="AA97" s="216"/>
      <c r="AB97" s="216"/>
      <c r="AC97" s="216"/>
      <c r="AD97" s="216"/>
      <c r="AE97" s="216"/>
      <c r="AF97" s="152"/>
      <c r="AG97" s="152"/>
      <c r="AH97" s="152"/>
      <c r="AI97" s="152"/>
      <c r="AJ97" s="152"/>
      <c r="AK97" s="96"/>
    </row>
    <row r="98" spans="1:37" ht="20.5" customHeight="1" x14ac:dyDescent="0.2">
      <c r="A98" s="83"/>
      <c r="B98" s="83"/>
      <c r="C98" s="83"/>
      <c r="D98" s="83"/>
      <c r="E98" s="83"/>
      <c r="F98" s="83"/>
      <c r="G98" s="83"/>
      <c r="H98" s="83"/>
      <c r="I98" s="83"/>
      <c r="J98" s="83"/>
      <c r="K98" s="83"/>
      <c r="L98" s="83"/>
      <c r="M98" s="83"/>
      <c r="N98" s="83"/>
      <c r="O98" s="83"/>
      <c r="P98" s="216"/>
      <c r="Q98" s="216"/>
      <c r="R98" s="216"/>
      <c r="S98" s="216"/>
      <c r="T98" s="216"/>
      <c r="U98" s="216"/>
      <c r="V98" s="216"/>
      <c r="W98" s="216"/>
      <c r="X98" s="216"/>
      <c r="Y98" s="216"/>
      <c r="Z98" s="216"/>
      <c r="AA98" s="216"/>
      <c r="AB98" s="216"/>
      <c r="AC98" s="216"/>
      <c r="AD98" s="216"/>
      <c r="AE98" s="216"/>
      <c r="AF98" s="152"/>
      <c r="AG98" s="152"/>
      <c r="AH98" s="152"/>
      <c r="AI98" s="152"/>
      <c r="AJ98" s="152"/>
      <c r="AK98" s="96"/>
    </row>
    <row r="99" spans="1:37" ht="20.5" customHeight="1" x14ac:dyDescent="0.2">
      <c r="B99" s="83"/>
      <c r="C99" s="83"/>
      <c r="H99" s="83"/>
      <c r="I99" s="83"/>
      <c r="J99" s="83"/>
      <c r="K99" s="83"/>
      <c r="P99" s="152"/>
      <c r="Q99" s="152"/>
      <c r="R99" s="152"/>
      <c r="S99" s="152"/>
      <c r="T99" s="152"/>
      <c r="U99" s="152"/>
      <c r="V99" s="152"/>
      <c r="W99" s="152"/>
      <c r="X99" s="152"/>
      <c r="Y99" s="152"/>
      <c r="Z99" s="152"/>
      <c r="AA99" s="152"/>
      <c r="AB99" s="152"/>
      <c r="AC99" s="152"/>
      <c r="AD99" s="152"/>
      <c r="AE99" s="152"/>
      <c r="AF99" s="152"/>
      <c r="AG99" s="152"/>
      <c r="AH99" s="152"/>
      <c r="AI99" s="152"/>
      <c r="AJ99" s="152"/>
      <c r="AK99" s="96"/>
    </row>
    <row r="100" spans="1:37" ht="20.5" customHeight="1" x14ac:dyDescent="0.2">
      <c r="B100" s="83"/>
      <c r="C100" s="83"/>
      <c r="H100" s="83"/>
      <c r="I100" s="83"/>
      <c r="J100" s="83"/>
      <c r="K100" s="83"/>
      <c r="P100" s="152"/>
      <c r="Q100" s="152"/>
      <c r="R100" s="152"/>
      <c r="S100" s="152"/>
      <c r="T100" s="152"/>
      <c r="U100" s="152"/>
      <c r="V100" s="152"/>
      <c r="W100" s="152"/>
      <c r="X100" s="152"/>
      <c r="Y100" s="152"/>
      <c r="Z100" s="152"/>
      <c r="AA100" s="152"/>
      <c r="AB100" s="152"/>
      <c r="AC100" s="152"/>
      <c r="AD100" s="152"/>
      <c r="AE100" s="152"/>
      <c r="AF100" s="152"/>
      <c r="AG100" s="152"/>
      <c r="AH100" s="152"/>
      <c r="AI100" s="152"/>
      <c r="AJ100" s="152"/>
      <c r="AK100" s="96"/>
    </row>
    <row r="101" spans="1:37" ht="20.5" customHeight="1" x14ac:dyDescent="0.2">
      <c r="B101" s="83"/>
      <c r="C101" s="83"/>
      <c r="H101" s="83"/>
      <c r="I101" s="83"/>
      <c r="J101" s="83"/>
      <c r="K101" s="83"/>
      <c r="P101" s="152"/>
      <c r="Q101" s="152"/>
      <c r="R101" s="152"/>
      <c r="S101" s="152"/>
      <c r="T101" s="152"/>
      <c r="U101" s="152"/>
      <c r="V101" s="152"/>
      <c r="W101" s="152"/>
      <c r="X101" s="152"/>
      <c r="Y101" s="152"/>
      <c r="Z101" s="152"/>
      <c r="AA101" s="152"/>
      <c r="AB101" s="152"/>
      <c r="AC101" s="152"/>
      <c r="AD101" s="152"/>
      <c r="AE101" s="152"/>
      <c r="AF101" s="152"/>
      <c r="AG101" s="152"/>
      <c r="AH101" s="152"/>
      <c r="AI101" s="152"/>
      <c r="AJ101" s="152"/>
      <c r="AK101" s="96"/>
    </row>
    <row r="102" spans="1:37" ht="20.5" customHeight="1" x14ac:dyDescent="0.2">
      <c r="B102" s="83"/>
      <c r="C102" s="83"/>
      <c r="H102" s="83"/>
      <c r="I102" s="83"/>
      <c r="J102" s="83"/>
      <c r="K102" s="83"/>
      <c r="P102" s="152"/>
      <c r="Q102" s="152"/>
      <c r="R102" s="152"/>
      <c r="S102" s="152"/>
      <c r="T102" s="152"/>
      <c r="U102" s="152"/>
      <c r="V102" s="152"/>
      <c r="W102" s="152"/>
      <c r="X102" s="152"/>
      <c r="Y102" s="152"/>
      <c r="Z102" s="152"/>
      <c r="AA102" s="152"/>
      <c r="AB102" s="152"/>
      <c r="AC102" s="152"/>
      <c r="AD102" s="152"/>
      <c r="AE102" s="152"/>
      <c r="AF102" s="152"/>
      <c r="AG102" s="152"/>
      <c r="AH102" s="152"/>
      <c r="AI102" s="152"/>
      <c r="AJ102" s="152"/>
      <c r="AK102" s="96"/>
    </row>
    <row r="103" spans="1:37" ht="20.5" customHeight="1" x14ac:dyDescent="0.2">
      <c r="P103" s="152"/>
      <c r="Q103" s="152"/>
      <c r="R103" s="152"/>
      <c r="S103" s="152"/>
      <c r="T103" s="152"/>
      <c r="U103" s="152"/>
      <c r="V103" s="152"/>
      <c r="W103" s="152"/>
      <c r="X103" s="152"/>
      <c r="Y103" s="152"/>
      <c r="Z103" s="152"/>
      <c r="AA103" s="152"/>
      <c r="AB103" s="152"/>
      <c r="AC103" s="152"/>
      <c r="AD103" s="152"/>
      <c r="AE103" s="152"/>
      <c r="AF103" s="152"/>
      <c r="AG103" s="152"/>
      <c r="AH103" s="152"/>
      <c r="AI103" s="152"/>
      <c r="AJ103" s="152"/>
      <c r="AK103" s="96"/>
    </row>
    <row r="104" spans="1:37" ht="20.5" customHeight="1" x14ac:dyDescent="0.2">
      <c r="P104" s="152"/>
      <c r="Q104" s="152"/>
      <c r="R104" s="152"/>
      <c r="S104" s="152"/>
      <c r="T104" s="152"/>
      <c r="U104" s="152"/>
      <c r="V104" s="152"/>
      <c r="W104" s="152"/>
      <c r="X104" s="152"/>
      <c r="Y104" s="152"/>
      <c r="Z104" s="152"/>
      <c r="AA104" s="152"/>
      <c r="AB104" s="152"/>
      <c r="AC104" s="152"/>
      <c r="AD104" s="152"/>
      <c r="AE104" s="152"/>
      <c r="AF104" s="152"/>
      <c r="AG104" s="152"/>
      <c r="AH104" s="152"/>
      <c r="AI104" s="152"/>
      <c r="AJ104" s="152"/>
      <c r="AK104" s="96"/>
    </row>
    <row r="105" spans="1:37" ht="20.5" customHeight="1" x14ac:dyDescent="0.2">
      <c r="P105" s="152"/>
      <c r="Q105" s="152"/>
      <c r="R105" s="152"/>
      <c r="S105" s="152"/>
      <c r="T105" s="152"/>
      <c r="U105" s="152"/>
      <c r="V105" s="152"/>
      <c r="W105" s="152"/>
      <c r="X105" s="152"/>
      <c r="Y105" s="152"/>
      <c r="Z105" s="152"/>
      <c r="AA105" s="152"/>
      <c r="AB105" s="152"/>
      <c r="AC105" s="152"/>
      <c r="AD105" s="152"/>
      <c r="AE105" s="152"/>
      <c r="AF105" s="152"/>
      <c r="AG105" s="152"/>
      <c r="AH105" s="152"/>
      <c r="AI105" s="152"/>
      <c r="AJ105" s="152"/>
      <c r="AK105" s="96"/>
    </row>
    <row r="106" spans="1:37" ht="20.5" customHeight="1" x14ac:dyDescent="0.2">
      <c r="P106" s="152"/>
      <c r="Q106" s="152"/>
      <c r="R106" s="152"/>
      <c r="S106" s="152"/>
      <c r="T106" s="152"/>
      <c r="U106" s="152"/>
      <c r="V106" s="152"/>
      <c r="W106" s="152"/>
      <c r="X106" s="152"/>
      <c r="Y106" s="152"/>
      <c r="Z106" s="152"/>
      <c r="AA106" s="152"/>
      <c r="AB106" s="152"/>
      <c r="AC106" s="152"/>
      <c r="AD106" s="152"/>
      <c r="AE106" s="152"/>
      <c r="AF106" s="152"/>
      <c r="AG106" s="152"/>
      <c r="AH106" s="152"/>
      <c r="AI106" s="152"/>
      <c r="AJ106" s="152"/>
      <c r="AK106" s="96"/>
    </row>
    <row r="107" spans="1:37" ht="20.5" customHeight="1" x14ac:dyDescent="0.2">
      <c r="P107" s="152"/>
      <c r="Q107" s="152"/>
      <c r="R107" s="152"/>
      <c r="S107" s="152"/>
      <c r="T107" s="152"/>
      <c r="U107" s="152"/>
      <c r="V107" s="152"/>
      <c r="W107" s="152"/>
      <c r="X107" s="152"/>
      <c r="Y107" s="152"/>
      <c r="Z107" s="152"/>
      <c r="AA107" s="152"/>
      <c r="AB107" s="152"/>
      <c r="AC107" s="152"/>
      <c r="AD107" s="152"/>
      <c r="AE107" s="152"/>
      <c r="AF107" s="152"/>
      <c r="AG107" s="152"/>
      <c r="AH107" s="152"/>
      <c r="AI107" s="152"/>
      <c r="AJ107" s="152"/>
      <c r="AK107" s="96"/>
    </row>
    <row r="108" spans="1:37" ht="20.5" customHeight="1" x14ac:dyDescent="0.2">
      <c r="P108" s="152"/>
      <c r="Q108" s="152"/>
      <c r="R108" s="152"/>
      <c r="S108" s="152"/>
      <c r="T108" s="152"/>
      <c r="U108" s="152"/>
      <c r="V108" s="152"/>
      <c r="W108" s="152"/>
      <c r="X108" s="152"/>
      <c r="Y108" s="152"/>
      <c r="Z108" s="152"/>
      <c r="AA108" s="152"/>
      <c r="AB108" s="152"/>
      <c r="AC108" s="152"/>
      <c r="AD108" s="152"/>
      <c r="AE108" s="152"/>
      <c r="AF108" s="152"/>
      <c r="AG108" s="152"/>
      <c r="AH108" s="152"/>
      <c r="AI108" s="152"/>
      <c r="AJ108" s="152"/>
      <c r="AK108" s="96"/>
    </row>
    <row r="109" spans="1:37" ht="20.5" customHeight="1" x14ac:dyDescent="0.2">
      <c r="P109" s="152"/>
      <c r="Q109" s="152"/>
      <c r="R109" s="152"/>
      <c r="S109" s="152"/>
      <c r="T109" s="152"/>
      <c r="U109" s="152"/>
      <c r="V109" s="152"/>
      <c r="W109" s="152"/>
      <c r="X109" s="152"/>
      <c r="Y109" s="152"/>
      <c r="Z109" s="152"/>
      <c r="AA109" s="152"/>
      <c r="AB109" s="152"/>
      <c r="AC109" s="152"/>
      <c r="AD109" s="152"/>
      <c r="AE109" s="152"/>
      <c r="AF109" s="152"/>
      <c r="AG109" s="152"/>
      <c r="AH109" s="152"/>
      <c r="AI109" s="152"/>
      <c r="AJ109" s="152"/>
      <c r="AK109" s="96"/>
    </row>
    <row r="110" spans="1:37" ht="20.5" customHeight="1" x14ac:dyDescent="0.2">
      <c r="P110" s="152"/>
      <c r="Q110" s="152"/>
      <c r="R110" s="152"/>
      <c r="S110" s="152"/>
      <c r="T110" s="152"/>
      <c r="U110" s="152"/>
      <c r="V110" s="152"/>
      <c r="W110" s="152"/>
      <c r="X110" s="152"/>
      <c r="Y110" s="152"/>
      <c r="Z110" s="152"/>
      <c r="AA110" s="152"/>
      <c r="AB110" s="152"/>
      <c r="AC110" s="152"/>
      <c r="AD110" s="152"/>
      <c r="AE110" s="152"/>
      <c r="AF110" s="152"/>
      <c r="AG110" s="152"/>
      <c r="AH110" s="152"/>
      <c r="AI110" s="152"/>
      <c r="AJ110" s="152"/>
      <c r="AK110" s="96"/>
    </row>
    <row r="111" spans="1:37" ht="20.5" customHeight="1" x14ac:dyDescent="0.2">
      <c r="P111" s="152"/>
      <c r="Q111" s="152"/>
      <c r="R111" s="152"/>
      <c r="S111" s="152"/>
      <c r="T111" s="152"/>
      <c r="U111" s="152"/>
      <c r="V111" s="152"/>
      <c r="W111" s="152"/>
      <c r="X111" s="152"/>
      <c r="Y111" s="152"/>
      <c r="Z111" s="152"/>
      <c r="AA111" s="152"/>
      <c r="AB111" s="152"/>
      <c r="AC111" s="152"/>
      <c r="AD111" s="152"/>
      <c r="AE111" s="152"/>
      <c r="AF111" s="152"/>
      <c r="AG111" s="152"/>
      <c r="AH111" s="152"/>
      <c r="AI111" s="152"/>
      <c r="AJ111" s="152"/>
      <c r="AK111" s="96"/>
    </row>
    <row r="112" spans="1:37" ht="20.5" customHeight="1" x14ac:dyDescent="0.2">
      <c r="P112" s="152"/>
      <c r="Q112" s="152"/>
      <c r="R112" s="152"/>
      <c r="S112" s="152"/>
      <c r="T112" s="152"/>
      <c r="U112" s="152"/>
      <c r="V112" s="152"/>
      <c r="W112" s="152"/>
      <c r="X112" s="152"/>
      <c r="Y112" s="152"/>
      <c r="Z112" s="152"/>
      <c r="AA112" s="152"/>
      <c r="AB112" s="152"/>
      <c r="AC112" s="152"/>
      <c r="AD112" s="152"/>
      <c r="AE112" s="152"/>
      <c r="AF112" s="152"/>
      <c r="AG112" s="152"/>
      <c r="AH112" s="152"/>
      <c r="AI112" s="152"/>
      <c r="AJ112" s="152"/>
      <c r="AK112" s="96"/>
    </row>
    <row r="113" spans="16:37" ht="20.5" customHeight="1" x14ac:dyDescent="0.2">
      <c r="P113" s="152"/>
      <c r="Q113" s="152"/>
      <c r="R113" s="152"/>
      <c r="S113" s="152"/>
      <c r="T113" s="152"/>
      <c r="U113" s="152"/>
      <c r="V113" s="152"/>
      <c r="W113" s="152"/>
      <c r="X113" s="152"/>
      <c r="Y113" s="152"/>
      <c r="Z113" s="152"/>
      <c r="AA113" s="152"/>
      <c r="AB113" s="152"/>
      <c r="AC113" s="152"/>
      <c r="AD113" s="152"/>
      <c r="AE113" s="152"/>
      <c r="AF113" s="152"/>
      <c r="AG113" s="152"/>
      <c r="AH113" s="152"/>
      <c r="AI113" s="152"/>
      <c r="AJ113" s="152"/>
      <c r="AK113" s="96"/>
    </row>
    <row r="114" spans="16:37" ht="20.5" customHeight="1" x14ac:dyDescent="0.2">
      <c r="P114" s="152"/>
      <c r="Q114" s="152"/>
      <c r="R114" s="152"/>
      <c r="S114" s="152"/>
      <c r="T114" s="152"/>
      <c r="U114" s="152"/>
      <c r="V114" s="152"/>
      <c r="W114" s="152"/>
      <c r="X114" s="152"/>
      <c r="Y114" s="152"/>
      <c r="Z114" s="152"/>
      <c r="AA114" s="152"/>
      <c r="AB114" s="152"/>
      <c r="AC114" s="152"/>
      <c r="AD114" s="152"/>
      <c r="AE114" s="152"/>
      <c r="AF114" s="152"/>
      <c r="AG114" s="152"/>
      <c r="AH114" s="152"/>
      <c r="AI114" s="152"/>
      <c r="AJ114" s="152"/>
      <c r="AK114" s="96"/>
    </row>
    <row r="115" spans="16:37" ht="20.5" customHeight="1" x14ac:dyDescent="0.2">
      <c r="P115" s="152"/>
      <c r="Q115" s="152"/>
      <c r="R115" s="152"/>
      <c r="S115" s="152"/>
      <c r="T115" s="152"/>
      <c r="U115" s="152"/>
      <c r="V115" s="152"/>
      <c r="W115" s="152"/>
      <c r="X115" s="152"/>
      <c r="Y115" s="152"/>
      <c r="Z115" s="152"/>
      <c r="AA115" s="152"/>
      <c r="AB115" s="152"/>
      <c r="AC115" s="152"/>
      <c r="AD115" s="152"/>
      <c r="AE115" s="152"/>
      <c r="AF115" s="152"/>
      <c r="AG115" s="152"/>
      <c r="AH115" s="152"/>
      <c r="AI115" s="152"/>
      <c r="AJ115" s="152"/>
      <c r="AK115" s="96"/>
    </row>
    <row r="116" spans="16:37" ht="20.5" customHeight="1" x14ac:dyDescent="0.2">
      <c r="P116" s="152"/>
      <c r="Q116" s="152"/>
      <c r="R116" s="152"/>
      <c r="S116" s="152"/>
      <c r="T116" s="152"/>
      <c r="U116" s="152"/>
      <c r="V116" s="152"/>
      <c r="W116" s="152"/>
      <c r="X116" s="152"/>
      <c r="Y116" s="152"/>
      <c r="Z116" s="152"/>
      <c r="AA116" s="152"/>
      <c r="AB116" s="152"/>
      <c r="AC116" s="152"/>
      <c r="AD116" s="152"/>
      <c r="AE116" s="152"/>
      <c r="AF116" s="152"/>
      <c r="AG116" s="152"/>
      <c r="AH116" s="152"/>
      <c r="AI116" s="152"/>
      <c r="AJ116" s="152"/>
      <c r="AK116" s="96"/>
    </row>
    <row r="117" spans="16:37" ht="20.5" customHeight="1" x14ac:dyDescent="0.2">
      <c r="P117" s="152"/>
      <c r="Q117" s="152"/>
      <c r="R117" s="152"/>
      <c r="S117" s="152"/>
      <c r="T117" s="152"/>
      <c r="U117" s="152"/>
      <c r="V117" s="152"/>
      <c r="W117" s="152"/>
      <c r="X117" s="152"/>
      <c r="Y117" s="152"/>
      <c r="Z117" s="152"/>
      <c r="AA117" s="152"/>
      <c r="AB117" s="152"/>
      <c r="AC117" s="152"/>
      <c r="AD117" s="152"/>
      <c r="AE117" s="152"/>
      <c r="AF117" s="152"/>
      <c r="AG117" s="152"/>
      <c r="AH117" s="152"/>
      <c r="AI117" s="152"/>
      <c r="AJ117" s="152"/>
      <c r="AK117" s="96"/>
    </row>
    <row r="118" spans="16:37" ht="20.5" customHeight="1" x14ac:dyDescent="0.2">
      <c r="P118" s="152"/>
      <c r="Q118" s="152"/>
      <c r="R118" s="152"/>
      <c r="S118" s="152"/>
      <c r="T118" s="152"/>
      <c r="U118" s="152"/>
      <c r="V118" s="152"/>
      <c r="W118" s="152"/>
      <c r="X118" s="152"/>
      <c r="Y118" s="152"/>
      <c r="Z118" s="152"/>
      <c r="AA118" s="152"/>
      <c r="AB118" s="152"/>
      <c r="AC118" s="152"/>
      <c r="AD118" s="152"/>
      <c r="AE118" s="152"/>
      <c r="AF118" s="152"/>
      <c r="AG118" s="152"/>
      <c r="AH118" s="152"/>
      <c r="AI118" s="152"/>
      <c r="AJ118" s="152"/>
      <c r="AK118" s="96"/>
    </row>
    <row r="119" spans="16:37" ht="20.5" customHeight="1" x14ac:dyDescent="0.2">
      <c r="P119" s="152"/>
      <c r="Q119" s="152"/>
      <c r="R119" s="152"/>
      <c r="S119" s="152"/>
      <c r="T119" s="152"/>
      <c r="U119" s="152"/>
      <c r="V119" s="152"/>
      <c r="W119" s="152"/>
      <c r="X119" s="152"/>
      <c r="Y119" s="152"/>
      <c r="Z119" s="152"/>
      <c r="AA119" s="152"/>
      <c r="AB119" s="152"/>
      <c r="AC119" s="152"/>
      <c r="AD119" s="152"/>
      <c r="AE119" s="152"/>
    </row>
    <row r="120" spans="16:37" ht="20.5" customHeight="1" x14ac:dyDescent="0.2">
      <c r="P120" s="152"/>
      <c r="Q120" s="152"/>
      <c r="R120" s="152"/>
      <c r="S120" s="152"/>
      <c r="T120" s="152"/>
      <c r="U120" s="152"/>
      <c r="V120" s="152"/>
      <c r="W120" s="152"/>
      <c r="X120" s="152"/>
      <c r="Y120" s="152"/>
      <c r="Z120" s="152"/>
      <c r="AA120" s="152"/>
      <c r="AB120" s="152"/>
      <c r="AC120" s="152"/>
      <c r="AD120" s="152"/>
      <c r="AE120" s="152"/>
    </row>
    <row r="121" spans="16:37" ht="20.5" customHeight="1" x14ac:dyDescent="0.2">
      <c r="P121" s="152"/>
      <c r="Q121" s="152"/>
      <c r="R121" s="152"/>
      <c r="S121" s="152"/>
      <c r="T121" s="152"/>
      <c r="U121" s="152"/>
      <c r="V121" s="152"/>
      <c r="W121" s="152"/>
      <c r="X121" s="152"/>
      <c r="Y121" s="152"/>
      <c r="Z121" s="152"/>
      <c r="AA121" s="152"/>
      <c r="AB121" s="152"/>
      <c r="AC121" s="152"/>
      <c r="AD121" s="152"/>
      <c r="AE121" s="152"/>
    </row>
    <row r="122" spans="16:37" ht="20.5" customHeight="1" x14ac:dyDescent="0.2">
      <c r="P122" s="152"/>
      <c r="Q122" s="152"/>
      <c r="R122" s="152"/>
      <c r="S122" s="152"/>
      <c r="T122" s="152"/>
      <c r="U122" s="152"/>
      <c r="V122" s="152"/>
      <c r="W122" s="152"/>
      <c r="X122" s="152"/>
      <c r="Y122" s="152"/>
      <c r="Z122" s="152"/>
      <c r="AA122" s="152"/>
      <c r="AB122" s="152"/>
      <c r="AC122" s="152"/>
      <c r="AD122" s="152"/>
      <c r="AE122" s="152"/>
    </row>
    <row r="123" spans="16:37" ht="20.5" customHeight="1" x14ac:dyDescent="0.2">
      <c r="P123" s="152"/>
      <c r="Q123" s="152"/>
      <c r="R123" s="152"/>
      <c r="S123" s="152"/>
      <c r="T123" s="152"/>
      <c r="U123" s="152"/>
      <c r="V123" s="152"/>
      <c r="W123" s="152"/>
      <c r="X123" s="152"/>
      <c r="Y123" s="152"/>
      <c r="Z123" s="152"/>
      <c r="AA123" s="152"/>
      <c r="AB123" s="152"/>
      <c r="AC123" s="152"/>
      <c r="AD123" s="152"/>
      <c r="AE123" s="152"/>
    </row>
    <row r="124" spans="16:37" ht="20.5" customHeight="1" x14ac:dyDescent="0.2">
      <c r="P124" s="152"/>
      <c r="Q124" s="152"/>
      <c r="R124" s="152"/>
      <c r="S124" s="152"/>
      <c r="T124" s="152"/>
      <c r="U124" s="152"/>
      <c r="V124" s="152"/>
      <c r="W124" s="152"/>
      <c r="X124" s="152"/>
      <c r="Y124" s="152"/>
      <c r="Z124" s="152"/>
      <c r="AA124" s="152"/>
      <c r="AB124" s="152"/>
      <c r="AC124" s="152"/>
      <c r="AD124" s="152"/>
      <c r="AE124" s="152"/>
    </row>
    <row r="125" spans="16:37" ht="20.5" customHeight="1" x14ac:dyDescent="0.2">
      <c r="P125" s="152"/>
      <c r="Q125" s="152"/>
      <c r="R125" s="152"/>
      <c r="S125" s="152"/>
      <c r="T125" s="152"/>
      <c r="U125" s="152"/>
      <c r="V125" s="152"/>
      <c r="W125" s="152"/>
      <c r="X125" s="152"/>
      <c r="Y125" s="152"/>
      <c r="Z125" s="152"/>
      <c r="AA125" s="152"/>
      <c r="AB125" s="152"/>
      <c r="AC125" s="152"/>
      <c r="AD125" s="152"/>
      <c r="AE125" s="152"/>
    </row>
    <row r="126" spans="16:37" ht="20.5" customHeight="1" x14ac:dyDescent="0.2">
      <c r="P126" s="152"/>
      <c r="Q126" s="152"/>
      <c r="R126" s="152"/>
      <c r="S126" s="152"/>
      <c r="T126" s="152"/>
      <c r="U126" s="152"/>
      <c r="V126" s="152"/>
      <c r="W126" s="152"/>
      <c r="X126" s="152"/>
      <c r="Y126" s="152"/>
      <c r="Z126" s="152"/>
      <c r="AA126" s="152"/>
      <c r="AB126" s="152"/>
      <c r="AC126" s="152"/>
      <c r="AD126" s="152"/>
      <c r="AE126" s="152"/>
    </row>
    <row r="127" spans="16:37" ht="20.5" customHeight="1" x14ac:dyDescent="0.2">
      <c r="P127" s="152"/>
      <c r="Q127" s="152"/>
      <c r="R127" s="152"/>
      <c r="S127" s="152"/>
      <c r="T127" s="152"/>
      <c r="U127" s="152"/>
      <c r="V127" s="152"/>
      <c r="W127" s="152"/>
      <c r="X127" s="152"/>
      <c r="Y127" s="152"/>
      <c r="Z127" s="152"/>
      <c r="AA127" s="152"/>
      <c r="AB127" s="152"/>
      <c r="AC127" s="152"/>
      <c r="AD127" s="152"/>
      <c r="AE127" s="152"/>
    </row>
    <row r="128" spans="16:37" ht="20.5" customHeight="1" x14ac:dyDescent="0.2">
      <c r="P128" s="152"/>
      <c r="Q128" s="152"/>
      <c r="R128" s="152"/>
      <c r="S128" s="152"/>
      <c r="T128" s="152"/>
      <c r="U128" s="152"/>
      <c r="V128" s="152"/>
      <c r="W128" s="152"/>
      <c r="X128" s="152"/>
      <c r="Y128" s="152"/>
      <c r="Z128" s="152"/>
      <c r="AA128" s="152"/>
      <c r="AB128" s="152"/>
      <c r="AC128" s="152"/>
      <c r="AD128" s="152"/>
      <c r="AE128" s="152"/>
    </row>
    <row r="129" spans="16:31" ht="20.5" customHeight="1" x14ac:dyDescent="0.2">
      <c r="P129" s="152"/>
      <c r="Q129" s="152"/>
      <c r="R129" s="152"/>
      <c r="S129" s="152"/>
      <c r="T129" s="152"/>
      <c r="U129" s="152"/>
      <c r="V129" s="152"/>
      <c r="W129" s="152"/>
      <c r="X129" s="152"/>
      <c r="Y129" s="152"/>
      <c r="Z129" s="152"/>
      <c r="AA129" s="152"/>
      <c r="AB129" s="152"/>
      <c r="AC129" s="152"/>
      <c r="AD129" s="152"/>
      <c r="AE129" s="152"/>
    </row>
    <row r="130" spans="16:31" ht="20.5" customHeight="1" x14ac:dyDescent="0.2">
      <c r="P130" s="152"/>
      <c r="Q130" s="152"/>
      <c r="R130" s="152"/>
      <c r="S130" s="152"/>
      <c r="T130" s="152"/>
      <c r="U130" s="152"/>
      <c r="V130" s="152"/>
      <c r="W130" s="152"/>
      <c r="X130" s="152"/>
      <c r="Y130" s="152"/>
      <c r="Z130" s="152"/>
      <c r="AA130" s="152"/>
      <c r="AB130" s="152"/>
      <c r="AC130" s="152"/>
      <c r="AD130" s="152"/>
      <c r="AE130" s="152"/>
    </row>
    <row r="131" spans="16:31" ht="20.5" customHeight="1" x14ac:dyDescent="0.2">
      <c r="P131" s="152"/>
      <c r="Q131" s="152"/>
      <c r="R131" s="152"/>
      <c r="S131" s="152"/>
      <c r="T131" s="152"/>
      <c r="U131" s="152"/>
      <c r="V131" s="152"/>
      <c r="W131" s="152"/>
      <c r="X131" s="152"/>
      <c r="Y131" s="152"/>
      <c r="Z131" s="152"/>
      <c r="AA131" s="152"/>
      <c r="AB131" s="152"/>
      <c r="AC131" s="152"/>
      <c r="AD131" s="152"/>
      <c r="AE131" s="152"/>
    </row>
    <row r="132" spans="16:31" ht="20.5" customHeight="1" x14ac:dyDescent="0.2">
      <c r="P132" s="152"/>
      <c r="Q132" s="152"/>
      <c r="R132" s="152"/>
      <c r="S132" s="152"/>
      <c r="T132" s="152"/>
      <c r="U132" s="152"/>
      <c r="V132" s="152"/>
      <c r="W132" s="152"/>
      <c r="X132" s="152"/>
      <c r="Y132" s="152"/>
      <c r="Z132" s="152"/>
      <c r="AA132" s="152"/>
      <c r="AB132" s="152"/>
      <c r="AC132" s="152"/>
      <c r="AD132" s="152"/>
      <c r="AE132" s="152"/>
    </row>
    <row r="133" spans="16:31" ht="20.5" customHeight="1" x14ac:dyDescent="0.2">
      <c r="P133" s="152"/>
      <c r="Q133" s="152"/>
      <c r="R133" s="152"/>
      <c r="S133" s="152"/>
      <c r="T133" s="152"/>
      <c r="U133" s="152"/>
      <c r="V133" s="152"/>
      <c r="W133" s="152"/>
      <c r="X133" s="152"/>
      <c r="Y133" s="152"/>
      <c r="Z133" s="152"/>
      <c r="AA133" s="152"/>
      <c r="AB133" s="152"/>
      <c r="AC133" s="152"/>
      <c r="AD133" s="152"/>
      <c r="AE133" s="152"/>
    </row>
    <row r="134" spans="16:31" ht="20.5" customHeight="1" x14ac:dyDescent="0.2">
      <c r="P134" s="152"/>
      <c r="Q134" s="152"/>
      <c r="R134" s="152"/>
      <c r="S134" s="152"/>
      <c r="T134" s="152"/>
      <c r="U134" s="152"/>
      <c r="V134" s="152"/>
      <c r="W134" s="152"/>
      <c r="X134" s="152"/>
      <c r="Y134" s="152"/>
      <c r="Z134" s="152"/>
      <c r="AA134" s="152"/>
      <c r="AB134" s="152"/>
      <c r="AC134" s="152"/>
      <c r="AD134" s="152"/>
      <c r="AE134" s="152"/>
    </row>
    <row r="135" spans="16:31" ht="20.5" customHeight="1" x14ac:dyDescent="0.2"/>
    <row r="136" spans="16:31" ht="20.5" customHeight="1" x14ac:dyDescent="0.2"/>
    <row r="137" spans="16:31" ht="20.5" customHeight="1" x14ac:dyDescent="0.2"/>
    <row r="138" spans="16:31" ht="20.5" customHeight="1" x14ac:dyDescent="0.2"/>
  </sheetData>
  <mergeCells count="41">
    <mergeCell ref="M44:N44"/>
    <mergeCell ref="M42:M43"/>
    <mergeCell ref="N42:N43"/>
    <mergeCell ref="B22:C22"/>
    <mergeCell ref="B41:K41"/>
    <mergeCell ref="B20:C20"/>
    <mergeCell ref="B16:C16"/>
    <mergeCell ref="B17:C17"/>
    <mergeCell ref="B21:C21"/>
    <mergeCell ref="B15:C15"/>
    <mergeCell ref="B19:E19"/>
    <mergeCell ref="B14:C14"/>
    <mergeCell ref="G7:H7"/>
    <mergeCell ref="B7:C7"/>
    <mergeCell ref="B8:C8"/>
    <mergeCell ref="B9:C9"/>
    <mergeCell ref="B10:C10"/>
    <mergeCell ref="B11:C11"/>
    <mergeCell ref="G11:H11"/>
    <mergeCell ref="G10:H10"/>
    <mergeCell ref="G9:H9"/>
    <mergeCell ref="G8:H8"/>
    <mergeCell ref="G13:J13"/>
    <mergeCell ref="I5:J5"/>
    <mergeCell ref="B13:E13"/>
    <mergeCell ref="B5:C5"/>
    <mergeCell ref="B6:C6"/>
    <mergeCell ref="G6:H6"/>
    <mergeCell ref="G5:H5"/>
    <mergeCell ref="G1:H1"/>
    <mergeCell ref="I1:J1"/>
    <mergeCell ref="B1:E1"/>
    <mergeCell ref="B3:E3"/>
    <mergeCell ref="B4:C4"/>
    <mergeCell ref="T42:U42"/>
    <mergeCell ref="V42:W42"/>
    <mergeCell ref="X42:Y42"/>
    <mergeCell ref="Z42:AA42"/>
    <mergeCell ref="P41:AA41"/>
    <mergeCell ref="P42:Q42"/>
    <mergeCell ref="R42:S42"/>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 evalError="1"/>
    <ignoredError sqref="C44:C48" calculatedColumn="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50800</xdr:colOff>
                    <xdr:row>1</xdr:row>
                    <xdr:rowOff>63500</xdr:rowOff>
                  </from>
                  <to>
                    <xdr:col>9</xdr:col>
                    <xdr:colOff>838200</xdr:colOff>
                    <xdr:row>2</xdr:row>
                    <xdr:rowOff>177800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63500</xdr:colOff>
                    <xdr:row>1</xdr:row>
                    <xdr:rowOff>63500</xdr:rowOff>
                  </from>
                  <to>
                    <xdr:col>7</xdr:col>
                    <xdr:colOff>863600</xdr:colOff>
                    <xdr:row>2</xdr:row>
                    <xdr:rowOff>190500</xdr:rowOff>
                  </to>
                </anchor>
              </controlPr>
            </control>
          </mc:Choice>
        </mc:AlternateContent>
        <mc:AlternateContent xmlns:mc="http://schemas.openxmlformats.org/markup-compatibility/2006">
          <mc:Choice Requires="x14">
            <control shapeId="203805" r:id="rId5" name="Button 29">
              <controlPr defaultSize="0" print="0" autoFill="0" autoPict="0" macro="[0]!SAu">
                <anchor moveWithCells="1" sizeWithCells="1">
                  <from>
                    <xdr:col>12</xdr:col>
                    <xdr:colOff>25400</xdr:colOff>
                    <xdr:row>41</xdr:row>
                    <xdr:rowOff>25400</xdr:rowOff>
                  </from>
                  <to>
                    <xdr:col>12</xdr:col>
                    <xdr:colOff>838200</xdr:colOff>
                    <xdr:row>42</xdr:row>
                    <xdr:rowOff>228600</xdr:rowOff>
                  </to>
                </anchor>
              </controlPr>
            </control>
          </mc:Choice>
        </mc:AlternateContent>
        <mc:AlternateContent xmlns:mc="http://schemas.openxmlformats.org/markup-compatibility/2006">
          <mc:Choice Requires="x14">
            <control shapeId="203806" r:id="rId6" name="Button 30">
              <controlPr defaultSize="0" print="0" autoFill="0" autoPict="0" macro="[0]!SAd">
                <anchor moveWithCells="1" sizeWithCells="1">
                  <from>
                    <xdr:col>13</xdr:col>
                    <xdr:colOff>25400</xdr:colOff>
                    <xdr:row>41</xdr:row>
                    <xdr:rowOff>25400</xdr:rowOff>
                  </from>
                  <to>
                    <xdr:col>13</xdr:col>
                    <xdr:colOff>838200</xdr:colOff>
                    <xdr:row>42</xdr:row>
                    <xdr:rowOff>228600</xdr:rowOff>
                  </to>
                </anchor>
              </controlPr>
            </control>
          </mc:Choice>
        </mc:AlternateContent>
        <mc:AlternateContent xmlns:mc="http://schemas.openxmlformats.org/markup-compatibility/2006">
          <mc:Choice Requires="x14">
            <control shapeId="203807" r:id="rId7" name="Button 31">
              <controlPr defaultSize="0" print="0" autoFill="0" autoPict="0" macro="[0]!SA">
                <anchor moveWithCells="1" sizeWithCells="1">
                  <from>
                    <xdr:col>12</xdr:col>
                    <xdr:colOff>25400</xdr:colOff>
                    <xdr:row>44</xdr:row>
                    <xdr:rowOff>25400</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B2" sqref="B2:K2"/>
    </sheetView>
  </sheetViews>
  <sheetFormatPr baseColWidth="10" defaultColWidth="8.83203125" defaultRowHeight="15" x14ac:dyDescent="0.2"/>
  <cols>
    <col min="1" max="1" width="2.83203125" customWidth="1"/>
    <col min="2" max="4" width="17.5" style="96" customWidth="1"/>
    <col min="5" max="5" width="2.83203125" customWidth="1"/>
    <col min="6" max="7" width="17.5" customWidth="1"/>
    <col min="8" max="8" width="2.83203125" customWidth="1"/>
    <col min="9" max="11" width="8.33203125" customWidth="1"/>
    <col min="14" max="14" width="10.6640625" customWidth="1"/>
  </cols>
  <sheetData>
    <row r="2" spans="2:14" ht="19" x14ac:dyDescent="0.2">
      <c r="B2" s="914" t="str">
        <f>+'Plant Overview'!E6&amp;": Input to SSM"</f>
        <v>GSR-LT: Input to SSM</v>
      </c>
      <c r="C2" s="915"/>
      <c r="D2" s="915"/>
      <c r="E2" s="915"/>
      <c r="F2" s="915"/>
      <c r="G2" s="915"/>
      <c r="H2" s="915"/>
      <c r="I2" s="915"/>
      <c r="J2" s="915"/>
      <c r="K2" s="916"/>
    </row>
    <row r="4" spans="2:14" ht="17.5" customHeight="1" x14ac:dyDescent="0.2">
      <c r="B4" s="593" t="s">
        <v>303</v>
      </c>
      <c r="C4" s="594" t="s">
        <v>74</v>
      </c>
      <c r="D4" s="595" t="s">
        <v>75</v>
      </c>
      <c r="F4" s="1068" t="str">
        <f>+'Plant Overview'!D5</f>
        <v>Cost Estimate Details</v>
      </c>
      <c r="G4" s="1069"/>
      <c r="I4" s="1070" t="s">
        <v>146</v>
      </c>
      <c r="J4" s="1071"/>
      <c r="K4" s="596"/>
    </row>
    <row r="5" spans="2:14" ht="17.5" customHeight="1" x14ac:dyDescent="0.2">
      <c r="C5" s="597"/>
      <c r="F5" s="99" t="str">
        <f>+'Plant Overview'!D7</f>
        <v>Location</v>
      </c>
      <c r="G5" s="182" t="str">
        <f>+'Plant Overview'!E7</f>
        <v>US Midwest</v>
      </c>
      <c r="I5" s="598"/>
      <c r="J5" s="210"/>
      <c r="K5" s="210"/>
    </row>
    <row r="6" spans="2:14" ht="17.5" customHeight="1" x14ac:dyDescent="0.2">
      <c r="F6" s="99" t="str">
        <f>+'Plant Overview'!D8</f>
        <v>Year</v>
      </c>
      <c r="G6" s="99">
        <f>+'Plant Overview'!E8</f>
        <v>2024</v>
      </c>
      <c r="I6" s="1072" t="s">
        <v>863</v>
      </c>
      <c r="J6" s="227" t="s">
        <v>129</v>
      </c>
      <c r="K6" s="228" t="s">
        <v>130</v>
      </c>
      <c r="N6" s="1067"/>
    </row>
    <row r="7" spans="2:14" ht="17.5" customHeight="1" x14ac:dyDescent="0.2">
      <c r="F7" s="173" t="str">
        <f>+'Plant Overview'!D9</f>
        <v xml:space="preserve"> Currency</v>
      </c>
      <c r="G7" s="173" t="str">
        <f>+'Plant Overview'!E9</f>
        <v>$</v>
      </c>
      <c r="I7" s="1073"/>
      <c r="J7" s="86"/>
      <c r="K7" s="86"/>
      <c r="N7" s="1067"/>
    </row>
    <row r="8" spans="2:14" ht="17.5" customHeight="1" x14ac:dyDescent="0.2">
      <c r="I8" s="366"/>
    </row>
    <row r="9" spans="2:14" ht="17.5" customHeight="1" x14ac:dyDescent="0.2">
      <c r="F9" s="833" t="s">
        <v>82</v>
      </c>
      <c r="G9" s="834"/>
      <c r="H9" s="834"/>
      <c r="I9" s="834"/>
      <c r="J9" s="834"/>
      <c r="K9" s="835"/>
    </row>
    <row r="10" spans="2:14" ht="17.5" customHeight="1" x14ac:dyDescent="0.2">
      <c r="F10" s="836"/>
      <c r="G10" s="882"/>
      <c r="H10" s="882"/>
      <c r="I10" s="882"/>
      <c r="J10" s="882"/>
      <c r="K10" s="883"/>
    </row>
    <row r="11" spans="2:14" ht="17.5" customHeight="1" x14ac:dyDescent="0.2">
      <c r="F11" s="884"/>
      <c r="G11" s="885"/>
      <c r="H11" s="885"/>
      <c r="I11" s="885"/>
      <c r="J11" s="885"/>
      <c r="K11" s="886"/>
    </row>
    <row r="12" spans="2:14" ht="17.5" customHeight="1" x14ac:dyDescent="0.2">
      <c r="F12" s="887"/>
      <c r="G12" s="888"/>
      <c r="H12" s="888"/>
      <c r="I12" s="888"/>
      <c r="J12" s="888"/>
      <c r="K12" s="889"/>
    </row>
    <row r="13" spans="2:14" ht="17.5" customHeight="1" x14ac:dyDescent="0.2"/>
    <row r="14" spans="2:14" ht="17.5" customHeight="1" x14ac:dyDescent="0.2"/>
    <row r="15" spans="2:14" ht="17.5" customHeight="1" x14ac:dyDescent="0.2"/>
    <row r="16" spans="2:14" ht="17.5" customHeight="1" x14ac:dyDescent="0.2"/>
    <row r="17" ht="17.5" customHeight="1" x14ac:dyDescent="0.2"/>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25400</xdr:colOff>
                    <xdr:row>6</xdr:row>
                    <xdr:rowOff>12700</xdr:rowOff>
                  </from>
                  <to>
                    <xdr:col>9</xdr:col>
                    <xdr:colOff>558800</xdr:colOff>
                    <xdr:row>6</xdr:row>
                    <xdr:rowOff>215900</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25400</xdr:colOff>
                    <xdr:row>6</xdr:row>
                    <xdr:rowOff>25400</xdr:rowOff>
                  </from>
                  <to>
                    <xdr:col>10</xdr:col>
                    <xdr:colOff>558800</xdr:colOff>
                    <xdr:row>6</xdr:row>
                    <xdr:rowOff>215900</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25400</xdr:colOff>
                    <xdr:row>3</xdr:row>
                    <xdr:rowOff>12700</xdr:rowOff>
                  </from>
                  <to>
                    <xdr:col>10</xdr:col>
                    <xdr:colOff>558800</xdr:colOff>
                    <xdr:row>3</xdr:row>
                    <xdr:rowOff>215900</xdr:rowOff>
                  </to>
                </anchor>
              </controlPr>
            </control>
          </mc:Choice>
        </mc:AlternateContent>
      </controls>
    </mc:Choice>
  </mc:AlternateContent>
  <tableParts count="1">
    <tablePart r:id="rId7"/>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U44"/>
  <sheetViews>
    <sheetView showGridLines="0" zoomScale="55" zoomScaleNormal="55" workbookViewId="0">
      <selection activeCell="J39" sqref="J39"/>
    </sheetView>
  </sheetViews>
  <sheetFormatPr baseColWidth="10" defaultColWidth="11.5" defaultRowHeight="15" x14ac:dyDescent="0.2"/>
  <cols>
    <col min="1" max="1" width="4.1640625" customWidth="1"/>
    <col min="2" max="21" width="23.5" customWidth="1"/>
    <col min="23" max="23" width="15" customWidth="1"/>
    <col min="24" max="24" width="21" bestFit="1" customWidth="1"/>
  </cols>
  <sheetData>
    <row r="1" spans="2:21" ht="20" customHeight="1" x14ac:dyDescent="0.2"/>
    <row r="2" spans="2:21" ht="20" customHeight="1" x14ac:dyDescent="0.2">
      <c r="B2" s="183" t="s">
        <v>864</v>
      </c>
      <c r="C2" s="183"/>
      <c r="D2" s="183"/>
      <c r="E2" s="183"/>
      <c r="F2" s="183"/>
      <c r="G2" s="183"/>
      <c r="H2" s="183"/>
      <c r="I2" s="183"/>
      <c r="J2" s="183"/>
      <c r="K2" s="183"/>
      <c r="L2" s="185"/>
      <c r="M2" s="185"/>
      <c r="O2" s="920" t="s">
        <v>534</v>
      </c>
      <c r="P2" s="1074"/>
      <c r="Q2" s="1074"/>
      <c r="R2" s="921"/>
      <c r="T2" s="920" t="s">
        <v>40</v>
      </c>
      <c r="U2" s="921"/>
    </row>
    <row r="3" spans="2:21" ht="20" customHeight="1" x14ac:dyDescent="0.2">
      <c r="B3" s="1075" t="s">
        <v>865</v>
      </c>
      <c r="C3" s="1075"/>
      <c r="D3" s="1075"/>
      <c r="E3" s="1076"/>
      <c r="F3" s="1076"/>
      <c r="G3" s="1076"/>
      <c r="H3" s="1076"/>
      <c r="I3" s="1076"/>
      <c r="J3" s="1076"/>
      <c r="K3" s="183"/>
      <c r="L3" s="1062" t="s">
        <v>866</v>
      </c>
      <c r="M3" s="1063"/>
      <c r="N3" s="183"/>
      <c r="O3" s="276"/>
      <c r="P3" s="151"/>
      <c r="Q3" s="190" t="s">
        <v>144</v>
      </c>
      <c r="R3" s="191" t="s">
        <v>145</v>
      </c>
      <c r="T3" s="85"/>
      <c r="U3" s="324" t="s">
        <v>43</v>
      </c>
    </row>
    <row r="4" spans="2:21" ht="20" customHeight="1" x14ac:dyDescent="0.2">
      <c r="B4" s="352" t="s">
        <v>146</v>
      </c>
      <c r="C4" s="424" t="s">
        <v>867</v>
      </c>
      <c r="D4" s="462"/>
      <c r="E4" s="382"/>
      <c r="F4" s="356"/>
      <c r="G4" s="356"/>
      <c r="H4" s="356"/>
      <c r="I4" s="356"/>
      <c r="J4" s="357"/>
      <c r="K4" s="340"/>
      <c r="L4" s="354" t="s">
        <v>129</v>
      </c>
      <c r="M4" s="353"/>
      <c r="N4" s="340"/>
      <c r="O4" s="273"/>
      <c r="P4" s="97"/>
      <c r="Q4" s="169" t="s">
        <v>148</v>
      </c>
      <c r="R4" s="86" t="s">
        <v>149</v>
      </c>
      <c r="T4" s="184"/>
      <c r="U4" s="324" t="s">
        <v>49</v>
      </c>
    </row>
    <row r="5" spans="2:21" ht="20" customHeight="1" x14ac:dyDescent="0.2">
      <c r="B5" s="979"/>
      <c r="C5" s="417" t="s">
        <v>2</v>
      </c>
      <c r="D5" s="462"/>
      <c r="E5" s="383"/>
      <c r="F5" s="345"/>
      <c r="G5" s="345"/>
      <c r="H5" s="345"/>
      <c r="I5" s="345"/>
      <c r="J5" s="358"/>
      <c r="K5" s="340"/>
      <c r="L5" s="355" t="s">
        <v>130</v>
      </c>
      <c r="M5" s="353"/>
      <c r="N5" s="340"/>
      <c r="O5" s="273"/>
      <c r="P5" s="97"/>
      <c r="Q5" s="190" t="s">
        <v>151</v>
      </c>
      <c r="R5" s="191" t="s">
        <v>152</v>
      </c>
      <c r="T5" s="94"/>
      <c r="U5" s="98" t="s">
        <v>51</v>
      </c>
    </row>
    <row r="6" spans="2:21" ht="20" customHeight="1" x14ac:dyDescent="0.2">
      <c r="B6" s="1077"/>
      <c r="C6" s="424" t="s">
        <v>83</v>
      </c>
      <c r="D6" s="462"/>
      <c r="E6" s="383"/>
      <c r="F6" s="345"/>
      <c r="G6" s="345"/>
      <c r="H6" s="345"/>
      <c r="I6" s="345"/>
      <c r="J6" s="358"/>
      <c r="K6" s="340"/>
      <c r="L6" s="340"/>
      <c r="M6" s="340"/>
      <c r="N6" s="340"/>
      <c r="O6" s="273"/>
      <c r="P6" s="97"/>
      <c r="Q6" s="190" t="s">
        <v>155</v>
      </c>
      <c r="R6" s="191" t="s">
        <v>156</v>
      </c>
      <c r="T6" s="108"/>
      <c r="U6" s="310" t="s">
        <v>54</v>
      </c>
    </row>
    <row r="7" spans="2:21" ht="20" customHeight="1" x14ac:dyDescent="0.2">
      <c r="B7" s="980"/>
      <c r="C7" s="461" t="s">
        <v>153</v>
      </c>
      <c r="D7" s="462"/>
      <c r="E7" s="384"/>
      <c r="F7" s="359"/>
      <c r="G7" s="359"/>
      <c r="H7" s="359"/>
      <c r="I7" s="359"/>
      <c r="J7" s="360"/>
      <c r="K7" s="340"/>
      <c r="L7" s="340"/>
      <c r="M7" s="340"/>
      <c r="N7" s="340"/>
      <c r="O7" s="274"/>
      <c r="P7" s="98"/>
      <c r="Q7" s="190" t="s">
        <v>157</v>
      </c>
      <c r="R7" s="191" t="s">
        <v>158</v>
      </c>
    </row>
    <row r="8" spans="2:21" ht="20" customHeight="1" x14ac:dyDescent="0.2">
      <c r="B8" s="174">
        <v>1</v>
      </c>
      <c r="S8" s="342"/>
      <c r="T8" s="341"/>
    </row>
    <row r="9" spans="2:21" ht="20" customHeight="1" x14ac:dyDescent="0.2">
      <c r="B9" s="169" t="s">
        <v>868</v>
      </c>
      <c r="C9" s="920"/>
      <c r="D9" s="1074"/>
      <c r="E9" s="1074"/>
      <c r="F9" s="1074"/>
      <c r="G9" s="1074"/>
      <c r="H9" s="1074"/>
      <c r="I9" s="1074"/>
      <c r="J9" s="1074"/>
      <c r="K9" s="1074"/>
      <c r="L9" s="1074"/>
      <c r="M9" s="1074"/>
      <c r="N9" s="1074"/>
      <c r="O9" s="1074"/>
      <c r="P9" s="1074"/>
      <c r="Q9" s="1074"/>
      <c r="R9" s="1074"/>
      <c r="S9" s="1074"/>
      <c r="T9" s="1074"/>
      <c r="U9" s="921"/>
    </row>
    <row r="10" spans="2:21" ht="20" customHeight="1" x14ac:dyDescent="0.2">
      <c r="B10" s="917" t="s">
        <v>869</v>
      </c>
      <c r="C10" s="918"/>
      <c r="D10" s="918"/>
      <c r="E10" s="918"/>
      <c r="F10" s="918"/>
      <c r="G10" s="918"/>
      <c r="H10" s="918"/>
      <c r="I10" s="919"/>
      <c r="J10" s="917" t="s">
        <v>870</v>
      </c>
      <c r="K10" s="918"/>
      <c r="L10" s="918"/>
      <c r="M10" s="918"/>
      <c r="N10" s="918"/>
      <c r="O10" s="918"/>
      <c r="P10" s="918"/>
      <c r="Q10" s="918"/>
      <c r="R10" s="919"/>
      <c r="S10" s="917" t="s">
        <v>600</v>
      </c>
      <c r="T10" s="918"/>
      <c r="U10" s="919"/>
    </row>
    <row r="11" spans="2:21" ht="20" customHeight="1" x14ac:dyDescent="0.2">
      <c r="B11" s="424" t="s">
        <v>569</v>
      </c>
      <c r="C11" s="403" t="s">
        <v>871</v>
      </c>
      <c r="D11" s="424" t="s">
        <v>225</v>
      </c>
      <c r="E11" s="429" t="s">
        <v>226</v>
      </c>
      <c r="F11" s="429" t="s">
        <v>50</v>
      </c>
      <c r="G11" s="429" t="s">
        <v>227</v>
      </c>
      <c r="H11" s="424" t="s">
        <v>228</v>
      </c>
      <c r="I11" s="416" t="s">
        <v>75</v>
      </c>
      <c r="J11" s="415" t="s">
        <v>155</v>
      </c>
      <c r="K11" s="415" t="s">
        <v>157</v>
      </c>
      <c r="L11" s="422" t="s">
        <v>229</v>
      </c>
      <c r="M11" s="423" t="s">
        <v>230</v>
      </c>
      <c r="N11" s="419" t="s">
        <v>231</v>
      </c>
      <c r="O11" s="497" t="s">
        <v>872</v>
      </c>
      <c r="P11" s="497" t="s">
        <v>873</v>
      </c>
      <c r="Q11" s="423" t="s">
        <v>151</v>
      </c>
      <c r="R11" s="420" t="s">
        <v>274</v>
      </c>
      <c r="S11" s="497" t="s">
        <v>874</v>
      </c>
      <c r="T11" s="424" t="s">
        <v>2</v>
      </c>
      <c r="U11" s="460" t="s">
        <v>82</v>
      </c>
    </row>
    <row r="12" spans="2:21" ht="20" customHeight="1" x14ac:dyDescent="0.2">
      <c r="B12" s="276" t="s">
        <v>875</v>
      </c>
      <c r="C12" s="277" t="s">
        <v>876</v>
      </c>
      <c r="D12" s="277" t="s">
        <v>276</v>
      </c>
      <c r="E12" s="277" t="s">
        <v>53</v>
      </c>
      <c r="F12" s="277">
        <v>2020</v>
      </c>
      <c r="G12" s="277" t="s">
        <v>48</v>
      </c>
      <c r="H12" s="277" t="s">
        <v>877</v>
      </c>
      <c r="I12" s="277" t="s">
        <v>878</v>
      </c>
      <c r="J12" s="276">
        <v>1</v>
      </c>
      <c r="K12" s="277">
        <v>0.8</v>
      </c>
      <c r="L12" s="277">
        <v>1</v>
      </c>
      <c r="M12" s="195">
        <f>+'Plant Overview'!E44</f>
        <v>43.63</v>
      </c>
      <c r="N12" s="195">
        <f ca="1">+'Unit-300 MDEA Absorption'!S52</f>
        <v>70.294242651028199</v>
      </c>
      <c r="O12" s="195">
        <v>100</v>
      </c>
      <c r="P12" s="195">
        <v>10</v>
      </c>
      <c r="Q12" s="277">
        <v>1</v>
      </c>
      <c r="R12" s="175" cm="1">
        <f t="array" aca="1" ref="R12" ca="1">+IF(N12&gt;0,N12*INDIRECT(ADDRESS(MATCH(F12,'Cost Conversion'!$B$3:$B$48,0)+2,4,1,1,"Cost conversion"))*INDIRECT(ADDRESS(MATCH(G12,'Cost Conversion'!$F$3:$F$22,0)+2,8,1,1,"Cost conversion"))/IF(E12="$",'Cost Conversion'!$L$2,1),"")</f>
        <v>71.135802626583555</v>
      </c>
      <c r="S12" s="339"/>
      <c r="T12" s="281"/>
      <c r="U12" s="113"/>
    </row>
    <row r="13" spans="2:21" ht="20" customHeight="1" x14ac:dyDescent="0.2">
      <c r="B13" s="273" t="s">
        <v>545</v>
      </c>
      <c r="C13" s="96" t="s">
        <v>545</v>
      </c>
      <c r="D13" s="96" t="s">
        <v>545</v>
      </c>
      <c r="E13" s="96" t="s">
        <v>236</v>
      </c>
      <c r="F13" s="96">
        <v>2007</v>
      </c>
      <c r="G13" s="96" t="s">
        <v>546</v>
      </c>
      <c r="H13" s="96" t="str">
        <f>+H12</f>
        <v>CO2 captured</v>
      </c>
      <c r="I13" s="96" t="str">
        <f>+I12</f>
        <v>k/g</v>
      </c>
      <c r="J13" s="273">
        <v>1</v>
      </c>
      <c r="K13" s="96">
        <v>0.8</v>
      </c>
      <c r="L13" s="96">
        <v>1</v>
      </c>
      <c r="M13" s="158">
        <v>47.8</v>
      </c>
      <c r="N13" s="158">
        <v>95.984999999999999</v>
      </c>
      <c r="O13" s="96">
        <v>100</v>
      </c>
      <c r="P13" s="96">
        <v>10</v>
      </c>
      <c r="Q13" s="96">
        <v>1</v>
      </c>
      <c r="R13" s="175" cm="1">
        <f t="array" aca="1" ref="R13" ca="1">+IF(N13&gt;0,N13*INDIRECT(ADDRESS(MATCH(F13,'Cost Conversion'!$B$3:$B$48,0)+2,4,1,1,"Cost conversion"))*INDIRECT(ADDRESS(MATCH(G13,'Cost Conversion'!$F$3:$F$22,0)+2,8,1,1,"Cost conversion"))/IF(E13="$",'Cost Conversion'!$L$2,1),"")</f>
        <v>101.10334744956241</v>
      </c>
      <c r="S13" s="273"/>
      <c r="U13" s="84"/>
    </row>
    <row r="14" spans="2:21" ht="20" customHeight="1" x14ac:dyDescent="0.2">
      <c r="B14" s="273" t="s">
        <v>404</v>
      </c>
      <c r="C14" s="96" t="str">
        <f>+B14</f>
        <v>IEAGHG</v>
      </c>
      <c r="D14" s="96" t="s">
        <v>404</v>
      </c>
      <c r="E14" s="96" t="s">
        <v>236</v>
      </c>
      <c r="F14" s="96">
        <v>2014</v>
      </c>
      <c r="G14" s="96" t="s">
        <v>48</v>
      </c>
      <c r="H14" s="96" t="str">
        <f>+H13</f>
        <v>CO2 captured</v>
      </c>
      <c r="I14" s="96" t="str">
        <f>+I13</f>
        <v>k/g</v>
      </c>
      <c r="J14" s="273">
        <v>1</v>
      </c>
      <c r="K14" s="96">
        <v>0.8</v>
      </c>
      <c r="L14" s="96">
        <v>1</v>
      </c>
      <c r="M14" s="158">
        <v>16.68</v>
      </c>
      <c r="N14" s="158">
        <v>17.920999999999999</v>
      </c>
      <c r="O14" s="158">
        <v>100</v>
      </c>
      <c r="P14" s="158">
        <v>10</v>
      </c>
      <c r="Q14" s="96">
        <v>1</v>
      </c>
      <c r="R14" s="175" cm="1">
        <f t="array" aca="1" ref="R14" ca="1">+IF(N14&gt;0,N14*INDIRECT(ADDRESS(MATCH(F14,'Cost Conversion'!$B$3:$B$48,0)+2,4,1,1,"Cost conversion"))*INDIRECT(ADDRESS(MATCH(G14,'Cost Conversion'!$F$3:$F$22,0)+2,8,1,1,"Cost conversion"))/IF(E14="$",'Cost Conversion'!$L$2,1),"")</f>
        <v>16.498071943287261</v>
      </c>
      <c r="S14" s="273"/>
      <c r="U14" s="736" t="s">
        <v>879</v>
      </c>
    </row>
    <row r="15" spans="2:21" ht="20" customHeight="1" x14ac:dyDescent="0.2">
      <c r="B15" s="273"/>
      <c r="C15" s="96"/>
      <c r="D15" s="96"/>
      <c r="E15" s="96"/>
      <c r="F15" s="96"/>
      <c r="G15" s="96"/>
      <c r="H15" s="96"/>
      <c r="I15" s="343"/>
      <c r="J15" s="273"/>
      <c r="K15" s="96"/>
      <c r="L15" s="96"/>
      <c r="M15" s="158"/>
      <c r="N15" s="96"/>
      <c r="O15" s="96"/>
      <c r="P15" s="96"/>
      <c r="Q15" s="96"/>
      <c r="R15" s="175" t="str" cm="1">
        <f t="array" aca="1" ref="R15" ca="1">+IF(N15&gt;0,N15*INDIRECT(ADDRESS(MATCH(F15,'Cost Conversion'!$B$3:$B$48,0)+2,4,1,1,"Cost conversion"))*INDIRECT(ADDRESS(MATCH(G15,'Cost Conversion'!$F$3:$F$22,0)+2,8,1,1,"Cost conversion"))/IF(E15="$",'Cost Conversion'!$L$2,1),"")</f>
        <v/>
      </c>
      <c r="S15" s="273"/>
      <c r="U15" s="84"/>
    </row>
    <row r="16" spans="2:21" ht="20" customHeight="1" x14ac:dyDescent="0.2">
      <c r="B16" s="273"/>
      <c r="C16" s="96"/>
      <c r="D16" s="96"/>
      <c r="E16" s="96"/>
      <c r="F16" s="96"/>
      <c r="G16" s="96"/>
      <c r="H16" s="96"/>
      <c r="I16" s="96"/>
      <c r="J16" s="273"/>
      <c r="K16" s="96"/>
      <c r="L16" s="96"/>
      <c r="M16" s="96"/>
      <c r="N16" s="96"/>
      <c r="O16" s="96"/>
      <c r="P16" s="96"/>
      <c r="Q16" s="96"/>
      <c r="R16" s="175" t="str" cm="1">
        <f t="array" aca="1" ref="R16" ca="1">+IF(N16&gt;0,N16*INDIRECT(ADDRESS(MATCH(F16,'Cost Conversion'!$B$3:$B$48,0)+2,4,1,1,"Cost conversion"))*INDIRECT(ADDRESS(MATCH(G16,'Cost Conversion'!$F$3:$F$22,0)+2,8,1,1,"Cost conversion"))/IF(E16="$",'Cost Conversion'!$L$2,1),"")</f>
        <v/>
      </c>
      <c r="S16" s="273"/>
      <c r="U16" s="84"/>
    </row>
    <row r="17" spans="2:21" ht="20" customHeight="1" x14ac:dyDescent="0.2">
      <c r="B17" s="274"/>
      <c r="C17" s="275"/>
      <c r="D17" s="275"/>
      <c r="E17" s="275"/>
      <c r="F17" s="275"/>
      <c r="G17" s="275"/>
      <c r="H17" s="275"/>
      <c r="I17" s="275"/>
      <c r="J17" s="274"/>
      <c r="K17" s="275"/>
      <c r="L17" s="275"/>
      <c r="M17" s="275"/>
      <c r="N17" s="275"/>
      <c r="O17" s="275"/>
      <c r="P17" s="275"/>
      <c r="Q17" s="275"/>
      <c r="R17" s="175" t="str" cm="1">
        <f t="array" aca="1" ref="R17" ca="1">+IF(N17&gt;0,N17*INDIRECT(ADDRESS(MATCH(F17,'Cost Conversion'!$B$3:$B$48,0)+2,4,1,1,"Cost conversion"))*INDIRECT(ADDRESS(MATCH(G17,'Cost Conversion'!$F$3:$F$22,0)+2,8,1,1,"Cost conversion"))/IF(E17="$",'Cost Conversion'!$L$2,1),"")</f>
        <v/>
      </c>
      <c r="S17" s="274"/>
      <c r="T17" s="326"/>
      <c r="U17" s="328"/>
    </row>
    <row r="18" spans="2:21" ht="20" customHeight="1" x14ac:dyDescent="0.2">
      <c r="B18" s="276"/>
      <c r="C18" s="277"/>
      <c r="D18" s="277"/>
      <c r="E18" s="277"/>
      <c r="F18" s="277"/>
      <c r="G18" s="277"/>
      <c r="H18" s="277"/>
      <c r="I18" s="277"/>
      <c r="J18" s="277"/>
      <c r="K18" s="277"/>
      <c r="L18" s="277"/>
      <c r="M18" s="277"/>
      <c r="N18" s="277"/>
      <c r="O18" s="277"/>
      <c r="P18" s="277"/>
      <c r="Q18" s="277"/>
      <c r="R18" s="277"/>
      <c r="S18" s="277"/>
      <c r="T18" s="281"/>
      <c r="U18" s="113"/>
    </row>
    <row r="19" spans="2:21" ht="20" customHeight="1" x14ac:dyDescent="0.2">
      <c r="B19" s="273"/>
      <c r="C19" s="96"/>
      <c r="D19" s="96"/>
      <c r="E19" s="96"/>
      <c r="F19" s="96"/>
      <c r="G19" s="96"/>
      <c r="H19" s="96"/>
      <c r="I19" s="96"/>
      <c r="J19" s="96"/>
      <c r="K19" s="96"/>
      <c r="L19" s="96"/>
      <c r="M19" s="96"/>
      <c r="N19" s="96"/>
      <c r="O19" s="96"/>
      <c r="P19" s="96"/>
      <c r="Q19" s="96"/>
      <c r="R19" s="96"/>
      <c r="S19" s="96"/>
      <c r="U19" s="84"/>
    </row>
    <row r="20" spans="2:21" ht="20" customHeight="1" x14ac:dyDescent="0.2">
      <c r="B20" s="273"/>
      <c r="C20" s="96"/>
      <c r="D20" s="96"/>
      <c r="E20" s="96"/>
      <c r="F20" s="96"/>
      <c r="G20" s="96"/>
      <c r="H20" s="96"/>
      <c r="I20" s="96"/>
      <c r="J20" s="96"/>
      <c r="K20" s="96"/>
      <c r="L20" s="96"/>
      <c r="M20" s="96"/>
      <c r="N20" s="96"/>
      <c r="O20" s="96"/>
      <c r="P20" s="96"/>
      <c r="Q20" s="96"/>
      <c r="R20" s="96"/>
      <c r="S20" s="96"/>
      <c r="U20" s="84"/>
    </row>
    <row r="21" spans="2:21" ht="20" customHeight="1" x14ac:dyDescent="0.2">
      <c r="B21" s="273"/>
      <c r="C21" s="96"/>
      <c r="D21" s="96"/>
      <c r="E21" s="96"/>
      <c r="F21" s="96"/>
      <c r="G21" s="96"/>
      <c r="H21" s="96"/>
      <c r="I21" s="96"/>
      <c r="J21" s="877" t="str">
        <f>+B9&amp;" "&amp;D6</f>
        <v xml:space="preserve">BENCHMARK  </v>
      </c>
      <c r="K21" s="878"/>
      <c r="L21" s="878"/>
      <c r="M21" s="878"/>
      <c r="N21" s="878"/>
      <c r="O21" s="878"/>
      <c r="P21" s="878"/>
      <c r="Q21" s="878"/>
      <c r="R21" s="878"/>
      <c r="S21" s="878"/>
      <c r="T21" s="879"/>
      <c r="U21" s="84"/>
    </row>
    <row r="22" spans="2:21" ht="20" customHeight="1" x14ac:dyDescent="0.2">
      <c r="B22" s="273"/>
      <c r="C22" s="96"/>
      <c r="D22" s="96"/>
      <c r="E22" s="96"/>
      <c r="F22" s="96"/>
      <c r="G22" s="96"/>
      <c r="H22" s="96"/>
      <c r="I22" s="96"/>
      <c r="J22" s="346" t="s">
        <v>880</v>
      </c>
      <c r="K22" s="347">
        <v>1</v>
      </c>
      <c r="L22" s="347">
        <v>2</v>
      </c>
      <c r="M22" s="347">
        <v>3</v>
      </c>
      <c r="N22" s="347">
        <v>4</v>
      </c>
      <c r="O22" s="347">
        <v>5</v>
      </c>
      <c r="P22" s="347">
        <v>6</v>
      </c>
      <c r="Q22" s="347">
        <v>7</v>
      </c>
      <c r="R22" s="347">
        <v>8</v>
      </c>
      <c r="S22" s="347">
        <v>9</v>
      </c>
      <c r="T22" s="348">
        <v>10</v>
      </c>
      <c r="U22" s="84"/>
    </row>
    <row r="23" spans="2:21" ht="20" customHeight="1" x14ac:dyDescent="0.2">
      <c r="B23" s="273"/>
      <c r="C23" s="96"/>
      <c r="D23" s="96"/>
      <c r="E23" s="96"/>
      <c r="F23" s="96"/>
      <c r="G23" s="96"/>
      <c r="H23" s="96"/>
      <c r="I23" s="96"/>
      <c r="J23" s="86" t="str">
        <f>+TEXT(H12,0)&amp;" "&amp;"("&amp;TEXT(I12,0)&amp;")"</f>
        <v>CO2 captured (k/g)</v>
      </c>
      <c r="K23" s="368">
        <f>+P12</f>
        <v>10</v>
      </c>
      <c r="L23" s="349">
        <f>+K23+(O12-P12)/(T22-1)</f>
        <v>20</v>
      </c>
      <c r="M23" s="349">
        <f>+L23+(O12-P12)/(T22-1)</f>
        <v>30</v>
      </c>
      <c r="N23" s="349">
        <f>+M23+(O12-P12)/(T22-1)</f>
        <v>40</v>
      </c>
      <c r="O23" s="349">
        <f>+N23+(O12-P12)/(T22-1)</f>
        <v>50</v>
      </c>
      <c r="P23" s="349">
        <f>+O23+(O12-P12)/(T22-1)</f>
        <v>60</v>
      </c>
      <c r="Q23" s="349">
        <f>+P23+(O12-P12)/(T22-1)</f>
        <v>70</v>
      </c>
      <c r="R23" s="349">
        <f>+Q23+(O12-P12)/(T22-1)</f>
        <v>80</v>
      </c>
      <c r="S23" s="349">
        <f>+R23+(O12-P12)/(T22-1)</f>
        <v>90</v>
      </c>
      <c r="T23" s="350">
        <f>+S23+(O12-P12)/(T22-1)</f>
        <v>100</v>
      </c>
      <c r="U23" s="84"/>
    </row>
    <row r="24" spans="2:21" ht="20" customHeight="1" x14ac:dyDescent="0.2">
      <c r="B24" s="273"/>
      <c r="C24" s="96"/>
      <c r="D24" s="96"/>
      <c r="E24" s="96"/>
      <c r="F24" s="96"/>
      <c r="G24" s="96"/>
      <c r="H24" s="96"/>
      <c r="I24" s="96"/>
      <c r="J24" s="99" t="str">
        <f>+IF(B12="","",TEXT(B12,0)&amp;" - Scaling")</f>
        <v>Estimate  - Scaling</v>
      </c>
      <c r="K24" s="302">
        <f ca="1">+(Q12/L12)^J12*R12*((K23/Q12)/(M12/L12))^K12</f>
        <v>21.890720988299545</v>
      </c>
      <c r="L24" s="195">
        <f ca="1">+(Q12/L12)^J12*R12*((L23/Q12)/(M12/L12))^K12</f>
        <v>38.113958974644916</v>
      </c>
      <c r="M24" s="195">
        <f ca="1">+(Q12/L12)^J12*R12*((M23/Q12)/(M12/L12))^K12</f>
        <v>52.717774662615113</v>
      </c>
      <c r="N24" s="195">
        <f ca="1">+(Q12/L12)^J12*R12*((N23/Q12)/(M12/L12))^K12</f>
        <v>66.360256909644988</v>
      </c>
      <c r="O24" s="195">
        <f ca="1">+(Q12/L12)^J12*R12*((O23/Q12)/(M12/L12))^K12</f>
        <v>79.329746977810075</v>
      </c>
      <c r="P24" s="195">
        <f ca="1">+(Q12/L12)^J12*R12*((P23/Q12)/(M12/L12))^K12</f>
        <v>91.786976856515452</v>
      </c>
      <c r="Q24" s="195">
        <f ca="1">+(Q12/L12)^J12*R12*((Q23/Q12)/(M12/L12))^K12</f>
        <v>103.83374010713713</v>
      </c>
      <c r="R24" s="195">
        <f ca="1">+(Q12/L12)^J12*R12*((R23/Q12)/(M12/L12))^K12</f>
        <v>115.53991806633393</v>
      </c>
      <c r="S24" s="195">
        <f ca="1">+(Q12/L12)^J12*R12*((S23/Q12)/(M12/L12))^K12</f>
        <v>126.95624629557472</v>
      </c>
      <c r="T24" s="243">
        <f ca="1">+(Q12/L12)^J12*R12*((T23/Q12)/(M12/L12))^K12</f>
        <v>138.1211118353431</v>
      </c>
      <c r="U24" s="84"/>
    </row>
    <row r="25" spans="2:21" ht="20" customHeight="1" x14ac:dyDescent="0.2">
      <c r="B25" s="273"/>
      <c r="C25" s="96"/>
      <c r="D25" s="96"/>
      <c r="E25" s="96"/>
      <c r="F25" s="96"/>
      <c r="G25" s="96"/>
      <c r="H25" s="96"/>
      <c r="I25" s="96"/>
      <c r="J25" s="99" t="str">
        <f t="shared" ref="J25:J29" si="0">+IF(B13="","",TEXT(B13,0)&amp;" - Scaling")</f>
        <v>NETL - Scaling</v>
      </c>
      <c r="K25" s="234">
        <f ca="1">+(Q13/L13)^J13*R13*((K23/Q13)/(M13/L13))^K13</f>
        <v>28.921660092302876</v>
      </c>
      <c r="L25" s="158">
        <f ca="1">+(Q13/L13)^J13*R13*((L23/Q13)/(M13/L13))^K13</f>
        <v>50.355534969626625</v>
      </c>
      <c r="M25" s="158">
        <f ca="1">+(Q13/L13)^J13*R13*((M23/Q13)/(M13/L13))^K13</f>
        <v>69.64985577358128</v>
      </c>
      <c r="N25" s="158">
        <f ca="1">+(Q13/L13)^J13*R13*((N23/Q13)/(M13/L13))^K13</f>
        <v>87.674078665772257</v>
      </c>
      <c r="O25" s="158">
        <f ca="1">+(Q13/L13)^J13*R13*((O23/Q13)/(M13/L13))^K13</f>
        <v>104.80915537349955</v>
      </c>
      <c r="P25" s="158">
        <f ca="1">+(Q13/L13)^J13*R13*((P23/Q13)/(M13/L13))^K13</f>
        <v>121.26744235436996</v>
      </c>
      <c r="Q25" s="158">
        <f ca="1">+(Q13/L13)^J13*R13*((Q23/Q13)/(M13/L13))^K13</f>
        <v>137.18342758542519</v>
      </c>
      <c r="R25" s="158">
        <f ca="1">+(Q13/L13)^J13*R13*((R23/Q13)/(M13/L13))^K13</f>
        <v>152.64943713791348</v>
      </c>
      <c r="S25" s="158">
        <f ca="1">+(Q13/L13)^J13*R13*((S23/Q13)/(M13/L13))^K13</f>
        <v>167.73250200017836</v>
      </c>
      <c r="T25" s="233">
        <f ca="1">+(Q13/L13)^J13*R13*((T23/Q13)/(M13/L13))^K13</f>
        <v>182.48333849798209</v>
      </c>
      <c r="U25" s="84"/>
    </row>
    <row r="26" spans="2:21" ht="20" customHeight="1" x14ac:dyDescent="0.2">
      <c r="B26" s="273"/>
      <c r="C26" s="96"/>
      <c r="D26" s="96"/>
      <c r="E26" s="96"/>
      <c r="F26" s="96"/>
      <c r="G26" s="96"/>
      <c r="H26" s="96"/>
      <c r="I26" s="96"/>
      <c r="J26" s="99" t="str">
        <f t="shared" si="0"/>
        <v>IEAGHG - Scaling</v>
      </c>
      <c r="K26" s="234">
        <f ca="1">+(Q14/L14)^J14*R14*((K23/Q14)/(M14/L14))^K14</f>
        <v>10.956613855655904</v>
      </c>
      <c r="L26" s="158">
        <f ca="1">+(Q14/L14)^J14*R14*((L23/Q14)/(M14/L14))^K14</f>
        <v>19.076572727718734</v>
      </c>
      <c r="M26" s="158">
        <f ca="1">+(Q14/L14)^J14*R14*((M23/Q14)/(M14/L14))^K14</f>
        <v>26.38598795427901</v>
      </c>
      <c r="N26" s="158">
        <f ca="1">+(Q14/L14)^J14*R14*((N23/Q14)/(M14/L14))^K14</f>
        <v>33.214242267750045</v>
      </c>
      <c r="O26" s="158">
        <f ca="1">+(Q14/L14)^J14*R14*((O23/Q14)/(M14/L14))^K14</f>
        <v>39.705654526743324</v>
      </c>
      <c r="P26" s="158">
        <f ca="1">+(Q14/L14)^J14*R14*((P23/Q14)/(M14/L14))^K14</f>
        <v>45.940673353444673</v>
      </c>
      <c r="Q26" s="158">
        <f ca="1">+(Q14/L14)^J14*R14*((Q23/Q14)/(M14/L14))^K14</f>
        <v>51.970247857551527</v>
      </c>
      <c r="R26" s="158">
        <f ca="1">+(Q14/L14)^J14*R14*((R23/Q14)/(M14/L14))^K14</f>
        <v>57.82935463128748</v>
      </c>
      <c r="S26" s="158">
        <f ca="1">+(Q14/L14)^J14*R14*((S23/Q14)/(M14/L14))^K14</f>
        <v>63.5433875370137</v>
      </c>
      <c r="T26" s="233">
        <f ca="1">+(Q14/L14)^J14*R14*((T23/Q14)/(M14/L14))^K14</f>
        <v>69.131559828595414</v>
      </c>
      <c r="U26" s="84"/>
    </row>
    <row r="27" spans="2:21" ht="20" customHeight="1" x14ac:dyDescent="0.2">
      <c r="B27" s="273"/>
      <c r="C27" s="96"/>
      <c r="D27" s="96"/>
      <c r="E27" s="96"/>
      <c r="F27" s="96"/>
      <c r="G27" s="96"/>
      <c r="H27" s="96"/>
      <c r="I27" s="96"/>
      <c r="J27" s="99" t="str">
        <f t="shared" si="0"/>
        <v/>
      </c>
      <c r="K27" s="234" t="e">
        <f ca="1">+(Q15/L15)^J15*R15*((K23/Q15)/(M15/L15))^K15</f>
        <v>#DIV/0!</v>
      </c>
      <c r="L27" s="158" t="e">
        <f ca="1">+(Q15/L15)^J15*R15*((L23/Q15)/(M15/L15))^K15</f>
        <v>#DIV/0!</v>
      </c>
      <c r="M27" s="158" t="e">
        <f ca="1">+(Q15/L15)^J15*R15*((M23/Q15)/(M15/L15))^K15</f>
        <v>#DIV/0!</v>
      </c>
      <c r="N27" s="158" t="e">
        <f ca="1">+(Q15/L15)^J15*R15*((N23/Q15)/(M15/L15))^K15</f>
        <v>#DIV/0!</v>
      </c>
      <c r="O27" s="158" t="e">
        <f ca="1">+(Q15/L15)^J15*R15*((O23/Q15)/(M15/L15))^K15</f>
        <v>#DIV/0!</v>
      </c>
      <c r="P27" s="158" t="e">
        <f ca="1">+(Q15/L15)^J15*R15*((P23/Q15)/(M15/L15))^K15</f>
        <v>#DIV/0!</v>
      </c>
      <c r="Q27" s="158" t="e">
        <f ca="1">+(Q15/L15)^J15*R15*((Q23/Q15)/(M15/L15))^K15</f>
        <v>#DIV/0!</v>
      </c>
      <c r="R27" s="158" t="e">
        <f ca="1">+(Q15/L15)^J15*R15*((R23/Q15)/(M15/L15))^K15</f>
        <v>#DIV/0!</v>
      </c>
      <c r="S27" s="158" t="e">
        <f ca="1">+(Q15/L15)^J15*R15*((S23/Q15)/(M15/L15))^K15</f>
        <v>#DIV/0!</v>
      </c>
      <c r="T27" s="233" t="e">
        <f ca="1">+(Q15/L15)^J15*R15*((T23/Q15)/(M15/L15))^K15</f>
        <v>#DIV/0!</v>
      </c>
      <c r="U27" s="84"/>
    </row>
    <row r="28" spans="2:21" ht="20" customHeight="1" x14ac:dyDescent="0.2">
      <c r="B28" s="273"/>
      <c r="C28" s="96"/>
      <c r="D28" s="96"/>
      <c r="E28" s="96"/>
      <c r="F28" s="96"/>
      <c r="G28" s="96"/>
      <c r="H28" s="96"/>
      <c r="I28" s="96"/>
      <c r="J28" s="99" t="str">
        <f t="shared" si="0"/>
        <v/>
      </c>
      <c r="K28" s="273" t="e">
        <f ca="1">+(Q16/L16)^J16*R16*((K24/Q16)/(M16/L16))^K16</f>
        <v>#DIV/0!</v>
      </c>
      <c r="L28" s="158" t="e">
        <f ca="1">+(Q16/L16)^J16*R16*((L23/Q16)/(M16/L16))^K16</f>
        <v>#DIV/0!</v>
      </c>
      <c r="M28" s="158" t="e">
        <f ca="1">+(Q16/L16)^J16*R16*((M23/Q16)/(M16/L16))^K16</f>
        <v>#DIV/0!</v>
      </c>
      <c r="N28" s="158" t="e">
        <f ca="1">+(Q16/L16)^J16*R16*((N23/Q16)/(M16/L16))^K16</f>
        <v>#DIV/0!</v>
      </c>
      <c r="O28" s="158" t="e">
        <f ca="1">+(Q16/L16)^J16*R16*((O23/Q16)/(M16/L16))^K16</f>
        <v>#DIV/0!</v>
      </c>
      <c r="P28" s="158" t="e">
        <f ca="1">+(Q16/L16)^J16*R16*((P23/Q16)/(M16/L16))^K16</f>
        <v>#DIV/0!</v>
      </c>
      <c r="Q28" s="158" t="e">
        <f ca="1">+(Q16/L16)^J16*R16*((Q23/Q16)/(M16/L16))^K16</f>
        <v>#DIV/0!</v>
      </c>
      <c r="R28" s="158" t="e">
        <f ca="1">+(Q16/L16)^J16*R16*((R23/Q16)/(M16/L16))^K16</f>
        <v>#DIV/0!</v>
      </c>
      <c r="S28" s="158" t="e">
        <f ca="1">+(Q16/L16)^J16*R16*((S23/Q16)/(M16/L16))^K16</f>
        <v>#DIV/0!</v>
      </c>
      <c r="T28" s="233" t="e">
        <f ca="1">+(Q16/L16)^J16*R16*((T23/Q16)/(M16/L16))^K16</f>
        <v>#DIV/0!</v>
      </c>
      <c r="U28" s="84"/>
    </row>
    <row r="29" spans="2:21" ht="20" customHeight="1" x14ac:dyDescent="0.2">
      <c r="B29" s="273"/>
      <c r="C29" s="96"/>
      <c r="D29" s="96"/>
      <c r="E29" s="96"/>
      <c r="F29" s="96"/>
      <c r="G29" s="96"/>
      <c r="H29" s="96"/>
      <c r="I29" s="96"/>
      <c r="J29" s="99" t="str">
        <f t="shared" si="0"/>
        <v/>
      </c>
      <c r="K29" s="274" t="e">
        <f ca="1">+(Q17/L17)^J17*R17*((K23/Q17)/(M17/L17))^K17</f>
        <v>#DIV/0!</v>
      </c>
      <c r="L29" s="370" t="e">
        <f ca="1">+(Q17/L17)^J17*R17*((L23/Q17)/(M17/L17))^K17</f>
        <v>#DIV/0!</v>
      </c>
      <c r="M29" s="370" t="e">
        <f ca="1">+(Q17/L17)^J17*R17*((M23/Q17)/(M17/L17))^K17</f>
        <v>#DIV/0!</v>
      </c>
      <c r="N29" s="370" t="e">
        <f ca="1">+(Q17/L17)^J17*R17*((N23/Q17)/(M17/L17))^K17</f>
        <v>#DIV/0!</v>
      </c>
      <c r="O29" s="370" t="e">
        <f ca="1">+(Q17/L17)^J17*R17*((O23/Q17)/(M17/L17))^K17</f>
        <v>#DIV/0!</v>
      </c>
      <c r="P29" s="370" t="e" cm="1">
        <f t="array" aca="1" ref="P29" ca="1">+(Q17/L17)^J17*R17*((P23/Q17)/(M17/P26L17))^K17</f>
        <v>#DIV/0!</v>
      </c>
      <c r="Q29" s="370" t="e">
        <f ca="1">+(Q17/L17)^J17*R17*((Q23/Q17)/(M17/L17))^K17</f>
        <v>#DIV/0!</v>
      </c>
      <c r="R29" s="370" t="e">
        <f ca="1">+(Q17/L17)^J17*R17*((R23/Q17)/(M17/L17))^K17</f>
        <v>#DIV/0!</v>
      </c>
      <c r="S29" s="370" t="e">
        <f ca="1">+(Q17/L17)^J17*R17*((S23/Q17)/(M17/L17))^K17</f>
        <v>#DIV/0!</v>
      </c>
      <c r="T29" s="321" t="e">
        <f ca="1">+(Q17/L17)^J17*R17*((T23/Q17)/(M17/L17))^K17</f>
        <v>#DIV/0!</v>
      </c>
      <c r="U29" s="84"/>
    </row>
    <row r="30" spans="2:21" ht="20" customHeight="1" x14ac:dyDescent="0.2">
      <c r="B30" s="273"/>
      <c r="C30" s="96"/>
      <c r="D30" s="96"/>
      <c r="E30" s="96"/>
      <c r="F30" s="96"/>
      <c r="G30" s="96"/>
      <c r="H30" s="96"/>
      <c r="I30" s="96"/>
      <c r="J30" s="182" t="s">
        <v>613</v>
      </c>
      <c r="K30" s="182" t="s">
        <v>881</v>
      </c>
      <c r="L30" s="96"/>
      <c r="M30" s="96"/>
      <c r="N30" s="96"/>
      <c r="O30" s="96"/>
      <c r="P30" s="96"/>
      <c r="Q30" s="96"/>
      <c r="R30" s="96"/>
      <c r="S30" s="96"/>
      <c r="U30" s="84"/>
    </row>
    <row r="31" spans="2:21" ht="20" customHeight="1" x14ac:dyDescent="0.2">
      <c r="B31" s="273"/>
      <c r="C31" s="96"/>
      <c r="D31" s="96"/>
      <c r="E31" s="96"/>
      <c r="F31" s="96"/>
      <c r="G31" s="96"/>
      <c r="H31" s="96"/>
      <c r="I31" s="96"/>
      <c r="J31" s="276" t="str">
        <f>+IF(B12="","",B12)</f>
        <v xml:space="preserve">Estimate </v>
      </c>
      <c r="K31" s="590">
        <f ca="1">+R12/(M12/Q12)</f>
        <v>1.6304332483745942</v>
      </c>
      <c r="L31" s="96"/>
      <c r="M31" s="96"/>
      <c r="N31" s="96"/>
      <c r="O31" s="96"/>
      <c r="P31" s="96"/>
      <c r="Q31" s="96"/>
      <c r="R31" s="96"/>
      <c r="S31" s="96"/>
      <c r="U31" s="84"/>
    </row>
    <row r="32" spans="2:21" ht="20" customHeight="1" x14ac:dyDescent="0.2">
      <c r="B32" s="273"/>
      <c r="C32" s="96"/>
      <c r="D32" s="96"/>
      <c r="E32" s="96"/>
      <c r="F32" s="96"/>
      <c r="G32" s="96"/>
      <c r="H32" s="96"/>
      <c r="I32" s="96"/>
      <c r="J32" s="273" t="str">
        <f t="shared" ref="J32:J34" si="1">+IF(B13="","",B13)</f>
        <v>NETL</v>
      </c>
      <c r="K32" s="591">
        <f ca="1">+R13/(M13/Q13)</f>
        <v>2.1151327918318494</v>
      </c>
      <c r="L32" s="96"/>
      <c r="M32" s="96"/>
      <c r="N32" s="96"/>
      <c r="O32" s="96"/>
      <c r="P32" s="96"/>
      <c r="Q32" s="96"/>
      <c r="R32" s="96"/>
      <c r="S32" s="96"/>
      <c r="U32" s="84"/>
    </row>
    <row r="33" spans="2:21" ht="20" customHeight="1" x14ac:dyDescent="0.2">
      <c r="B33" s="91"/>
      <c r="F33" s="96"/>
      <c r="G33" s="96"/>
      <c r="J33" s="273" t="str">
        <f t="shared" si="1"/>
        <v>IEAGHG</v>
      </c>
      <c r="K33" s="591">
        <f ca="1">+R14/(M14/Q14)</f>
        <v>0.98909304216350491</v>
      </c>
      <c r="U33" s="84"/>
    </row>
    <row r="34" spans="2:21" ht="20" customHeight="1" x14ac:dyDescent="0.2">
      <c r="B34" s="91"/>
      <c r="F34" s="96"/>
      <c r="G34" s="96"/>
      <c r="J34" s="273" t="str">
        <f t="shared" si="1"/>
        <v/>
      </c>
      <c r="K34" s="591" t="e">
        <f ca="1">+R15/(M15/Q15)</f>
        <v>#VALUE!</v>
      </c>
      <c r="U34" s="84"/>
    </row>
    <row r="35" spans="2:21" ht="20" customHeight="1" x14ac:dyDescent="0.2">
      <c r="B35" s="91"/>
      <c r="F35" s="96"/>
      <c r="G35" s="96"/>
      <c r="J35" s="273" t="str">
        <f t="shared" ref="J35:J36" si="2">+IF(B16="","",B16)</f>
        <v/>
      </c>
      <c r="K35" s="591" t="e">
        <f t="shared" ref="K35:K36" ca="1" si="3">+R16/(M16/Q16)</f>
        <v>#VALUE!</v>
      </c>
      <c r="U35" s="84"/>
    </row>
    <row r="36" spans="2:21" ht="20" customHeight="1" x14ac:dyDescent="0.2">
      <c r="B36" s="91"/>
      <c r="F36" s="96"/>
      <c r="G36" s="96"/>
      <c r="J36" s="274" t="str">
        <f t="shared" si="2"/>
        <v/>
      </c>
      <c r="K36" s="592" t="e">
        <f t="shared" ca="1" si="3"/>
        <v>#VALUE!</v>
      </c>
      <c r="U36" s="84"/>
    </row>
    <row r="37" spans="2:21" ht="20" customHeight="1" x14ac:dyDescent="0.2">
      <c r="B37" s="91"/>
      <c r="F37" s="96"/>
      <c r="G37" s="96"/>
      <c r="U37" s="84"/>
    </row>
    <row r="38" spans="2:21" ht="20" customHeight="1" x14ac:dyDescent="0.2">
      <c r="B38" s="91"/>
      <c r="F38" s="96"/>
      <c r="G38" s="96"/>
      <c r="U38" s="84"/>
    </row>
    <row r="39" spans="2:21" ht="20" customHeight="1" x14ac:dyDescent="0.2">
      <c r="B39" s="91"/>
      <c r="F39" s="96"/>
      <c r="G39" s="96"/>
      <c r="U39" s="84"/>
    </row>
    <row r="40" spans="2:21" ht="20" customHeight="1" x14ac:dyDescent="0.2">
      <c r="B40" s="91"/>
      <c r="F40" s="96"/>
      <c r="G40" s="96"/>
      <c r="U40" s="84"/>
    </row>
    <row r="41" spans="2:21" ht="20" customHeight="1" x14ac:dyDescent="0.2">
      <c r="B41" s="91"/>
      <c r="F41" s="96"/>
      <c r="G41" s="96"/>
      <c r="U41" s="84"/>
    </row>
    <row r="42" spans="2:21" ht="20" customHeight="1" x14ac:dyDescent="0.2">
      <c r="B42" s="91"/>
      <c r="F42" s="96"/>
      <c r="G42" s="96"/>
      <c r="U42" s="84"/>
    </row>
    <row r="43" spans="2:21" ht="20" customHeight="1" x14ac:dyDescent="0.2">
      <c r="B43" s="325"/>
      <c r="C43" s="326"/>
      <c r="D43" s="326"/>
      <c r="E43" s="326"/>
      <c r="F43" s="275"/>
      <c r="G43" s="275"/>
      <c r="H43" s="326"/>
      <c r="I43" s="326"/>
      <c r="J43" s="326"/>
      <c r="K43" s="326"/>
      <c r="L43" s="326"/>
      <c r="M43" s="326"/>
      <c r="N43" s="326"/>
      <c r="O43" s="326"/>
      <c r="P43" s="326"/>
      <c r="Q43" s="326"/>
      <c r="R43" s="326"/>
      <c r="S43" s="326"/>
      <c r="T43" s="326"/>
      <c r="U43" s="328"/>
    </row>
    <row r="44" spans="2:21" x14ac:dyDescent="0.2">
      <c r="B44" s="174">
        <v>1</v>
      </c>
    </row>
  </sheetData>
  <mergeCells count="10">
    <mergeCell ref="B10:I10"/>
    <mergeCell ref="J10:R10"/>
    <mergeCell ref="S10:U10"/>
    <mergeCell ref="J21:T21"/>
    <mergeCell ref="C9:U9"/>
    <mergeCell ref="O2:R2"/>
    <mergeCell ref="T2:U2"/>
    <mergeCell ref="B3:J3"/>
    <mergeCell ref="L3:M3"/>
    <mergeCell ref="B5:B7"/>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hyperlinks>
    <hyperlink ref="U14" r:id="rId1" xr:uid="{7522486F-83B8-48FE-B9A4-78BA5F0E20C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02753" r:id="rId4" name="Button 1">
              <controlPr defaultSize="0" print="0" autoFill="0" autoPict="0" macro="[0]!Plant">
                <anchor moveWithCells="1" sizeWithCells="1">
                  <from>
                    <xdr:col>1</xdr:col>
                    <xdr:colOff>88900</xdr:colOff>
                    <xdr:row>4</xdr:row>
                    <xdr:rowOff>63500</xdr:rowOff>
                  </from>
                  <to>
                    <xdr:col>1</xdr:col>
                    <xdr:colOff>2654300</xdr:colOff>
                    <xdr:row>6</xdr:row>
                    <xdr:rowOff>215900</xdr:rowOff>
                  </to>
                </anchor>
              </controlPr>
            </control>
          </mc:Choice>
        </mc:AlternateContent>
        <mc:AlternateContent xmlns:mc="http://schemas.openxmlformats.org/markup-compatibility/2006">
          <mc:Choice Requires="x14">
            <control shapeId="202754" r:id="rId5" name="Button 2">
              <controlPr defaultSize="0" print="0" autoFill="0" autoPict="0" macro="[0]!benchmarkup">
                <anchor moveWithCells="1" sizeWithCells="1">
                  <from>
                    <xdr:col>12</xdr:col>
                    <xdr:colOff>25400</xdr:colOff>
                    <xdr:row>3</xdr:row>
                    <xdr:rowOff>12700</xdr:rowOff>
                  </from>
                  <to>
                    <xdr:col>12</xdr:col>
                    <xdr:colOff>1587500</xdr:colOff>
                    <xdr:row>3</xdr:row>
                    <xdr:rowOff>254000</xdr:rowOff>
                  </to>
                </anchor>
              </controlPr>
            </control>
          </mc:Choice>
        </mc:AlternateContent>
        <mc:AlternateContent xmlns:mc="http://schemas.openxmlformats.org/markup-compatibility/2006">
          <mc:Choice Requires="x14">
            <control shapeId="202755" r:id="rId6" name="Button 3">
              <controlPr defaultSize="0" print="0" autoFill="0" autoPict="0" macro="[0]!benchmarkdown">
                <anchor moveWithCells="1" sizeWithCells="1">
                  <from>
                    <xdr:col>12</xdr:col>
                    <xdr:colOff>25400</xdr:colOff>
                    <xdr:row>4</xdr:row>
                    <xdr:rowOff>25400</xdr:rowOff>
                  </from>
                  <to>
                    <xdr:col>12</xdr:col>
                    <xdr:colOff>1587500</xdr:colOff>
                    <xdr:row>4</xdr:row>
                    <xdr:rowOff>241300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D20" sqref="D20:Q20"/>
    </sheetView>
  </sheetViews>
  <sheetFormatPr baseColWidth="10" defaultColWidth="11.1640625" defaultRowHeight="15" x14ac:dyDescent="0.2"/>
  <cols>
    <col min="1" max="2" width="3.5" customWidth="1"/>
    <col min="3" max="19" width="20.33203125" customWidth="1"/>
    <col min="20" max="20" width="4.1640625" customWidth="1"/>
    <col min="21" max="21" width="4.83203125" customWidth="1"/>
    <col min="22" max="22" width="11.1640625" hidden="1" customWidth="1"/>
    <col min="23" max="23" width="17.5" hidden="1" customWidth="1"/>
    <col min="24" max="24" width="17.83203125" hidden="1" customWidth="1"/>
    <col min="25" max="25" width="21.1640625" style="83" hidden="1" customWidth="1"/>
    <col min="26" max="26" width="18.83203125" style="83" hidden="1" customWidth="1"/>
    <col min="27" max="27" width="19.83203125" style="83" hidden="1" customWidth="1"/>
    <col min="28" max="28" width="18.6640625" style="83" hidden="1" customWidth="1"/>
    <col min="29" max="29" width="19.83203125" style="83" hidden="1" customWidth="1"/>
    <col min="30" max="30" width="23.5" style="83" hidden="1" customWidth="1"/>
    <col min="31" max="31" width="29" style="83" hidden="1" customWidth="1"/>
    <col min="32" max="32" width="31.6640625" style="83" hidden="1" customWidth="1"/>
    <col min="33" max="33" width="20.83203125" style="83" hidden="1" customWidth="1"/>
    <col min="34" max="34" width="24.33203125" style="83" hidden="1" customWidth="1"/>
    <col min="35" max="35" width="24.5" style="83" hidden="1" customWidth="1"/>
    <col min="36" max="36" width="27" style="83" hidden="1" customWidth="1"/>
    <col min="37" max="37" width="15.33203125" style="83" hidden="1" customWidth="1"/>
    <col min="38" max="38" width="20.5" style="83" hidden="1" customWidth="1"/>
    <col min="39" max="39" width="23.33203125" style="83" hidden="1" customWidth="1"/>
    <col min="40" max="40" width="14.5" style="83" hidden="1" customWidth="1"/>
    <col min="41" max="41" width="16.83203125" style="83" hidden="1" customWidth="1"/>
    <col min="42" max="42" width="18.6640625" style="83" hidden="1" customWidth="1"/>
    <col min="43" max="43" width="23.1640625" style="83" hidden="1" customWidth="1"/>
    <col min="44" max="44" width="20.6640625" style="83" hidden="1" customWidth="1"/>
    <col min="45" max="45" width="23.33203125" style="83" hidden="1" customWidth="1"/>
    <col min="46" max="46" width="22.1640625" style="83" hidden="1" customWidth="1"/>
    <col min="47" max="47" width="11.1640625" style="83" hidden="1" customWidth="1"/>
    <col min="48" max="48" width="28.83203125" style="83" hidden="1" customWidth="1"/>
    <col min="49" max="49" width="19.5" style="83" hidden="1" customWidth="1"/>
    <col min="50" max="50" width="22.6640625" style="83" hidden="1" customWidth="1"/>
    <col min="51" max="51" width="20.5" style="83" hidden="1" customWidth="1"/>
    <col min="52" max="52" width="21.5" style="83" hidden="1" customWidth="1"/>
    <col min="53" max="53" width="16.1640625" style="83" hidden="1" customWidth="1"/>
    <col min="54" max="54" width="16.33203125" style="83" hidden="1" customWidth="1"/>
    <col min="55" max="55" width="25" style="83" hidden="1" customWidth="1"/>
    <col min="56" max="56" width="15.1640625" style="83" hidden="1" customWidth="1"/>
    <col min="57" max="57" width="16" style="83" hidden="1" customWidth="1"/>
    <col min="58" max="58" width="22.5" style="83" hidden="1" customWidth="1"/>
    <col min="59" max="59" width="21.6640625" style="83" hidden="1" customWidth="1"/>
    <col min="60" max="60" width="26.164062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640625" style="83" hidden="1" customWidth="1"/>
    <col min="66" max="66" width="18.5" style="83" hidden="1" customWidth="1"/>
    <col min="67" max="67" width="20.5" style="83" hidden="1" customWidth="1"/>
    <col min="68" max="68" width="17.6640625" style="83" hidden="1" customWidth="1"/>
    <col min="69" max="69" width="22.33203125" style="83" hidden="1" customWidth="1"/>
    <col min="70" max="70" width="24.83203125" style="83" hidden="1" customWidth="1"/>
    <col min="71" max="71" width="11.1640625" style="83" hidden="1" customWidth="1"/>
    <col min="72" max="72" width="38.33203125" style="83" hidden="1" customWidth="1"/>
    <col min="73" max="73" width="49.5" style="83" hidden="1" customWidth="1"/>
    <col min="74" max="74" width="50.5" style="83" hidden="1" customWidth="1"/>
    <col min="75" max="75" width="39.6640625" style="83" hidden="1" customWidth="1"/>
    <col min="76" max="76" width="35.1640625" style="83" hidden="1" customWidth="1"/>
    <col min="77" max="77" width="40.5" style="83" hidden="1" customWidth="1"/>
    <col min="78" max="78" width="39.5" style="83" hidden="1" customWidth="1"/>
    <col min="79" max="79" width="38.1640625" style="83" hidden="1" customWidth="1"/>
    <col min="80" max="80" width="48.1640625" style="83" hidden="1" customWidth="1"/>
    <col min="81" max="81" width="37.33203125" style="83" hidden="1" customWidth="1"/>
    <col min="82" max="82" width="36.33203125" style="83" hidden="1" customWidth="1"/>
    <col min="83" max="83" width="35.6640625" style="83" hidden="1" customWidth="1"/>
    <col min="84" max="84" width="11.1640625" style="83" customWidth="1"/>
    <col min="85" max="86" width="11.1640625" style="83"/>
  </cols>
  <sheetData>
    <row r="1" spans="1:93" x14ac:dyDescent="0.2">
      <c r="A1" s="83"/>
      <c r="B1" s="83"/>
      <c r="C1" s="83"/>
      <c r="D1" s="83"/>
      <c r="E1" s="83"/>
      <c r="F1" s="83"/>
      <c r="G1" s="83"/>
      <c r="H1" s="83"/>
      <c r="I1" s="83"/>
      <c r="J1" s="83"/>
      <c r="K1" s="83"/>
      <c r="L1" s="83"/>
      <c r="M1" s="83"/>
      <c r="N1" s="83"/>
      <c r="O1" s="83"/>
      <c r="P1" s="83"/>
      <c r="Q1" s="83"/>
      <c r="R1" s="83"/>
      <c r="S1" s="83"/>
      <c r="T1" s="83"/>
      <c r="U1" s="83"/>
      <c r="V1" s="83"/>
      <c r="W1" s="83"/>
      <c r="CI1" s="83"/>
      <c r="CJ1" s="83"/>
      <c r="CK1" s="83"/>
      <c r="CL1" s="83"/>
      <c r="CM1" s="83"/>
      <c r="CN1" s="83"/>
      <c r="CO1" s="83"/>
    </row>
    <row r="2" spans="1:93" ht="15.5" customHeight="1" x14ac:dyDescent="0.2">
      <c r="A2" s="83"/>
      <c r="B2" s="100"/>
      <c r="C2" s="101"/>
      <c r="D2" s="101"/>
      <c r="E2" s="101"/>
      <c r="F2" s="101"/>
      <c r="G2" s="101"/>
      <c r="H2" s="101"/>
      <c r="I2" s="101"/>
      <c r="J2" s="101"/>
      <c r="K2" s="101"/>
      <c r="L2" s="101"/>
      <c r="M2" s="101"/>
      <c r="N2" s="101"/>
      <c r="O2" s="101"/>
      <c r="P2" s="101"/>
      <c r="Q2" s="101"/>
      <c r="R2" s="101"/>
      <c r="S2" s="101"/>
      <c r="T2" s="102"/>
      <c r="U2" s="103"/>
      <c r="V2" s="83"/>
      <c r="W2" t="s">
        <v>141</v>
      </c>
      <c r="X2" s="207" t="s">
        <v>691</v>
      </c>
      <c r="Y2" t="s">
        <v>692</v>
      </c>
      <c r="Z2" t="s">
        <v>189</v>
      </c>
      <c r="AA2" t="s">
        <v>693</v>
      </c>
      <c r="AB2" t="s">
        <v>694</v>
      </c>
      <c r="AC2" t="s">
        <v>695</v>
      </c>
      <c r="AD2" t="s">
        <v>696</v>
      </c>
      <c r="AE2" t="s">
        <v>697</v>
      </c>
      <c r="AF2" t="s">
        <v>698</v>
      </c>
      <c r="AG2" t="s">
        <v>699</v>
      </c>
      <c r="AH2" t="s">
        <v>700</v>
      </c>
      <c r="AI2" t="s">
        <v>701</v>
      </c>
      <c r="AJ2" t="s">
        <v>194</v>
      </c>
      <c r="AK2" t="s">
        <v>702</v>
      </c>
      <c r="AL2" t="s">
        <v>703</v>
      </c>
      <c r="AM2" t="s">
        <v>266</v>
      </c>
      <c r="AN2" t="s">
        <v>704</v>
      </c>
      <c r="AO2" t="s">
        <v>705</v>
      </c>
      <c r="AP2" t="s">
        <v>420</v>
      </c>
      <c r="AQ2" t="s">
        <v>706</v>
      </c>
      <c r="AR2" t="s">
        <v>177</v>
      </c>
      <c r="AS2" t="s">
        <v>428</v>
      </c>
      <c r="AT2" t="s">
        <v>707</v>
      </c>
      <c r="AV2" s="211" t="s">
        <v>708</v>
      </c>
      <c r="AW2" s="212" t="s">
        <v>709</v>
      </c>
      <c r="AX2" s="213" t="s">
        <v>710</v>
      </c>
      <c r="AY2" s="213" t="s">
        <v>711</v>
      </c>
      <c r="AZ2" s="213" t="s">
        <v>712</v>
      </c>
      <c r="BA2" s="213" t="s">
        <v>713</v>
      </c>
      <c r="BB2" s="213" t="s">
        <v>714</v>
      </c>
      <c r="BC2" s="213" t="s">
        <v>715</v>
      </c>
      <c r="BD2" s="213" t="s">
        <v>716</v>
      </c>
      <c r="BE2" s="213" t="s">
        <v>717</v>
      </c>
      <c r="BF2" s="213" t="s">
        <v>718</v>
      </c>
      <c r="BG2" s="213" t="s">
        <v>719</v>
      </c>
      <c r="BH2" s="213" t="s">
        <v>720</v>
      </c>
      <c r="BI2" s="213" t="s">
        <v>721</v>
      </c>
      <c r="BJ2" s="213" t="s">
        <v>722</v>
      </c>
      <c r="BK2" s="213" t="s">
        <v>723</v>
      </c>
      <c r="BL2" s="213" t="s">
        <v>724</v>
      </c>
      <c r="BM2" s="213" t="s">
        <v>725</v>
      </c>
      <c r="BN2" s="213" t="s">
        <v>726</v>
      </c>
      <c r="BO2" s="213" t="s">
        <v>727</v>
      </c>
      <c r="BP2" s="213" t="s">
        <v>728</v>
      </c>
      <c r="BQ2" s="213" t="s">
        <v>729</v>
      </c>
      <c r="BR2" s="213" t="s">
        <v>730</v>
      </c>
      <c r="BT2" s="282" t="s">
        <v>731</v>
      </c>
      <c r="BU2" s="282" t="s">
        <v>732</v>
      </c>
      <c r="BV2" s="282" t="s">
        <v>733</v>
      </c>
      <c r="BW2" s="282" t="s">
        <v>734</v>
      </c>
      <c r="BX2" s="282" t="s">
        <v>735</v>
      </c>
      <c r="BY2" s="282" t="s">
        <v>736</v>
      </c>
      <c r="BZ2" s="282" t="s">
        <v>737</v>
      </c>
      <c r="CA2" s="282" t="s">
        <v>738</v>
      </c>
      <c r="CB2" s="282" t="s">
        <v>739</v>
      </c>
      <c r="CC2" s="282" t="s">
        <v>740</v>
      </c>
      <c r="CD2" s="282" t="s">
        <v>741</v>
      </c>
      <c r="CE2" s="282" t="s">
        <v>742</v>
      </c>
      <c r="CI2" s="83"/>
      <c r="CJ2" s="83"/>
      <c r="CK2" s="83"/>
      <c r="CL2" s="83"/>
      <c r="CM2" s="83"/>
      <c r="CN2" s="83"/>
      <c r="CO2" s="83"/>
    </row>
    <row r="3" spans="1:93" ht="19" x14ac:dyDescent="0.2">
      <c r="A3" s="83"/>
      <c r="B3" s="103"/>
      <c r="C3" s="917" t="s">
        <v>140</v>
      </c>
      <c r="D3" s="918"/>
      <c r="E3" s="918"/>
      <c r="F3" s="918"/>
      <c r="G3" s="918"/>
      <c r="H3" s="1075" t="s">
        <v>141</v>
      </c>
      <c r="I3" s="1075"/>
      <c r="J3" s="83"/>
      <c r="K3" s="917" t="s">
        <v>54</v>
      </c>
      <c r="L3" s="918"/>
      <c r="M3" s="918"/>
      <c r="N3" s="918"/>
      <c r="O3" s="918"/>
      <c r="P3" s="918"/>
      <c r="Q3" s="918"/>
      <c r="R3" s="918"/>
      <c r="S3" s="919"/>
      <c r="T3" s="104"/>
      <c r="U3" s="103"/>
      <c r="V3" s="83"/>
      <c r="W3" t="s">
        <v>691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743</v>
      </c>
      <c r="AV3" s="83" t="s">
        <v>415</v>
      </c>
      <c r="AW3" s="83" t="s">
        <v>415</v>
      </c>
      <c r="AX3" s="1" t="s">
        <v>182</v>
      </c>
      <c r="AY3" s="1" t="s">
        <v>415</v>
      </c>
      <c r="AZ3" s="1" t="s">
        <v>415</v>
      </c>
      <c r="BA3" s="1" t="s">
        <v>415</v>
      </c>
      <c r="BB3" s="1" t="s">
        <v>415</v>
      </c>
      <c r="BC3" s="1" t="s">
        <v>415</v>
      </c>
      <c r="BD3" s="83" t="s">
        <v>182</v>
      </c>
      <c r="BE3" s="83" t="str">
        <f>+BC3</f>
        <v>N/A</v>
      </c>
      <c r="BF3" s="83" t="s">
        <v>182</v>
      </c>
      <c r="BG3" s="83" t="s">
        <v>182</v>
      </c>
      <c r="BH3" s="83" t="s">
        <v>331</v>
      </c>
      <c r="BI3" s="83" t="str">
        <f>+BE3</f>
        <v>N/A</v>
      </c>
      <c r="BJ3" s="83" t="s">
        <v>744</v>
      </c>
      <c r="BK3" s="83" t="s">
        <v>415</v>
      </c>
      <c r="BL3" s="83" t="str">
        <f>+BI3</f>
        <v>N/A</v>
      </c>
      <c r="BM3" s="83" t="s">
        <v>415</v>
      </c>
      <c r="BN3" s="83" t="s">
        <v>744</v>
      </c>
      <c r="BO3" s="13" t="s">
        <v>182</v>
      </c>
      <c r="BP3" s="83" t="s">
        <v>182</v>
      </c>
      <c r="BQ3" s="83" t="s">
        <v>182</v>
      </c>
      <c r="BR3" s="83" t="s">
        <v>745</v>
      </c>
      <c r="BT3" s="83" t="s">
        <v>331</v>
      </c>
      <c r="BU3" s="83" t="s">
        <v>331</v>
      </c>
      <c r="BV3" s="83" t="s">
        <v>331</v>
      </c>
      <c r="BW3" s="83" t="s">
        <v>331</v>
      </c>
      <c r="BX3" s="83" t="s">
        <v>331</v>
      </c>
      <c r="BY3" s="83" t="s">
        <v>331</v>
      </c>
      <c r="BZ3" s="83" t="s">
        <v>331</v>
      </c>
      <c r="CA3" s="83" t="s">
        <v>331</v>
      </c>
      <c r="CB3" s="83" t="s">
        <v>182</v>
      </c>
      <c r="CC3" s="83" t="s">
        <v>182</v>
      </c>
      <c r="CD3" s="83" t="s">
        <v>182</v>
      </c>
      <c r="CE3" s="83" t="s">
        <v>182</v>
      </c>
      <c r="CI3" s="83"/>
      <c r="CJ3" s="83"/>
      <c r="CK3" s="83"/>
      <c r="CL3" s="83"/>
      <c r="CM3" s="83"/>
      <c r="CN3" s="83"/>
      <c r="CO3" s="83"/>
    </row>
    <row r="4" spans="1:93" ht="15.5" customHeight="1" x14ac:dyDescent="0.2">
      <c r="A4" s="83"/>
      <c r="B4" s="103"/>
      <c r="C4" s="83"/>
      <c r="D4" s="83"/>
      <c r="E4" s="83"/>
      <c r="F4" s="83"/>
      <c r="G4" s="83"/>
      <c r="H4" s="83"/>
      <c r="I4" s="83"/>
      <c r="J4" s="83"/>
      <c r="K4" s="1090"/>
      <c r="L4" s="1090"/>
      <c r="M4" s="1090"/>
      <c r="N4" s="1090"/>
      <c r="O4" s="1090"/>
      <c r="P4" s="1090"/>
      <c r="Q4" s="1090"/>
      <c r="R4" s="1090"/>
      <c r="S4" s="1090"/>
      <c r="T4" s="104"/>
      <c r="U4" s="103"/>
      <c r="V4" s="83"/>
      <c r="W4" s="83" t="s">
        <v>692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746</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410</v>
      </c>
      <c r="AY4" s="1"/>
      <c r="AZ4" s="1"/>
      <c r="BA4" s="1"/>
      <c r="BD4" s="83" t="s">
        <v>747</v>
      </c>
      <c r="BF4" s="83" t="s">
        <v>748</v>
      </c>
      <c r="BG4" s="83" t="s">
        <v>749</v>
      </c>
      <c r="BH4" s="83" t="s">
        <v>750</v>
      </c>
      <c r="BJ4" s="83" t="s">
        <v>182</v>
      </c>
      <c r="BN4" s="83" t="s">
        <v>182</v>
      </c>
      <c r="BO4" s="13" t="s">
        <v>751</v>
      </c>
      <c r="BP4" s="83" t="s">
        <v>426</v>
      </c>
      <c r="BQ4" s="83" t="s">
        <v>410</v>
      </c>
      <c r="BR4" s="83" t="s">
        <v>752</v>
      </c>
      <c r="BT4" s="83" t="s">
        <v>750</v>
      </c>
      <c r="BU4" s="83" t="s">
        <v>750</v>
      </c>
      <c r="BV4" s="83" t="s">
        <v>750</v>
      </c>
      <c r="BW4" s="83" t="s">
        <v>750</v>
      </c>
      <c r="BX4" s="83" t="s">
        <v>750</v>
      </c>
      <c r="BY4" s="83" t="s">
        <v>750</v>
      </c>
      <c r="BZ4" s="83" t="s">
        <v>750</v>
      </c>
      <c r="CA4" s="83" t="s">
        <v>750</v>
      </c>
      <c r="CB4" s="83" t="s">
        <v>751</v>
      </c>
      <c r="CC4" s="83" t="s">
        <v>751</v>
      </c>
      <c r="CD4" s="83" t="s">
        <v>751</v>
      </c>
      <c r="CE4" s="83" t="s">
        <v>753</v>
      </c>
      <c r="CI4" s="83"/>
      <c r="CJ4" s="83"/>
      <c r="CK4" s="83"/>
      <c r="CL4" s="83"/>
      <c r="CM4" s="83"/>
      <c r="CN4" s="83"/>
      <c r="CO4" s="83"/>
    </row>
    <row r="5" spans="1:93" ht="19" x14ac:dyDescent="0.25">
      <c r="A5" s="83"/>
      <c r="B5" s="103"/>
      <c r="C5" s="83"/>
      <c r="D5" s="1091" t="s">
        <v>754</v>
      </c>
      <c r="E5" s="1092"/>
      <c r="F5" s="83"/>
      <c r="G5" s="83"/>
      <c r="H5" s="1091" t="s">
        <v>40</v>
      </c>
      <c r="I5" s="1092"/>
      <c r="J5" s="83"/>
      <c r="K5" s="1093" t="s">
        <v>755</v>
      </c>
      <c r="L5" s="1094"/>
      <c r="M5" s="1094"/>
      <c r="N5" s="1094"/>
      <c r="O5" s="1094"/>
      <c r="P5" s="1094"/>
      <c r="Q5" s="1094"/>
      <c r="R5" s="1094"/>
      <c r="S5" s="1095"/>
      <c r="T5" s="104"/>
      <c r="U5" s="103"/>
      <c r="V5" s="83"/>
      <c r="W5" s="83" t="s">
        <v>189</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180</v>
      </c>
      <c r="AY5" s="1"/>
      <c r="AZ5" s="1"/>
      <c r="BA5" s="1"/>
      <c r="BD5" s="83" t="s">
        <v>410</v>
      </c>
      <c r="BF5" s="83" t="s">
        <v>410</v>
      </c>
      <c r="BG5" s="83" t="s">
        <v>410</v>
      </c>
      <c r="BH5" s="83" t="s">
        <v>756</v>
      </c>
      <c r="BJ5" s="83" t="s">
        <v>751</v>
      </c>
      <c r="BN5" s="83" t="s">
        <v>751</v>
      </c>
      <c r="BO5" s="13" t="s">
        <v>757</v>
      </c>
      <c r="BP5" s="83" t="s">
        <v>410</v>
      </c>
      <c r="BQ5" s="83" t="s">
        <v>758</v>
      </c>
      <c r="BR5" s="83" t="s">
        <v>759</v>
      </c>
      <c r="BT5" s="83" t="s">
        <v>756</v>
      </c>
      <c r="BU5" s="83" t="s">
        <v>756</v>
      </c>
      <c r="BV5" s="83" t="s">
        <v>756</v>
      </c>
      <c r="BW5" s="83" t="s">
        <v>756</v>
      </c>
      <c r="BX5" s="83" t="s">
        <v>756</v>
      </c>
      <c r="BY5" s="83" t="s">
        <v>756</v>
      </c>
      <c r="BZ5" s="83" t="s">
        <v>756</v>
      </c>
      <c r="CA5" s="83" t="s">
        <v>756</v>
      </c>
      <c r="CB5" s="83" t="s">
        <v>410</v>
      </c>
      <c r="CC5" s="83" t="s">
        <v>410</v>
      </c>
      <c r="CD5" s="83" t="s">
        <v>410</v>
      </c>
      <c r="CE5" s="83" t="s">
        <v>410</v>
      </c>
      <c r="CI5" s="83"/>
      <c r="CJ5" s="83"/>
      <c r="CK5" s="83"/>
      <c r="CL5" s="83"/>
      <c r="CM5" s="83"/>
      <c r="CN5" s="83"/>
      <c r="CO5" s="83"/>
    </row>
    <row r="6" spans="1:93" ht="16" x14ac:dyDescent="0.2">
      <c r="A6" s="83"/>
      <c r="B6" s="103"/>
      <c r="C6" s="979" t="s">
        <v>146</v>
      </c>
      <c r="D6" s="502" t="s">
        <v>760</v>
      </c>
      <c r="E6" s="513" t="s">
        <v>14</v>
      </c>
      <c r="F6" s="83"/>
      <c r="G6" s="83"/>
      <c r="H6" s="85"/>
      <c r="I6" s="110" t="s">
        <v>43</v>
      </c>
      <c r="J6" s="83"/>
      <c r="K6" s="1096"/>
      <c r="L6" s="1097"/>
      <c r="M6" s="1097"/>
      <c r="N6" s="1097"/>
      <c r="O6" s="1097"/>
      <c r="P6" s="1097"/>
      <c r="Q6" s="1097"/>
      <c r="R6" s="1097"/>
      <c r="S6" s="1098"/>
      <c r="T6" s="104"/>
      <c r="U6" s="103"/>
      <c r="V6" s="83"/>
      <c r="W6" s="83" t="s">
        <v>693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180</v>
      </c>
      <c r="BG6" s="83" t="s">
        <v>761</v>
      </c>
      <c r="BH6" s="83" t="s">
        <v>364</v>
      </c>
      <c r="BJ6" s="83" t="s">
        <v>410</v>
      </c>
      <c r="BN6" s="83" t="s">
        <v>410</v>
      </c>
      <c r="BO6" s="13" t="s">
        <v>762</v>
      </c>
      <c r="BP6" s="83" t="s">
        <v>287</v>
      </c>
      <c r="BQ6" s="83" t="s">
        <v>430</v>
      </c>
      <c r="BT6" s="83" t="s">
        <v>199</v>
      </c>
      <c r="BU6" s="83" t="s">
        <v>199</v>
      </c>
      <c r="BV6" s="83" t="s">
        <v>199</v>
      </c>
      <c r="BW6" s="83" t="s">
        <v>199</v>
      </c>
      <c r="BX6" s="83" t="s">
        <v>199</v>
      </c>
      <c r="BY6" s="83" t="s">
        <v>199</v>
      </c>
      <c r="BZ6" s="83" t="s">
        <v>199</v>
      </c>
      <c r="CA6" s="83" t="s">
        <v>199</v>
      </c>
      <c r="CB6" s="83" t="s">
        <v>180</v>
      </c>
      <c r="CC6" s="83" t="s">
        <v>180</v>
      </c>
      <c r="CD6" s="83" t="s">
        <v>180</v>
      </c>
      <c r="CI6" s="83"/>
      <c r="CJ6" s="83"/>
      <c r="CK6" s="83"/>
      <c r="CL6" s="83"/>
      <c r="CM6" s="83"/>
      <c r="CN6" s="83"/>
      <c r="CO6" s="83"/>
    </row>
    <row r="7" spans="1:93" ht="16" x14ac:dyDescent="0.2">
      <c r="A7" s="83"/>
      <c r="B7" s="103"/>
      <c r="C7" s="980"/>
      <c r="D7" s="91"/>
      <c r="E7" s="510"/>
      <c r="F7" s="83"/>
      <c r="G7" s="83"/>
      <c r="H7" s="95"/>
      <c r="I7" s="110" t="s">
        <v>49</v>
      </c>
      <c r="J7" s="83"/>
      <c r="K7" s="1096"/>
      <c r="L7" s="1097"/>
      <c r="M7" s="1097"/>
      <c r="N7" s="1097"/>
      <c r="O7" s="1097"/>
      <c r="P7" s="1097"/>
      <c r="Q7" s="1097"/>
      <c r="R7" s="1097"/>
      <c r="S7" s="1098"/>
      <c r="T7" s="104"/>
      <c r="U7" s="103"/>
      <c r="V7" s="83"/>
      <c r="W7" s="83" t="s">
        <v>694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763</v>
      </c>
      <c r="BH7" s="83" t="s">
        <v>199</v>
      </c>
      <c r="BJ7" s="83" t="s">
        <v>180</v>
      </c>
      <c r="BN7" s="83" t="s">
        <v>180</v>
      </c>
      <c r="BO7" s="13" t="s">
        <v>410</v>
      </c>
      <c r="BP7" s="83" t="s">
        <v>180</v>
      </c>
      <c r="BT7" s="83" t="s">
        <v>284</v>
      </c>
      <c r="BU7" s="83" t="s">
        <v>284</v>
      </c>
      <c r="BV7" s="83" t="s">
        <v>284</v>
      </c>
      <c r="BW7" s="83" t="s">
        <v>284</v>
      </c>
      <c r="BX7" s="83" t="s">
        <v>284</v>
      </c>
      <c r="BY7" s="83" t="s">
        <v>284</v>
      </c>
      <c r="BZ7" s="83" t="s">
        <v>284</v>
      </c>
      <c r="CA7" s="83" t="s">
        <v>284</v>
      </c>
      <c r="CB7" s="83" t="s">
        <v>763</v>
      </c>
      <c r="CC7" s="83" t="s">
        <v>763</v>
      </c>
      <c r="CD7" s="83" t="s">
        <v>763</v>
      </c>
      <c r="CI7" s="83"/>
      <c r="CJ7" s="83"/>
      <c r="CK7" s="83"/>
      <c r="CL7" s="83"/>
      <c r="CM7" s="83"/>
      <c r="CN7" s="83"/>
      <c r="CO7" s="83"/>
    </row>
    <row r="8" spans="1:93" ht="16" x14ac:dyDescent="0.2">
      <c r="A8" s="83"/>
      <c r="B8" s="103"/>
      <c r="C8" s="880"/>
      <c r="D8" s="509"/>
      <c r="E8" s="510"/>
      <c r="F8" s="83"/>
      <c r="G8" s="83"/>
      <c r="H8" s="94"/>
      <c r="I8" s="111" t="s">
        <v>51</v>
      </c>
      <c r="J8" s="83"/>
      <c r="K8" s="1096"/>
      <c r="L8" s="1097"/>
      <c r="M8" s="1097"/>
      <c r="N8" s="1097"/>
      <c r="O8" s="1097"/>
      <c r="P8" s="1097"/>
      <c r="Q8" s="1097"/>
      <c r="R8" s="1097"/>
      <c r="S8" s="1098"/>
      <c r="T8" s="104"/>
      <c r="U8" s="103"/>
      <c r="V8" s="83"/>
      <c r="W8" s="83" t="s">
        <v>192</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284</v>
      </c>
      <c r="BJ8" s="83" t="s">
        <v>763</v>
      </c>
      <c r="BN8" s="83" t="s">
        <v>763</v>
      </c>
      <c r="BO8" s="13" t="s">
        <v>426</v>
      </c>
      <c r="BP8" s="83" t="s">
        <v>764</v>
      </c>
      <c r="BT8" s="83" t="s">
        <v>197</v>
      </c>
      <c r="BU8" s="83" t="s">
        <v>197</v>
      </c>
      <c r="BV8" s="83" t="s">
        <v>197</v>
      </c>
      <c r="BW8" s="83" t="s">
        <v>197</v>
      </c>
      <c r="BX8" s="83" t="s">
        <v>197</v>
      </c>
      <c r="BY8" s="83" t="s">
        <v>197</v>
      </c>
      <c r="BZ8" s="83" t="s">
        <v>197</v>
      </c>
      <c r="CA8" s="83" t="s">
        <v>197</v>
      </c>
      <c r="CH8" s="1078" t="s">
        <v>765</v>
      </c>
      <c r="CI8" s="1079"/>
      <c r="CJ8" s="1079"/>
      <c r="CK8" s="1079"/>
      <c r="CL8" s="1079"/>
      <c r="CM8" s="1080"/>
      <c r="CN8" s="83"/>
      <c r="CO8" s="83"/>
    </row>
    <row r="9" spans="1:93" ht="16" x14ac:dyDescent="0.2">
      <c r="A9" s="83"/>
      <c r="B9" s="103"/>
      <c r="C9" s="881"/>
      <c r="D9" s="511"/>
      <c r="E9" s="512"/>
      <c r="F9" s="83"/>
      <c r="G9" s="83"/>
      <c r="H9" s="108"/>
      <c r="I9" s="109" t="s">
        <v>54</v>
      </c>
      <c r="J9" s="83"/>
      <c r="K9" s="1099"/>
      <c r="L9" s="1100"/>
      <c r="M9" s="1100"/>
      <c r="N9" s="1100"/>
      <c r="O9" s="1100"/>
      <c r="P9" s="1100"/>
      <c r="Q9" s="1100"/>
      <c r="R9" s="1100"/>
      <c r="S9" s="1101"/>
      <c r="T9" s="104"/>
      <c r="U9" s="103"/>
      <c r="V9" s="83"/>
      <c r="W9" s="83" t="s">
        <v>696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197</v>
      </c>
      <c r="BO9" s="13" t="s">
        <v>761</v>
      </c>
      <c r="BP9" s="83" t="s">
        <v>766</v>
      </c>
      <c r="BT9" s="83" t="s">
        <v>767</v>
      </c>
      <c r="BU9" s="83" t="s">
        <v>767</v>
      </c>
      <c r="BV9" s="83" t="s">
        <v>767</v>
      </c>
      <c r="BW9" s="83" t="s">
        <v>767</v>
      </c>
      <c r="BX9" s="83" t="s">
        <v>767</v>
      </c>
      <c r="BY9" s="83" t="s">
        <v>767</v>
      </c>
      <c r="BZ9" s="83" t="s">
        <v>767</v>
      </c>
      <c r="CA9" s="83" t="s">
        <v>767</v>
      </c>
      <c r="CH9" s="1081"/>
      <c r="CI9" s="1082"/>
      <c r="CJ9" s="1082"/>
      <c r="CK9" s="1082"/>
      <c r="CL9" s="1082"/>
      <c r="CM9" s="1083"/>
      <c r="CN9" s="83"/>
      <c r="CO9" s="83"/>
    </row>
    <row r="10" spans="1:93" x14ac:dyDescent="0.2">
      <c r="A10" s="83"/>
      <c r="B10" s="103"/>
      <c r="C10" s="83"/>
      <c r="D10" s="83"/>
      <c r="E10" s="83"/>
      <c r="F10" s="83"/>
      <c r="G10" s="83"/>
      <c r="H10" s="83"/>
      <c r="I10" s="83"/>
      <c r="J10" s="83"/>
      <c r="K10" s="83"/>
      <c r="L10" s="83"/>
      <c r="M10" s="83"/>
      <c r="N10" s="83"/>
      <c r="O10" s="83"/>
      <c r="P10" s="83"/>
      <c r="Q10" s="83"/>
      <c r="R10" s="83"/>
      <c r="S10" s="83"/>
      <c r="T10" s="104"/>
      <c r="U10" s="103"/>
      <c r="V10" s="83"/>
      <c r="W10" s="83" t="s">
        <v>697</v>
      </c>
      <c r="X10" s="1"/>
      <c r="Y10" s="1"/>
      <c r="Z10" s="1"/>
      <c r="AA10" s="1"/>
      <c r="AB10" s="1"/>
      <c r="AG10" s="83" t="str">
        <f>+'Equipment Data'!B85</f>
        <v>Table</v>
      </c>
      <c r="AJ10" s="83" t="str">
        <f>+'Equipment Data'!B137</f>
        <v>Teflon Tube</v>
      </c>
      <c r="AK10" s="1"/>
      <c r="AL10" s="1"/>
      <c r="AW10" s="1"/>
      <c r="BH10" s="83" t="s">
        <v>767</v>
      </c>
      <c r="BO10" s="13" t="s">
        <v>768</v>
      </c>
      <c r="BT10" s="83" t="s">
        <v>769</v>
      </c>
      <c r="BU10" s="83" t="s">
        <v>769</v>
      </c>
      <c r="BV10" s="83" t="s">
        <v>769</v>
      </c>
      <c r="BW10" s="83" t="s">
        <v>769</v>
      </c>
      <c r="BX10" s="83" t="s">
        <v>769</v>
      </c>
      <c r="BY10" s="83" t="s">
        <v>769</v>
      </c>
      <c r="BZ10" s="83" t="s">
        <v>769</v>
      </c>
      <c r="CA10" s="83" t="s">
        <v>769</v>
      </c>
      <c r="CI10" s="83"/>
      <c r="CJ10" s="83"/>
      <c r="CK10" s="83"/>
      <c r="CL10" s="83"/>
      <c r="CM10" s="83"/>
      <c r="CN10" s="83"/>
      <c r="CO10" s="83"/>
    </row>
    <row r="11" spans="1:93" ht="19" x14ac:dyDescent="0.2">
      <c r="A11" s="83"/>
      <c r="B11" s="103"/>
      <c r="C11" s="83"/>
      <c r="D11" s="917" t="s">
        <v>770</v>
      </c>
      <c r="E11" s="918"/>
      <c r="F11" s="918"/>
      <c r="G11" s="918"/>
      <c r="H11" s="918"/>
      <c r="I11" s="918"/>
      <c r="J11" s="918"/>
      <c r="K11" s="918"/>
      <c r="L11" s="919"/>
      <c r="M11" s="917" t="s">
        <v>771</v>
      </c>
      <c r="N11" s="918"/>
      <c r="O11" s="918"/>
      <c r="P11" s="918"/>
      <c r="Q11" s="919"/>
      <c r="R11" s="83"/>
      <c r="S11" s="83"/>
      <c r="T11" s="104"/>
      <c r="U11" s="103"/>
      <c r="V11" s="83"/>
      <c r="W11" s="83" t="s">
        <v>698</v>
      </c>
      <c r="X11" s="1"/>
      <c r="Y11" s="1"/>
      <c r="Z11" s="1"/>
      <c r="AA11" s="1"/>
      <c r="AB11" s="1"/>
      <c r="AG11" s="83" t="str">
        <f>+'Equipment Data'!B86</f>
        <v>Tube</v>
      </c>
      <c r="AJ11" s="83" t="str">
        <f>+'Equipment Data'!B138</f>
        <v>Air Cooler</v>
      </c>
      <c r="AK11" s="1"/>
      <c r="AL11" s="1"/>
      <c r="AW11" s="1"/>
      <c r="BH11" s="83" t="s">
        <v>769</v>
      </c>
      <c r="BO11" s="13" t="s">
        <v>763</v>
      </c>
      <c r="BT11" s="83" t="s">
        <v>364</v>
      </c>
      <c r="BU11" s="83" t="s">
        <v>364</v>
      </c>
      <c r="BV11" s="83" t="s">
        <v>364</v>
      </c>
      <c r="BW11" s="83" t="s">
        <v>364</v>
      </c>
      <c r="BX11" s="83" t="s">
        <v>364</v>
      </c>
      <c r="BY11" s="83" t="s">
        <v>364</v>
      </c>
      <c r="BZ11" s="83" t="s">
        <v>364</v>
      </c>
      <c r="CA11" s="83" t="s">
        <v>364</v>
      </c>
      <c r="CI11" s="83"/>
      <c r="CJ11" s="83"/>
      <c r="CK11" s="83"/>
      <c r="CL11" s="83"/>
      <c r="CM11" s="83"/>
      <c r="CN11" s="83"/>
      <c r="CO11" s="83"/>
    </row>
    <row r="12" spans="1:93" ht="19" x14ac:dyDescent="0.2">
      <c r="A12" s="83"/>
      <c r="B12" s="103"/>
      <c r="C12" s="88" t="s">
        <v>161</v>
      </c>
      <c r="D12" s="258" t="s">
        <v>141</v>
      </c>
      <c r="E12" s="258" t="s">
        <v>162</v>
      </c>
      <c r="F12" s="230" t="s">
        <v>163</v>
      </c>
      <c r="G12" s="230" t="s">
        <v>164</v>
      </c>
      <c r="H12" s="232" t="s">
        <v>75</v>
      </c>
      <c r="I12" s="258" t="s">
        <v>165</v>
      </c>
      <c r="J12" s="231" t="s">
        <v>166</v>
      </c>
      <c r="K12" s="230" t="s">
        <v>167</v>
      </c>
      <c r="L12" s="230" t="s">
        <v>168</v>
      </c>
      <c r="M12" s="232" t="s">
        <v>169</v>
      </c>
      <c r="N12" s="232" t="s">
        <v>170</v>
      </c>
      <c r="O12" s="232" t="s">
        <v>772</v>
      </c>
      <c r="P12" s="232" t="s">
        <v>172</v>
      </c>
      <c r="Q12" s="231" t="s">
        <v>173</v>
      </c>
      <c r="R12" s="90" t="s">
        <v>174</v>
      </c>
      <c r="S12" s="90" t="s">
        <v>773</v>
      </c>
      <c r="T12" s="104"/>
      <c r="U12" s="103"/>
      <c r="V12" s="83"/>
      <c r="W12" s="83" t="s">
        <v>699</v>
      </c>
      <c r="X12" s="1"/>
      <c r="Y12" s="1"/>
      <c r="Z12" s="1"/>
      <c r="AA12" s="1"/>
      <c r="AB12" s="1"/>
      <c r="AJ12" s="83" t="s">
        <v>774</v>
      </c>
      <c r="AK12" s="1"/>
      <c r="AL12" s="1"/>
      <c r="AW12" s="1"/>
      <c r="BH12" s="83" t="s">
        <v>182</v>
      </c>
      <c r="BO12" s="13" t="s">
        <v>764</v>
      </c>
      <c r="CI12" s="83"/>
      <c r="CJ12" s="83"/>
      <c r="CK12" s="83"/>
      <c r="CL12" s="83"/>
      <c r="CM12" s="83"/>
      <c r="CN12" s="83"/>
      <c r="CO12" s="83"/>
    </row>
    <row r="13" spans="1:93" x14ac:dyDescent="0.2">
      <c r="A13" s="83"/>
      <c r="B13" s="103"/>
      <c r="C13" s="259"/>
      <c r="D13" s="208" t="s">
        <v>775</v>
      </c>
      <c r="E13" s="208" t="s">
        <v>776</v>
      </c>
      <c r="F13" s="96">
        <v>1</v>
      </c>
      <c r="G13" s="96" t="s">
        <v>187</v>
      </c>
      <c r="H13" s="96" t="s">
        <v>179</v>
      </c>
      <c r="I13" s="96" t="s">
        <v>187</v>
      </c>
      <c r="J13" s="96" t="str">
        <f>+IF(F13&gt;'Equipment Data'!$G$4,"yes","No")</f>
        <v>No</v>
      </c>
      <c r="K13" s="96">
        <v>0.67</v>
      </c>
      <c r="L13" s="96" t="s">
        <v>187</v>
      </c>
      <c r="M13" s="156">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96" t="s">
        <v>187</v>
      </c>
      <c r="O13" s="96" t="s">
        <v>187</v>
      </c>
      <c r="P13" s="152">
        <f>+'Equipment Data'!$H$4</f>
        <v>1.1200000000000001</v>
      </c>
      <c r="Q13" s="153">
        <f>+M13*P13</f>
        <v>115695.91434724194</v>
      </c>
      <c r="R13" s="263"/>
      <c r="S13" s="264"/>
      <c r="T13" s="104"/>
      <c r="U13" s="103"/>
      <c r="V13" s="83"/>
      <c r="W13" s="83" t="s">
        <v>700</v>
      </c>
      <c r="X13" s="1"/>
      <c r="Y13" s="1"/>
      <c r="Z13" s="1"/>
      <c r="AA13" s="1"/>
      <c r="AB13" s="1"/>
      <c r="AJ13" s="83" t="str">
        <f>+'Equipment Data'!B141</f>
        <v>Spiral Plate</v>
      </c>
      <c r="AK13" s="1"/>
      <c r="AL13" s="1"/>
      <c r="AW13" s="1"/>
      <c r="BH13" s="83" t="s">
        <v>751</v>
      </c>
      <c r="CI13" s="83"/>
      <c r="CJ13" s="83"/>
      <c r="CK13" s="83"/>
      <c r="CL13" s="83"/>
      <c r="CM13" s="83"/>
      <c r="CN13" s="83"/>
      <c r="CO13" s="83"/>
    </row>
    <row r="14" spans="1:93" x14ac:dyDescent="0.2">
      <c r="A14" s="83"/>
      <c r="B14" s="103"/>
      <c r="C14" s="260"/>
      <c r="D14" s="208" t="s">
        <v>775</v>
      </c>
      <c r="E14" s="208" t="s">
        <v>777</v>
      </c>
      <c r="F14" s="96">
        <v>1</v>
      </c>
      <c r="G14" s="96" t="s">
        <v>187</v>
      </c>
      <c r="H14" s="96" t="s">
        <v>179</v>
      </c>
      <c r="I14" s="96" t="s">
        <v>187</v>
      </c>
      <c r="J14" s="96" t="str">
        <f>+IF(F14&gt;'Equipment Data'!$G$5,"yes","No")</f>
        <v>No</v>
      </c>
      <c r="K14" s="96">
        <v>0.67</v>
      </c>
      <c r="L14" s="96" t="s">
        <v>187</v>
      </c>
      <c r="M14" s="156">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96" t="s">
        <v>187</v>
      </c>
      <c r="O14" s="96" t="s">
        <v>187</v>
      </c>
      <c r="P14" s="152">
        <f>+'Equipment Data'!$H$5</f>
        <v>1.1200000000000001</v>
      </c>
      <c r="Q14" s="153">
        <f t="shared" ref="Q14:Q34" si="0">+M14*P14</f>
        <v>15339.740849225012</v>
      </c>
      <c r="R14" s="265"/>
      <c r="S14" s="266"/>
      <c r="T14" s="104"/>
      <c r="U14" s="103"/>
      <c r="V14" s="83"/>
      <c r="W14" s="83" t="s">
        <v>701</v>
      </c>
      <c r="X14" s="1"/>
      <c r="Y14" s="1"/>
      <c r="Z14" s="1"/>
      <c r="AA14" s="1"/>
      <c r="AB14" s="1"/>
      <c r="AJ14" s="83" t="str">
        <f>+'Equipment Data'!B142</f>
        <v>Flat Plate</v>
      </c>
      <c r="AK14" s="1"/>
      <c r="AL14" s="1"/>
      <c r="AW14" s="1"/>
      <c r="BH14" s="83" t="s">
        <v>410</v>
      </c>
      <c r="CI14" s="83"/>
      <c r="CJ14" s="83"/>
      <c r="CK14" s="83"/>
      <c r="CL14" s="83"/>
      <c r="CM14" s="83"/>
      <c r="CN14" s="83"/>
      <c r="CO14" s="83"/>
    </row>
    <row r="15" spans="1:93" x14ac:dyDescent="0.2">
      <c r="A15" s="83"/>
      <c r="B15" s="103"/>
      <c r="C15" s="261"/>
      <c r="D15" s="208" t="s">
        <v>775</v>
      </c>
      <c r="E15" s="208" t="s">
        <v>778</v>
      </c>
      <c r="F15" s="96">
        <v>1</v>
      </c>
      <c r="G15" s="96" t="s">
        <v>187</v>
      </c>
      <c r="H15" s="96" t="s">
        <v>179</v>
      </c>
      <c r="I15" s="96" t="s">
        <v>187</v>
      </c>
      <c r="J15" s="96" t="str">
        <f>+IF(F15&gt;'Equipment Data'!$G$6,"yes","No")</f>
        <v>No</v>
      </c>
      <c r="K15" s="96">
        <v>0.67</v>
      </c>
      <c r="L15" s="96" t="s">
        <v>187</v>
      </c>
      <c r="M15" s="156">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96" t="s">
        <v>187</v>
      </c>
      <c r="O15" s="96" t="s">
        <v>187</v>
      </c>
      <c r="P15" s="152">
        <f>+'Equipment Data'!$H$6</f>
        <v>1.1200000000000001</v>
      </c>
      <c r="Q15" s="153">
        <f t="shared" si="0"/>
        <v>15339.740849225012</v>
      </c>
      <c r="R15" s="267"/>
      <c r="S15" s="268"/>
      <c r="T15" s="104"/>
      <c r="U15" s="103"/>
      <c r="V15" s="83"/>
      <c r="W15" s="83" t="s">
        <v>194</v>
      </c>
      <c r="X15" s="1"/>
      <c r="Y15" s="1"/>
      <c r="Z15" s="1"/>
      <c r="AA15" s="1"/>
      <c r="AB15" s="1"/>
      <c r="AW15" s="1"/>
      <c r="BH15" s="83" t="s">
        <v>180</v>
      </c>
      <c r="CI15" s="83"/>
      <c r="CJ15" s="83"/>
      <c r="CK15" s="83"/>
      <c r="CL15" s="83"/>
      <c r="CM15" s="83"/>
      <c r="CN15" s="83"/>
      <c r="CO15" s="83"/>
    </row>
    <row r="16" spans="1:93" x14ac:dyDescent="0.2">
      <c r="A16" s="83"/>
      <c r="B16" s="103"/>
      <c r="C16" s="194"/>
      <c r="D16" s="208" t="s">
        <v>779</v>
      </c>
      <c r="E16" s="208" t="s">
        <v>780</v>
      </c>
      <c r="F16" s="96">
        <v>1</v>
      </c>
      <c r="G16" s="96" t="s">
        <v>187</v>
      </c>
      <c r="H16" s="96" t="s">
        <v>244</v>
      </c>
      <c r="I16" s="96" t="s">
        <v>187</v>
      </c>
      <c r="J16" s="96" t="str">
        <f>+IF(F16&gt;'Equipment Data'!$G$11,"yes","No")</f>
        <v>No</v>
      </c>
      <c r="K16" s="96">
        <v>0.67</v>
      </c>
      <c r="L16" s="96" t="s">
        <v>187</v>
      </c>
      <c r="M16" s="156">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96" t="s">
        <v>187</v>
      </c>
      <c r="O16" s="158" t="s">
        <v>187</v>
      </c>
      <c r="P16" s="152">
        <f>+'Equipment Data'!$H$11</f>
        <v>1.57</v>
      </c>
      <c r="Q16" s="153">
        <f t="shared" si="0"/>
        <v>92044.883506491591</v>
      </c>
      <c r="R16" s="151"/>
      <c r="S16" s="199"/>
      <c r="T16" s="104"/>
      <c r="U16" s="103"/>
      <c r="V16" s="83"/>
      <c r="W16" s="83" t="s">
        <v>702</v>
      </c>
      <c r="X16" s="83"/>
      <c r="AW16" s="1"/>
      <c r="BH16" s="83" t="s">
        <v>763</v>
      </c>
      <c r="CI16" s="83"/>
      <c r="CJ16" s="83"/>
      <c r="CK16" s="83"/>
      <c r="CL16" s="83"/>
      <c r="CM16" s="83"/>
      <c r="CN16" s="83"/>
      <c r="CO16" s="83"/>
    </row>
    <row r="17" spans="1:93" x14ac:dyDescent="0.2">
      <c r="A17" s="83"/>
      <c r="B17" s="103"/>
      <c r="C17" s="192"/>
      <c r="D17" s="208" t="s">
        <v>779</v>
      </c>
      <c r="E17" s="208" t="s">
        <v>781</v>
      </c>
      <c r="F17" s="96">
        <v>1</v>
      </c>
      <c r="G17" s="96" t="s">
        <v>187</v>
      </c>
      <c r="H17" s="96" t="s">
        <v>244</v>
      </c>
      <c r="I17" s="96" t="s">
        <v>187</v>
      </c>
      <c r="J17" s="96" t="str">
        <f>+IF(F17&gt;'Equipment Data'!$G$12,"yes","No")</f>
        <v>No</v>
      </c>
      <c r="K17" s="96">
        <v>0.67</v>
      </c>
      <c r="L17" s="96" t="s">
        <v>187</v>
      </c>
      <c r="M17" s="156">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96" t="s">
        <v>187</v>
      </c>
      <c r="O17" s="158" t="s">
        <v>187</v>
      </c>
      <c r="P17" s="152">
        <f>+'Equipment Data'!$H$12</f>
        <v>1.57</v>
      </c>
      <c r="Q17" s="153">
        <f t="shared" si="0"/>
        <v>36066.139022386218</v>
      </c>
      <c r="R17" s="97"/>
      <c r="S17" s="193"/>
      <c r="T17" s="104"/>
      <c r="U17" s="103"/>
      <c r="V17" s="83"/>
      <c r="W17" s="83" t="s">
        <v>184</v>
      </c>
      <c r="X17" s="83"/>
      <c r="AW17" s="1"/>
      <c r="BH17" s="83" t="s">
        <v>753</v>
      </c>
      <c r="CI17" s="83"/>
      <c r="CJ17" s="83"/>
      <c r="CK17" s="83"/>
      <c r="CL17" s="83"/>
      <c r="CM17" s="83"/>
      <c r="CN17" s="83"/>
      <c r="CO17" s="83"/>
    </row>
    <row r="18" spans="1:93" x14ac:dyDescent="0.2">
      <c r="A18" s="83"/>
      <c r="B18" s="103"/>
      <c r="C18" s="192"/>
      <c r="D18" s="208" t="s">
        <v>779</v>
      </c>
      <c r="E18" s="208" t="s">
        <v>782</v>
      </c>
      <c r="F18" s="96">
        <v>1</v>
      </c>
      <c r="G18" s="96" t="s">
        <v>187</v>
      </c>
      <c r="H18" s="96" t="s">
        <v>244</v>
      </c>
      <c r="I18" s="96" t="s">
        <v>187</v>
      </c>
      <c r="J18" s="96" t="str">
        <f>+IF(F18&gt;'Equipment Data'!$G$13,"yes","No")</f>
        <v>No</v>
      </c>
      <c r="K18" s="96">
        <v>0.67</v>
      </c>
      <c r="L18" s="96" t="s">
        <v>187</v>
      </c>
      <c r="M18" s="156">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96" t="s">
        <v>187</v>
      </c>
      <c r="O18" s="96" t="s">
        <v>187</v>
      </c>
      <c r="P18" s="152">
        <f>+'Equipment Data'!$H$13</f>
        <v>1.57</v>
      </c>
      <c r="Q18" s="153">
        <f t="shared" si="0"/>
        <v>113736.44573177362</v>
      </c>
      <c r="R18" s="97"/>
      <c r="S18" s="193"/>
      <c r="T18" s="104"/>
      <c r="U18" s="103"/>
      <c r="V18" s="83"/>
      <c r="W18" s="83" t="s">
        <v>266</v>
      </c>
      <c r="X18" s="83"/>
      <c r="AW18" s="1"/>
      <c r="CI18" s="83"/>
      <c r="CJ18" s="83"/>
      <c r="CK18" s="83"/>
      <c r="CL18" s="83"/>
      <c r="CM18" s="83"/>
      <c r="CN18" s="83"/>
      <c r="CO18" s="83"/>
    </row>
    <row r="19" spans="1:93" x14ac:dyDescent="0.2">
      <c r="A19" s="83"/>
      <c r="B19" s="103"/>
      <c r="C19" s="192"/>
      <c r="D19" s="208" t="s">
        <v>779</v>
      </c>
      <c r="E19" s="208" t="s">
        <v>783</v>
      </c>
      <c r="F19" s="96">
        <v>1</v>
      </c>
      <c r="G19" s="96" t="s">
        <v>187</v>
      </c>
      <c r="H19" s="96" t="s">
        <v>244</v>
      </c>
      <c r="I19" s="96" t="s">
        <v>187</v>
      </c>
      <c r="J19" s="96" t="str">
        <f>+IF(F19&gt;'Equipment Data'!$G$14,"yes","No")</f>
        <v>No</v>
      </c>
      <c r="K19" s="96">
        <v>0.67</v>
      </c>
      <c r="L19" s="96" t="s">
        <v>187</v>
      </c>
      <c r="M19" s="156">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96" t="s">
        <v>187</v>
      </c>
      <c r="O19" s="96" t="s">
        <v>187</v>
      </c>
      <c r="P19" s="152">
        <f>+'Equipment Data'!$H$14</f>
        <v>1.27</v>
      </c>
      <c r="Q19" s="153">
        <f t="shared" si="0"/>
        <v>118441.45148013598</v>
      </c>
      <c r="R19" s="98"/>
      <c r="S19" s="201"/>
      <c r="T19" s="104"/>
      <c r="U19" s="103"/>
      <c r="V19" s="83"/>
      <c r="W19" s="83" t="s">
        <v>704</v>
      </c>
      <c r="X19" s="83"/>
      <c r="AW19" s="1"/>
      <c r="CI19" s="83"/>
      <c r="CJ19" s="83"/>
      <c r="CK19" s="83"/>
      <c r="CL19" s="83"/>
      <c r="CM19" s="83"/>
      <c r="CN19" s="83"/>
      <c r="CO19" s="83"/>
    </row>
    <row r="20" spans="1:93" x14ac:dyDescent="0.2">
      <c r="A20" s="83"/>
      <c r="B20" s="103"/>
      <c r="C20" s="259"/>
      <c r="D20" s="208" t="s">
        <v>189</v>
      </c>
      <c r="E20" s="208" t="s">
        <v>190</v>
      </c>
      <c r="F20" s="96">
        <v>1</v>
      </c>
      <c r="G20" s="96" t="s">
        <v>187</v>
      </c>
      <c r="H20" s="96" t="s">
        <v>186</v>
      </c>
      <c r="I20" s="96" t="s">
        <v>182</v>
      </c>
      <c r="J20" s="96" t="str">
        <f>+IF(F20&gt;'Equipment Data'!$J$19,"yes","No")</f>
        <v>No</v>
      </c>
      <c r="K20" s="96">
        <v>0.67</v>
      </c>
      <c r="L20" s="96" t="s">
        <v>187</v>
      </c>
      <c r="M20" s="156">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96" t="s">
        <v>187</v>
      </c>
      <c r="O20" s="158" t="s">
        <v>187</v>
      </c>
      <c r="P20" s="152">
        <f>+IF(I20="CS",'Equipment Data'!$F$19,IF(I20="SS",'Equipment Data'!$G$19,IF(I20="Ni",'Equipment Data'!$H$19,"N/A")))</f>
        <v>2.74</v>
      </c>
      <c r="Q20" s="153">
        <f t="shared" si="0"/>
        <v>533.15141088122277</v>
      </c>
      <c r="R20" s="263"/>
      <c r="S20" s="269"/>
      <c r="T20" s="104"/>
      <c r="U20" s="103"/>
      <c r="V20" s="83"/>
      <c r="W20" s="83" t="s">
        <v>705</v>
      </c>
      <c r="X20" s="83"/>
      <c r="AW20" s="1"/>
      <c r="CI20" s="83"/>
      <c r="CJ20" s="83"/>
      <c r="CK20" s="83"/>
      <c r="CL20" s="83"/>
      <c r="CM20" s="83"/>
      <c r="CN20" s="83"/>
      <c r="CO20" s="83"/>
    </row>
    <row r="21" spans="1:93" x14ac:dyDescent="0.2">
      <c r="A21" s="83"/>
      <c r="B21" s="103"/>
      <c r="C21" s="260"/>
      <c r="D21" s="208" t="s">
        <v>189</v>
      </c>
      <c r="E21" s="208" t="s">
        <v>363</v>
      </c>
      <c r="F21" s="96">
        <v>1</v>
      </c>
      <c r="G21" s="96" t="s">
        <v>187</v>
      </c>
      <c r="H21" s="96" t="s">
        <v>186</v>
      </c>
      <c r="I21" s="96" t="s">
        <v>182</v>
      </c>
      <c r="J21" s="96" t="str">
        <f>+IF(F21&gt;'Equipment Data'!$J$20,"yes","No")</f>
        <v>No</v>
      </c>
      <c r="K21" s="96">
        <v>0.67</v>
      </c>
      <c r="L21" s="96" t="s">
        <v>187</v>
      </c>
      <c r="M21" s="156">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96" t="s">
        <v>187</v>
      </c>
      <c r="O21" s="96" t="s">
        <v>187</v>
      </c>
      <c r="P21" s="152">
        <f>+IF(I21="CS",'Equipment Data'!$F$20,IF(I21="SS",'Equipment Data'!$G$20,IF(I21="Ni",'Equipment Data'!$H$20,"N/A")))</f>
        <v>3.83</v>
      </c>
      <c r="Q21" s="153">
        <f t="shared" si="0"/>
        <v>745.24449039236606</v>
      </c>
      <c r="R21" s="265"/>
      <c r="S21" s="270"/>
      <c r="T21" s="104"/>
      <c r="U21" s="83"/>
      <c r="V21" s="83"/>
      <c r="W21" s="83" t="s">
        <v>420</v>
      </c>
      <c r="X21" s="83"/>
      <c r="AW21" s="1"/>
      <c r="CI21" s="83"/>
      <c r="CJ21" s="83"/>
      <c r="CK21" s="83"/>
      <c r="CL21" s="83"/>
      <c r="CM21" s="83"/>
      <c r="CN21" s="83"/>
      <c r="CO21" s="83"/>
    </row>
    <row r="22" spans="1:93" x14ac:dyDescent="0.2">
      <c r="A22" s="83"/>
      <c r="B22" s="103"/>
      <c r="C22" s="260"/>
      <c r="D22" s="208" t="s">
        <v>189</v>
      </c>
      <c r="E22" s="208" t="s">
        <v>778</v>
      </c>
      <c r="F22" s="96">
        <v>1</v>
      </c>
      <c r="G22" s="96" t="s">
        <v>187</v>
      </c>
      <c r="H22" s="96" t="s">
        <v>186</v>
      </c>
      <c r="I22" s="96" t="s">
        <v>182</v>
      </c>
      <c r="J22" s="96" t="str">
        <f>+IF(F22&gt;'Equipment Data'!$J$21,"yes","No")</f>
        <v>No</v>
      </c>
      <c r="K22" s="96">
        <v>0.67</v>
      </c>
      <c r="L22" s="96" t="s">
        <v>187</v>
      </c>
      <c r="M22" s="156">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96" t="s">
        <v>187</v>
      </c>
      <c r="O22" s="96" t="s">
        <v>187</v>
      </c>
      <c r="P22" s="152">
        <f>+IF(I22="CS",'Equipment Data'!$F$21,IF(I22="SS",'Equipment Data'!$G$21,IF(I22="Ni",'Equipment Data'!$H$21,"N/A")))</f>
        <v>2.41</v>
      </c>
      <c r="Q22" s="153">
        <f t="shared" si="0"/>
        <v>261527.30746150017</v>
      </c>
      <c r="R22" s="265"/>
      <c r="S22" s="270"/>
      <c r="T22" s="104"/>
      <c r="U22" s="83"/>
      <c r="V22" s="83"/>
      <c r="W22" s="83" t="s">
        <v>706</v>
      </c>
      <c r="X22" s="83"/>
      <c r="AW22" s="1"/>
      <c r="CI22" s="83"/>
      <c r="CJ22" s="83"/>
      <c r="CK22" s="83"/>
      <c r="CL22" s="83"/>
      <c r="CM22" s="83"/>
      <c r="CN22" s="83"/>
      <c r="CO22" s="83"/>
    </row>
    <row r="23" spans="1:93" x14ac:dyDescent="0.2">
      <c r="A23" s="83"/>
      <c r="B23" s="103"/>
      <c r="C23" s="260"/>
      <c r="D23" s="208" t="s">
        <v>189</v>
      </c>
      <c r="E23" s="208" t="s">
        <v>784</v>
      </c>
      <c r="F23" s="96">
        <v>1</v>
      </c>
      <c r="G23" s="96" t="s">
        <v>187</v>
      </c>
      <c r="H23" s="96" t="s">
        <v>186</v>
      </c>
      <c r="I23" s="96" t="s">
        <v>182</v>
      </c>
      <c r="J23" s="96" t="str">
        <f>+IF(F23&gt;'Equipment Data'!$J$22,"yes","No")</f>
        <v>No</v>
      </c>
      <c r="K23" s="96">
        <v>0.67</v>
      </c>
      <c r="L23" s="96" t="s">
        <v>187</v>
      </c>
      <c r="M23" s="156">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96" t="s">
        <v>187</v>
      </c>
      <c r="O23" s="96" t="s">
        <v>187</v>
      </c>
      <c r="P23" s="152">
        <f>+IF(I23="CS",'Equipment Data'!$F$22,IF(I23="SS",'Equipment Data'!$G$22,IF(I23="Ni",'Equipment Data'!$H$22,"N/A")))</f>
        <v>3.37</v>
      </c>
      <c r="Q23" s="153">
        <f t="shared" si="0"/>
        <v>655.7373192225258</v>
      </c>
      <c r="R23" s="265"/>
      <c r="S23" s="270"/>
      <c r="T23" s="104"/>
      <c r="U23" s="83"/>
      <c r="V23" s="83"/>
      <c r="W23" s="83" t="s">
        <v>177</v>
      </c>
      <c r="X23" s="83"/>
      <c r="AW23" s="1"/>
      <c r="CI23" s="83"/>
      <c r="CJ23" s="83"/>
      <c r="CK23" s="83"/>
      <c r="CL23" s="83"/>
      <c r="CM23" s="83"/>
      <c r="CN23" s="83"/>
      <c r="CO23" s="83"/>
    </row>
    <row r="24" spans="1:93" x14ac:dyDescent="0.2">
      <c r="A24" s="83"/>
      <c r="B24" s="103"/>
      <c r="C24" s="194"/>
      <c r="D24" s="208" t="s">
        <v>693</v>
      </c>
      <c r="E24" s="208" t="s">
        <v>785</v>
      </c>
      <c r="F24" s="96">
        <v>1</v>
      </c>
      <c r="G24" s="96" t="s">
        <v>187</v>
      </c>
      <c r="H24" s="96" t="s">
        <v>196</v>
      </c>
      <c r="I24" s="96" t="s">
        <v>187</v>
      </c>
      <c r="J24" s="96" t="str">
        <f>+IF(F24&gt;'Equipment Data'!$G$27,"yes","No")</f>
        <v>No</v>
      </c>
      <c r="K24" s="96">
        <v>0.67</v>
      </c>
      <c r="L24" s="96" t="s">
        <v>187</v>
      </c>
      <c r="M24" s="156">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96" t="s">
        <v>187</v>
      </c>
      <c r="O24" s="96" t="s">
        <v>187</v>
      </c>
      <c r="P24" s="152">
        <f>+'Equipment Data'!$H$27</f>
        <v>2</v>
      </c>
      <c r="Q24" s="153">
        <f t="shared" si="0"/>
        <v>16847.287828768036</v>
      </c>
      <c r="R24" s="151"/>
      <c r="S24" s="179"/>
      <c r="T24" s="104"/>
      <c r="U24" s="83"/>
      <c r="V24" s="83"/>
      <c r="W24" s="83" t="s">
        <v>428</v>
      </c>
      <c r="X24" s="83"/>
      <c r="AW24" s="1"/>
      <c r="CI24" s="83"/>
      <c r="CJ24" s="83"/>
      <c r="CK24" s="83"/>
      <c r="CL24" s="83"/>
      <c r="CM24" s="83"/>
      <c r="CN24" s="83"/>
      <c r="CO24" s="83"/>
    </row>
    <row r="25" spans="1:93" x14ac:dyDescent="0.2">
      <c r="A25" s="83"/>
      <c r="B25" s="103"/>
      <c r="C25" s="192"/>
      <c r="D25" s="208" t="s">
        <v>693</v>
      </c>
      <c r="E25" s="208" t="s">
        <v>786</v>
      </c>
      <c r="F25" s="96">
        <v>1</v>
      </c>
      <c r="G25" s="96" t="s">
        <v>187</v>
      </c>
      <c r="H25" s="96" t="s">
        <v>196</v>
      </c>
      <c r="I25" s="96" t="s">
        <v>187</v>
      </c>
      <c r="J25" s="96" t="str">
        <f>+IF(F25&gt;'Equipment Data'!$G$28,"yes","No")</f>
        <v>No</v>
      </c>
      <c r="K25" s="96">
        <v>0.67</v>
      </c>
      <c r="L25" s="96" t="s">
        <v>187</v>
      </c>
      <c r="M25" s="156">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96" t="s">
        <v>187</v>
      </c>
      <c r="O25" s="96" t="s">
        <v>187</v>
      </c>
      <c r="P25" s="152">
        <f>+'Equipment Data'!$H$28</f>
        <v>1.25</v>
      </c>
      <c r="Q25" s="153">
        <f t="shared" si="0"/>
        <v>14474.714718986765</v>
      </c>
      <c r="R25" s="97"/>
      <c r="S25" s="154"/>
      <c r="T25" s="104"/>
      <c r="U25" s="83"/>
      <c r="V25" s="83"/>
      <c r="W25" s="83" t="s">
        <v>707</v>
      </c>
      <c r="X25" s="83"/>
      <c r="CI25" s="83"/>
      <c r="CJ25" s="83"/>
      <c r="CK25" s="83"/>
      <c r="CL25" s="83"/>
      <c r="CM25" s="83"/>
      <c r="CN25" s="83"/>
      <c r="CO25" s="83"/>
    </row>
    <row r="26" spans="1:93" x14ac:dyDescent="0.2">
      <c r="A26" s="83"/>
      <c r="B26" s="103"/>
      <c r="C26" s="192"/>
      <c r="D26" s="208" t="s">
        <v>693</v>
      </c>
      <c r="E26" s="208" t="s">
        <v>787</v>
      </c>
      <c r="F26" s="96">
        <v>1</v>
      </c>
      <c r="G26" s="96" t="s">
        <v>187</v>
      </c>
      <c r="H26" s="96" t="s">
        <v>196</v>
      </c>
      <c r="I26" s="96" t="s">
        <v>187</v>
      </c>
      <c r="J26" s="96" t="str">
        <f>+IF(F26&gt;'Equipment Data'!$G$29,"yes","No")</f>
        <v>No</v>
      </c>
      <c r="K26" s="96">
        <v>0.67</v>
      </c>
      <c r="L26" s="96" t="s">
        <v>187</v>
      </c>
      <c r="M26" s="156">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96" t="s">
        <v>187</v>
      </c>
      <c r="O26" s="96" t="s">
        <v>187</v>
      </c>
      <c r="P26" s="152">
        <f>+'Equipment Data'!$H$29</f>
        <v>1.25</v>
      </c>
      <c r="Q26" s="153">
        <f t="shared" si="0"/>
        <v>57346.908818392025</v>
      </c>
      <c r="R26" s="97"/>
      <c r="S26" s="154"/>
      <c r="T26" s="104"/>
      <c r="U26" s="83"/>
      <c r="V26" s="83"/>
      <c r="W26" s="83"/>
      <c r="X26" s="83"/>
      <c r="CI26" s="83"/>
      <c r="CJ26" s="83"/>
      <c r="CK26" s="83"/>
      <c r="CL26" s="83"/>
      <c r="CM26" s="83"/>
      <c r="CN26" s="83"/>
      <c r="CO26" s="83"/>
    </row>
    <row r="27" spans="1:93" x14ac:dyDescent="0.2">
      <c r="A27" s="83"/>
      <c r="B27" s="103"/>
      <c r="C27" s="200"/>
      <c r="D27" s="208" t="s">
        <v>693</v>
      </c>
      <c r="E27" s="208" t="s">
        <v>788</v>
      </c>
      <c r="F27" s="96">
        <v>1</v>
      </c>
      <c r="G27" s="96" t="s">
        <v>187</v>
      </c>
      <c r="H27" s="96" t="s">
        <v>196</v>
      </c>
      <c r="I27" s="96" t="s">
        <v>187</v>
      </c>
      <c r="J27" s="96" t="str">
        <f>+IF(F27&gt;'Equipment Data'!$G$30,"yes","No")</f>
        <v>No</v>
      </c>
      <c r="K27" s="96">
        <v>0.67</v>
      </c>
      <c r="L27" s="96" t="s">
        <v>187</v>
      </c>
      <c r="M27" s="156">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96" t="s">
        <v>187</v>
      </c>
      <c r="O27" s="96" t="s">
        <v>187</v>
      </c>
      <c r="P27" s="152">
        <f>+'Equipment Data'!$H$30</f>
        <v>1.1000000000000001</v>
      </c>
      <c r="Q27" s="153">
        <f t="shared" si="0"/>
        <v>4442.1445348373682</v>
      </c>
      <c r="R27" s="98"/>
      <c r="S27" s="180"/>
      <c r="T27" s="104"/>
      <c r="U27" s="83"/>
      <c r="V27" s="83"/>
      <c r="W27" s="83"/>
      <c r="X27" s="83"/>
      <c r="CI27" s="83"/>
      <c r="CJ27" s="83"/>
      <c r="CK27" s="83"/>
      <c r="CL27" s="83"/>
      <c r="CM27" s="83"/>
      <c r="CN27" s="83"/>
      <c r="CO27" s="83"/>
    </row>
    <row r="28" spans="1:93" x14ac:dyDescent="0.2">
      <c r="A28" s="83"/>
      <c r="B28" s="103"/>
      <c r="C28" s="262"/>
      <c r="D28" s="208" t="s">
        <v>789</v>
      </c>
      <c r="E28" s="208" t="s">
        <v>790</v>
      </c>
      <c r="F28" s="96">
        <v>1</v>
      </c>
      <c r="G28" s="96" t="s">
        <v>187</v>
      </c>
      <c r="H28" s="96" t="s">
        <v>179</v>
      </c>
      <c r="I28" s="96" t="s">
        <v>187</v>
      </c>
      <c r="J28" s="96" t="str">
        <f>+IF(F28&gt;'Equipment Data'!$G$35,"yes","No")</f>
        <v>No</v>
      </c>
      <c r="K28" s="96">
        <v>0.67</v>
      </c>
      <c r="L28" s="96" t="s">
        <v>187</v>
      </c>
      <c r="M28" s="156">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96" t="s">
        <v>187</v>
      </c>
      <c r="O28" s="96" t="s">
        <v>187</v>
      </c>
      <c r="P28" s="152">
        <f>+'Equipment Data'!$H$35</f>
        <v>1.6</v>
      </c>
      <c r="Q28" s="153">
        <f t="shared" si="0"/>
        <v>51739.232565982551</v>
      </c>
      <c r="R28" s="271"/>
      <c r="S28" s="272"/>
      <c r="T28" s="104"/>
      <c r="U28" s="83"/>
      <c r="V28" s="83"/>
      <c r="W28" s="83"/>
      <c r="X28" s="83"/>
      <c r="CI28" s="83"/>
      <c r="CJ28" s="83"/>
      <c r="CK28" s="83"/>
      <c r="CL28" s="83"/>
      <c r="CM28" s="83"/>
      <c r="CN28" s="83"/>
      <c r="CO28" s="83"/>
    </row>
    <row r="29" spans="1:93" x14ac:dyDescent="0.2">
      <c r="A29" s="83"/>
      <c r="B29" s="103"/>
      <c r="C29" s="194"/>
      <c r="D29" s="208" t="s">
        <v>192</v>
      </c>
      <c r="E29" s="208" t="s">
        <v>193</v>
      </c>
      <c r="F29" s="96">
        <v>1</v>
      </c>
      <c r="G29" s="96" t="s">
        <v>187</v>
      </c>
      <c r="H29" s="96" t="s">
        <v>186</v>
      </c>
      <c r="I29" s="96" t="s">
        <v>187</v>
      </c>
      <c r="J29" s="96" t="str">
        <f>+IF(F29&gt;'Equipment Data'!$H$40,"yes","No")</f>
        <v>No</v>
      </c>
      <c r="K29" s="96">
        <v>0.67</v>
      </c>
      <c r="L29" s="96" t="s">
        <v>187</v>
      </c>
      <c r="M29" s="156">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96" t="s">
        <v>187</v>
      </c>
      <c r="O29" s="96" t="s">
        <v>187</v>
      </c>
      <c r="P29" s="152">
        <f>+'Equipment Data'!$F$40</f>
        <v>1.5</v>
      </c>
      <c r="Q29" s="153">
        <f t="shared" si="0"/>
        <v>433.00335269224132</v>
      </c>
      <c r="R29" s="151"/>
      <c r="S29" s="179"/>
      <c r="T29" s="104"/>
      <c r="U29" s="83"/>
      <c r="V29" s="83"/>
      <c r="W29" s="83"/>
      <c r="X29" s="83"/>
      <c r="CI29" s="83"/>
      <c r="CJ29" s="83"/>
      <c r="CK29" s="83"/>
      <c r="CL29" s="83"/>
      <c r="CM29" s="83"/>
      <c r="CN29" s="83"/>
      <c r="CO29" s="83"/>
    </row>
    <row r="30" spans="1:93" x14ac:dyDescent="0.2">
      <c r="A30" s="83"/>
      <c r="B30" s="103"/>
      <c r="C30" s="192"/>
      <c r="D30" s="208" t="s">
        <v>192</v>
      </c>
      <c r="E30" s="208" t="s">
        <v>791</v>
      </c>
      <c r="F30" s="96">
        <v>1</v>
      </c>
      <c r="G30" s="96" t="s">
        <v>187</v>
      </c>
      <c r="H30" s="96" t="s">
        <v>186</v>
      </c>
      <c r="I30" s="96" t="s">
        <v>187</v>
      </c>
      <c r="J30" s="96" t="str">
        <f>+IF(F30&gt;'Equipment Data'!$H$41,"yes","No")</f>
        <v>No</v>
      </c>
      <c r="K30" s="96">
        <v>0.67</v>
      </c>
      <c r="L30" s="96" t="s">
        <v>187</v>
      </c>
      <c r="M30" s="156">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96" t="s">
        <v>187</v>
      </c>
      <c r="O30" s="96" t="s">
        <v>187</v>
      </c>
      <c r="P30" s="152">
        <f>+'Equipment Data'!$F$41</f>
        <v>1.5</v>
      </c>
      <c r="Q30" s="153">
        <f t="shared" si="0"/>
        <v>135.54742105834532</v>
      </c>
      <c r="R30" s="97"/>
      <c r="S30" s="154"/>
      <c r="T30" s="104"/>
      <c r="U30" s="83"/>
      <c r="V30" s="83"/>
      <c r="W30" s="83"/>
      <c r="X30" s="83"/>
      <c r="CI30" s="83"/>
      <c r="CJ30" s="83"/>
      <c r="CK30" s="83"/>
      <c r="CL30" s="83"/>
      <c r="CM30" s="83"/>
      <c r="CN30" s="83"/>
      <c r="CO30" s="83"/>
    </row>
    <row r="31" spans="1:93" x14ac:dyDescent="0.2">
      <c r="A31" s="83"/>
      <c r="B31" s="103"/>
      <c r="C31" s="192"/>
      <c r="D31" s="208" t="s">
        <v>192</v>
      </c>
      <c r="E31" s="208" t="s">
        <v>792</v>
      </c>
      <c r="F31" s="96">
        <v>1</v>
      </c>
      <c r="G31" s="96" t="s">
        <v>187</v>
      </c>
      <c r="H31" s="96" t="s">
        <v>186</v>
      </c>
      <c r="I31" s="96" t="s">
        <v>187</v>
      </c>
      <c r="J31" s="96" t="str">
        <f>+IF(F31&gt;'Equipment Data'!$H$42,"yes","No")</f>
        <v>No</v>
      </c>
      <c r="K31" s="96">
        <v>0.67</v>
      </c>
      <c r="L31" s="96" t="s">
        <v>187</v>
      </c>
      <c r="M31" s="156">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96" t="s">
        <v>187</v>
      </c>
      <c r="O31" s="96" t="s">
        <v>187</v>
      </c>
      <c r="P31" s="152">
        <f>+'Equipment Data'!$F$42</f>
        <v>1.5</v>
      </c>
      <c r="Q31" s="153">
        <f t="shared" si="0"/>
        <v>1339.3412940974749</v>
      </c>
      <c r="R31" s="97"/>
      <c r="S31" s="154"/>
      <c r="T31" s="104"/>
      <c r="U31" s="83"/>
      <c r="V31" s="83"/>
      <c r="W31" s="83"/>
      <c r="X31" s="83"/>
      <c r="CI31" s="83"/>
      <c r="CJ31" s="83"/>
      <c r="CK31" s="83"/>
      <c r="CL31" s="83"/>
      <c r="CM31" s="83"/>
      <c r="CN31" s="83"/>
      <c r="CO31" s="83"/>
    </row>
    <row r="32" spans="1:93" x14ac:dyDescent="0.2">
      <c r="A32" s="83"/>
      <c r="B32" s="103"/>
      <c r="C32" s="192"/>
      <c r="D32" s="208" t="s">
        <v>192</v>
      </c>
      <c r="E32" s="208" t="s">
        <v>367</v>
      </c>
      <c r="F32" s="96">
        <v>1</v>
      </c>
      <c r="G32" s="96" t="s">
        <v>187</v>
      </c>
      <c r="H32" s="96" t="s">
        <v>186</v>
      </c>
      <c r="I32" s="96" t="s">
        <v>187</v>
      </c>
      <c r="J32" s="96" t="str">
        <f>+IF(F32&gt;'Equipment Data'!$H$43,"yes","No")</f>
        <v>yes</v>
      </c>
      <c r="K32" s="96">
        <v>0.67</v>
      </c>
      <c r="L32" s="96" t="s">
        <v>187</v>
      </c>
      <c r="M32" s="156">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96" t="s">
        <v>187</v>
      </c>
      <c r="O32" s="96" t="s">
        <v>187</v>
      </c>
      <c r="P32" s="152">
        <f>+'Equipment Data'!$F$45</f>
        <v>3.5</v>
      </c>
      <c r="Q32" s="153">
        <f t="shared" si="0"/>
        <v>5.9411161684304908E-22</v>
      </c>
      <c r="R32" s="97"/>
      <c r="S32" s="154"/>
      <c r="T32" s="104"/>
      <c r="U32" s="83"/>
      <c r="V32" s="83"/>
      <c r="W32" s="83"/>
      <c r="X32" s="83"/>
      <c r="CI32" s="83"/>
      <c r="CJ32" s="83"/>
      <c r="CK32" s="83"/>
      <c r="CL32" s="83"/>
      <c r="CM32" s="83"/>
      <c r="CN32" s="83"/>
      <c r="CO32" s="83"/>
    </row>
    <row r="33" spans="1:93" x14ac:dyDescent="0.2">
      <c r="A33" s="83"/>
      <c r="B33" s="103"/>
      <c r="C33" s="192"/>
      <c r="D33" s="208" t="s">
        <v>192</v>
      </c>
      <c r="E33" s="208" t="s">
        <v>73</v>
      </c>
      <c r="F33" s="96">
        <v>1</v>
      </c>
      <c r="G33" s="96" t="s">
        <v>187</v>
      </c>
      <c r="H33" s="96" t="s">
        <v>186</v>
      </c>
      <c r="I33" s="96" t="s">
        <v>187</v>
      </c>
      <c r="J33" s="96" t="str">
        <f>+IF(F33&gt;'Equipment Data'!$H$44,"yes","No")</f>
        <v>No</v>
      </c>
      <c r="K33" s="96">
        <v>0.67</v>
      </c>
      <c r="L33" s="96" t="s">
        <v>187</v>
      </c>
      <c r="M33" s="156">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96" t="s">
        <v>187</v>
      </c>
      <c r="O33" s="96" t="s">
        <v>187</v>
      </c>
      <c r="P33" s="152">
        <f>+'Equipment Data'!$F$46</f>
        <v>3.5</v>
      </c>
      <c r="Q33" s="153">
        <f t="shared" si="0"/>
        <v>1478.9995584854855</v>
      </c>
      <c r="R33" s="97"/>
      <c r="S33" s="154"/>
      <c r="T33" s="104"/>
      <c r="U33" s="83"/>
      <c r="V33" s="83"/>
      <c r="W33" s="83"/>
      <c r="X33" s="83"/>
      <c r="CI33" s="83"/>
      <c r="CJ33" s="83"/>
      <c r="CK33" s="83"/>
      <c r="CL33" s="83"/>
      <c r="CM33" s="83"/>
      <c r="CN33" s="83"/>
      <c r="CO33" s="83"/>
    </row>
    <row r="34" spans="1:93" x14ac:dyDescent="0.2">
      <c r="A34" s="83"/>
      <c r="B34" s="103"/>
      <c r="C34" s="200"/>
      <c r="D34" s="208" t="s">
        <v>192</v>
      </c>
      <c r="E34" s="208" t="s">
        <v>793</v>
      </c>
      <c r="F34" s="96">
        <v>1</v>
      </c>
      <c r="G34" s="96" t="s">
        <v>187</v>
      </c>
      <c r="H34" s="96" t="s">
        <v>186</v>
      </c>
      <c r="I34" s="96" t="s">
        <v>187</v>
      </c>
      <c r="J34" s="96" t="str">
        <f>+IF(F34&gt;'Equipment Data'!$H$45,"yes","No")</f>
        <v>No</v>
      </c>
      <c r="K34" s="96">
        <v>0.67</v>
      </c>
      <c r="L34" s="96" t="s">
        <v>187</v>
      </c>
      <c r="M34" s="156">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96" t="s">
        <v>187</v>
      </c>
      <c r="O34" s="96" t="s">
        <v>187</v>
      </c>
      <c r="P34" s="152">
        <f>+'Equipment Data'!$F$47</f>
        <v>2</v>
      </c>
      <c r="Q34" s="153">
        <f t="shared" si="0"/>
        <v>1160.192345045409</v>
      </c>
      <c r="R34" s="98"/>
      <c r="S34" s="180"/>
      <c r="T34" s="104"/>
      <c r="U34" s="83"/>
      <c r="V34" s="83"/>
      <c r="W34" s="83"/>
      <c r="X34" s="83"/>
      <c r="CI34" s="83"/>
      <c r="CJ34" s="83"/>
      <c r="CK34" s="83"/>
      <c r="CL34" s="83"/>
      <c r="CM34" s="83"/>
      <c r="CN34" s="83"/>
      <c r="CO34" s="83"/>
    </row>
    <row r="35" spans="1:93" x14ac:dyDescent="0.2">
      <c r="A35" s="83"/>
      <c r="B35" s="103"/>
      <c r="C35" s="259"/>
      <c r="D35" s="208" t="s">
        <v>696</v>
      </c>
      <c r="E35" s="208" t="s">
        <v>794</v>
      </c>
      <c r="F35" s="96">
        <v>1</v>
      </c>
      <c r="G35" s="96" t="s">
        <v>187</v>
      </c>
      <c r="H35" s="96" t="s">
        <v>196</v>
      </c>
      <c r="I35" s="96" t="s">
        <v>187</v>
      </c>
      <c r="J35" s="96" t="str">
        <f>+IF(F35&gt;'Equipment Data'!$G$2,"yes","No")</f>
        <v>yes</v>
      </c>
      <c r="K35" s="96">
        <v>0.67</v>
      </c>
      <c r="L35" s="96" t="s">
        <v>187</v>
      </c>
      <c r="M35" s="156">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96" t="s">
        <v>187</v>
      </c>
      <c r="O35" s="96" t="s">
        <v>187</v>
      </c>
      <c r="P35" s="152">
        <f>+'Equipment Data'!$H$52</f>
        <v>1.6</v>
      </c>
      <c r="Q35" s="153">
        <f>+M35*P35</f>
        <v>56405.30899134183</v>
      </c>
      <c r="R35" s="263"/>
      <c r="S35" s="269"/>
      <c r="T35" s="104"/>
      <c r="U35" s="83"/>
      <c r="V35" s="83"/>
      <c r="W35" s="83"/>
      <c r="X35" s="83"/>
      <c r="CI35" s="83"/>
      <c r="CJ35" s="83"/>
      <c r="CK35" s="83"/>
      <c r="CL35" s="83"/>
      <c r="CM35" s="83"/>
      <c r="CN35" s="83"/>
      <c r="CO35" s="83"/>
    </row>
    <row r="36" spans="1:93" x14ac:dyDescent="0.2">
      <c r="A36" s="83"/>
      <c r="B36" s="103"/>
      <c r="C36" s="260"/>
      <c r="D36" s="208" t="s">
        <v>696</v>
      </c>
      <c r="E36" s="208" t="s">
        <v>795</v>
      </c>
      <c r="F36" s="96">
        <v>1</v>
      </c>
      <c r="G36" s="96" t="s">
        <v>187</v>
      </c>
      <c r="H36" s="96" t="s">
        <v>196</v>
      </c>
      <c r="I36" s="96" t="s">
        <v>187</v>
      </c>
      <c r="J36" s="96" t="str">
        <f>+IF(F36&gt;'Equipment Data'!$G$3,"yes","No")</f>
        <v>No</v>
      </c>
      <c r="K36" s="96">
        <v>0.67</v>
      </c>
      <c r="L36" s="96" t="s">
        <v>187</v>
      </c>
      <c r="M36" s="156">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96" t="s">
        <v>187</v>
      </c>
      <c r="O36" s="96" t="s">
        <v>187</v>
      </c>
      <c r="P36" s="152">
        <f>+'Equipment Data'!$H$53</f>
        <v>1.25</v>
      </c>
      <c r="Q36" s="153">
        <f t="shared" ref="Q36:Q37" si="1">+M36*P36</f>
        <v>4585.7461805167804</v>
      </c>
      <c r="R36" s="265"/>
      <c r="S36" s="270"/>
      <c r="T36" s="104"/>
      <c r="U36" s="83"/>
      <c r="V36" s="83"/>
      <c r="W36" s="83"/>
      <c r="X36" s="83"/>
      <c r="CI36" s="83"/>
      <c r="CJ36" s="83"/>
      <c r="CK36" s="83"/>
      <c r="CL36" s="83"/>
      <c r="CM36" s="83"/>
      <c r="CN36" s="83"/>
      <c r="CO36" s="83"/>
    </row>
    <row r="37" spans="1:93" x14ac:dyDescent="0.2">
      <c r="A37" s="83"/>
      <c r="B37" s="103"/>
      <c r="C37" s="260"/>
      <c r="D37" s="208" t="s">
        <v>696</v>
      </c>
      <c r="E37" s="208" t="s">
        <v>796</v>
      </c>
      <c r="F37" s="96">
        <v>1</v>
      </c>
      <c r="G37" s="96" t="s">
        <v>187</v>
      </c>
      <c r="H37" s="96" t="s">
        <v>196</v>
      </c>
      <c r="I37" s="96" t="s">
        <v>187</v>
      </c>
      <c r="J37" s="96" t="str">
        <f>+IF(F37&gt;'Equipment Data'!$G$4,"yes","No")</f>
        <v>No</v>
      </c>
      <c r="K37" s="96">
        <v>0.67</v>
      </c>
      <c r="L37" s="96" t="s">
        <v>187</v>
      </c>
      <c r="M37" s="156">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96" t="s">
        <v>187</v>
      </c>
      <c r="O37" s="96" t="s">
        <v>187</v>
      </c>
      <c r="P37" s="152">
        <f>+'Equipment Data'!$H$54</f>
        <v>1.25</v>
      </c>
      <c r="Q37" s="153">
        <f t="shared" si="1"/>
        <v>6194.5535695287181</v>
      </c>
      <c r="R37" s="265"/>
      <c r="S37" s="270"/>
      <c r="T37" s="104"/>
      <c r="U37" s="83"/>
      <c r="V37" s="83"/>
      <c r="W37" s="83"/>
      <c r="X37" s="83"/>
      <c r="CI37" s="83"/>
      <c r="CJ37" s="83"/>
      <c r="CK37" s="83"/>
      <c r="CL37" s="83"/>
      <c r="CM37" s="83"/>
      <c r="CN37" s="83"/>
      <c r="CO37" s="83"/>
    </row>
    <row r="38" spans="1:93" x14ac:dyDescent="0.2">
      <c r="A38" s="83"/>
      <c r="B38" s="103"/>
      <c r="C38" s="194"/>
      <c r="D38" s="208" t="s">
        <v>797</v>
      </c>
      <c r="E38" s="208" t="s">
        <v>798</v>
      </c>
      <c r="F38" s="96">
        <v>1</v>
      </c>
      <c r="G38" s="96" t="s">
        <v>187</v>
      </c>
      <c r="H38" s="96" t="s">
        <v>219</v>
      </c>
      <c r="I38" s="96" t="s">
        <v>187</v>
      </c>
      <c r="J38" s="96" t="str">
        <f>+IF(F38&gt;'Equipment Data'!$G$59,"yes","No")</f>
        <v>No</v>
      </c>
      <c r="K38" s="96">
        <v>0.67</v>
      </c>
      <c r="L38" s="96" t="s">
        <v>187</v>
      </c>
      <c r="M38" s="156">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96" t="s">
        <v>187</v>
      </c>
      <c r="O38" s="96" t="s">
        <v>187</v>
      </c>
      <c r="P38" s="152">
        <f>+'Equipment Data'!$H$59</f>
        <v>2.86</v>
      </c>
      <c r="Q38" s="153">
        <f>+P38*M38</f>
        <v>90587.032520112072</v>
      </c>
      <c r="R38" s="151"/>
      <c r="S38" s="179"/>
      <c r="T38" s="104"/>
      <c r="U38" s="83"/>
      <c r="V38" s="83"/>
      <c r="W38" s="83"/>
      <c r="X38" s="83"/>
      <c r="CI38" s="83"/>
      <c r="CJ38" s="83"/>
      <c r="CK38" s="83"/>
      <c r="CL38" s="83"/>
      <c r="CM38" s="83"/>
      <c r="CN38" s="83"/>
      <c r="CO38" s="83"/>
    </row>
    <row r="39" spans="1:93" x14ac:dyDescent="0.2">
      <c r="A39" s="83"/>
      <c r="B39" s="103"/>
      <c r="C39" s="192"/>
      <c r="D39" s="208" t="s">
        <v>797</v>
      </c>
      <c r="E39" s="208" t="s">
        <v>746</v>
      </c>
      <c r="F39" s="96">
        <v>1</v>
      </c>
      <c r="G39" s="96" t="s">
        <v>187</v>
      </c>
      <c r="H39" s="96" t="s">
        <v>219</v>
      </c>
      <c r="I39" s="96" t="s">
        <v>187</v>
      </c>
      <c r="J39" s="96" t="str">
        <f>+IF(F39&gt;'Equipment Data'!$G$60,"yes","No")</f>
        <v>No</v>
      </c>
      <c r="K39" s="96">
        <v>0.67</v>
      </c>
      <c r="L39" s="96" t="s">
        <v>187</v>
      </c>
      <c r="M39" s="156">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96" t="s">
        <v>187</v>
      </c>
      <c r="O39" s="96" t="s">
        <v>187</v>
      </c>
      <c r="P39" s="152">
        <f>+'Equipment Data'!$H$60</f>
        <v>2.86</v>
      </c>
      <c r="Q39" s="153">
        <f t="shared" ref="Q39:Q41" si="2">+P39*M39</f>
        <v>12194.557143342265</v>
      </c>
      <c r="R39" s="97"/>
      <c r="S39" s="154"/>
      <c r="T39" s="104"/>
      <c r="U39" s="83"/>
      <c r="V39" s="83"/>
      <c r="W39" s="83"/>
      <c r="X39" s="83"/>
      <c r="CI39" s="83"/>
      <c r="CJ39" s="83"/>
      <c r="CK39" s="83"/>
      <c r="CL39" s="83"/>
      <c r="CM39" s="83"/>
      <c r="CN39" s="83"/>
      <c r="CO39" s="83"/>
    </row>
    <row r="40" spans="1:93" x14ac:dyDescent="0.2">
      <c r="A40" s="83"/>
      <c r="B40" s="103"/>
      <c r="C40" s="192"/>
      <c r="D40" s="208" t="s">
        <v>797</v>
      </c>
      <c r="E40" s="208" t="s">
        <v>799</v>
      </c>
      <c r="F40" s="96">
        <v>1</v>
      </c>
      <c r="G40" s="96" t="s">
        <v>187</v>
      </c>
      <c r="H40" s="96" t="s">
        <v>219</v>
      </c>
      <c r="I40" s="96" t="s">
        <v>187</v>
      </c>
      <c r="J40" s="96" t="str">
        <f>+IF(F40&gt;'Equipment Data'!$G$64,"yes","No")</f>
        <v>No</v>
      </c>
      <c r="K40" s="96">
        <v>0.67</v>
      </c>
      <c r="L40" s="96" t="s">
        <v>187</v>
      </c>
      <c r="M40" s="156">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96" t="s">
        <v>187</v>
      </c>
      <c r="O40" s="96" t="s">
        <v>187</v>
      </c>
      <c r="P40" s="152">
        <f>+'Equipment Data'!$H$64</f>
        <v>2.86</v>
      </c>
      <c r="Q40" s="153">
        <f t="shared" si="2"/>
        <v>12194.557143342265</v>
      </c>
      <c r="R40" s="97"/>
      <c r="S40" s="154"/>
      <c r="T40" s="104"/>
      <c r="U40" s="83"/>
      <c r="V40" s="83"/>
      <c r="W40" s="83"/>
      <c r="X40" s="83"/>
      <c r="CI40" s="83"/>
      <c r="CJ40" s="83"/>
      <c r="CK40" s="83"/>
      <c r="CL40" s="83"/>
      <c r="CM40" s="83"/>
      <c r="CN40" s="83"/>
      <c r="CO40" s="83"/>
    </row>
    <row r="41" spans="1:93" x14ac:dyDescent="0.2">
      <c r="A41" s="83"/>
      <c r="B41" s="103"/>
      <c r="C41" s="200"/>
      <c r="D41" s="208" t="s">
        <v>797</v>
      </c>
      <c r="E41" s="208" t="s">
        <v>800</v>
      </c>
      <c r="F41" s="96">
        <v>1</v>
      </c>
      <c r="G41" s="96" t="s">
        <v>187</v>
      </c>
      <c r="H41" s="96" t="s">
        <v>219</v>
      </c>
      <c r="I41" s="96" t="s">
        <v>187</v>
      </c>
      <c r="J41" s="96" t="str">
        <f>+IF(F41&gt;'Equipment Data'!$G$65,"yes","No")</f>
        <v>No</v>
      </c>
      <c r="K41" s="96">
        <v>0.67</v>
      </c>
      <c r="L41" s="96" t="s">
        <v>187</v>
      </c>
      <c r="M41" s="156">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96" t="s">
        <v>187</v>
      </c>
      <c r="O41" s="96" t="s">
        <v>187</v>
      </c>
      <c r="P41" s="152">
        <f>+'Equipment Data'!$H$65</f>
        <v>2.86</v>
      </c>
      <c r="Q41" s="153">
        <f t="shared" si="2"/>
        <v>12194.557143342265</v>
      </c>
      <c r="R41" s="98"/>
      <c r="S41" s="180"/>
      <c r="T41" s="104"/>
      <c r="U41" s="83"/>
      <c r="V41" s="83"/>
      <c r="W41" s="83"/>
      <c r="X41" s="83"/>
      <c r="CI41" s="83"/>
      <c r="CJ41" s="83"/>
      <c r="CK41" s="83"/>
      <c r="CL41" s="83"/>
      <c r="CM41" s="83"/>
      <c r="CN41" s="83"/>
      <c r="CO41" s="83"/>
    </row>
    <row r="42" spans="1:93" x14ac:dyDescent="0.2">
      <c r="A42" s="83"/>
      <c r="B42" s="103"/>
      <c r="C42" s="259"/>
      <c r="D42" s="208" t="s">
        <v>698</v>
      </c>
      <c r="E42" s="208" t="s">
        <v>801</v>
      </c>
      <c r="F42" s="96">
        <v>1</v>
      </c>
      <c r="G42" s="96">
        <v>1</v>
      </c>
      <c r="H42" s="96" t="s">
        <v>186</v>
      </c>
      <c r="I42" s="96" t="s">
        <v>182</v>
      </c>
      <c r="J42" s="96" t="str">
        <f>+IF(F42&gt;'Equipment Data'!$O$70,"yes","No")</f>
        <v>No</v>
      </c>
      <c r="K42" s="96">
        <v>0.67</v>
      </c>
      <c r="L42" s="96" t="s">
        <v>187</v>
      </c>
      <c r="M42" s="156">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52">
        <f>+IF((G42/100)&gt;'Equipment Data'!$J$70,10^('Equipment Data'!$K$70+'Equipment Data'!$L$70*LOG10(G42)+'Equipment Data'!$M$70*LOG10(G42)*LOG10(G42)),1)</f>
        <v>1</v>
      </c>
      <c r="O42" s="96" t="s">
        <v>187</v>
      </c>
      <c r="P42" s="152">
        <f>+IF(I42="CS",'Equipment Data'!$F$70,IF(I42="SS",'Equipment Data'!$H$70,IF(I42="Ni",'Equipment Data'!$I$70,IF(I42="fiberglass",'Equipment Data'!$G$70,"N/A"))))</f>
        <v>2.74</v>
      </c>
      <c r="Q42" s="153">
        <f>+M42*N42*P42</f>
        <v>9480.9217640328061</v>
      </c>
      <c r="R42" s="263"/>
      <c r="S42" s="269"/>
      <c r="T42" s="104"/>
      <c r="U42" s="83"/>
      <c r="V42" s="83"/>
      <c r="W42" s="83"/>
      <c r="X42" s="83"/>
      <c r="CI42" s="83"/>
      <c r="CJ42" s="83"/>
      <c r="CK42" s="83"/>
      <c r="CL42" s="83"/>
      <c r="CM42" s="83"/>
      <c r="CN42" s="83"/>
      <c r="CO42" s="83"/>
    </row>
    <row r="43" spans="1:93" x14ac:dyDescent="0.2">
      <c r="A43" s="83"/>
      <c r="B43" s="103"/>
      <c r="C43" s="260"/>
      <c r="D43" s="208" t="s">
        <v>698</v>
      </c>
      <c r="E43" s="208" t="s">
        <v>802</v>
      </c>
      <c r="F43" s="96">
        <v>1</v>
      </c>
      <c r="G43" s="96">
        <v>1</v>
      </c>
      <c r="H43" s="96" t="s">
        <v>186</v>
      </c>
      <c r="I43" s="96" t="s">
        <v>182</v>
      </c>
      <c r="J43" s="96" t="str">
        <f>+IF(F43&gt;'Equipment Data'!$O$71,"yes","No")</f>
        <v>No</v>
      </c>
      <c r="K43" s="96">
        <v>0.67</v>
      </c>
      <c r="L43" s="96" t="s">
        <v>187</v>
      </c>
      <c r="M43" s="156">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52">
        <f>+IF((G43/100)&gt;'Equipment Data'!$J$71,10^('Equipment Data'!$K$71+'Equipment Data'!$L$71*LOG10(G43)+'Equipment Data'!$M$71*LOG10(G43)*LOG10(G43)),1)</f>
        <v>1</v>
      </c>
      <c r="O43" s="96" t="s">
        <v>187</v>
      </c>
      <c r="P43" s="152">
        <f>+IF(I43="CS",'Equipment Data'!$F$71,IF(I43="SS",'Equipment Data'!$H$71,IF(I43="Ni",'Equipment Data'!$I$71,IF(I43="fiberglass",'Equipment Data'!$G$71,"N/A"))))</f>
        <v>2.74</v>
      </c>
      <c r="Q43" s="153">
        <f t="shared" ref="Q43:Q45" si="3">+M43*N43*P43</f>
        <v>6093.2719665874984</v>
      </c>
      <c r="R43" s="265"/>
      <c r="S43" s="270"/>
      <c r="T43" s="104"/>
      <c r="U43" s="83"/>
      <c r="V43" s="83"/>
      <c r="W43" s="83"/>
      <c r="X43" s="83"/>
      <c r="CI43" s="83"/>
      <c r="CJ43" s="83"/>
      <c r="CK43" s="83"/>
      <c r="CL43" s="83"/>
      <c r="CM43" s="83"/>
      <c r="CN43" s="83"/>
      <c r="CO43" s="83"/>
    </row>
    <row r="44" spans="1:93" x14ac:dyDescent="0.2">
      <c r="A44" s="83"/>
      <c r="B44" s="103"/>
      <c r="C44" s="260"/>
      <c r="D44" s="208" t="s">
        <v>698</v>
      </c>
      <c r="E44" s="208" t="s">
        <v>803</v>
      </c>
      <c r="F44" s="96">
        <v>1</v>
      </c>
      <c r="G44" s="96">
        <v>1</v>
      </c>
      <c r="H44" s="96" t="s">
        <v>186</v>
      </c>
      <c r="I44" s="96" t="s">
        <v>182</v>
      </c>
      <c r="J44" s="96" t="str">
        <f>+IF(F44&gt;'Equipment Data'!$O$72,"yes","No")</f>
        <v>No</v>
      </c>
      <c r="K44" s="96">
        <v>0.67</v>
      </c>
      <c r="L44" s="96" t="s">
        <v>187</v>
      </c>
      <c r="M44" s="156">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52">
        <f>+IF((G44/100)&gt;'Equipment Data'!$J$72,10^('Equipment Data'!$K$72+'Equipment Data'!$L$72*LOG10(G44)+'Equipment Data'!$M$72*LOG10(G44)*LOG10(G44)),1)</f>
        <v>1</v>
      </c>
      <c r="O44" s="96" t="s">
        <v>187</v>
      </c>
      <c r="P44" s="152">
        <f>+IF(I44="CS",'Equipment Data'!$F$72,IF(I44="SS",'Equipment Data'!$H$72,IF(I44="Ni",'Equipment Data'!$I$72,IF(I44="fiberglass",'Equipment Data'!$G$72,"N/A"))))</f>
        <v>2.74</v>
      </c>
      <c r="Q44" s="153">
        <f t="shared" si="3"/>
        <v>3014.0507653670466</v>
      </c>
      <c r="R44" s="265"/>
      <c r="S44" s="270"/>
      <c r="T44" s="104"/>
      <c r="U44" s="83"/>
      <c r="V44" s="83"/>
      <c r="W44" s="83"/>
      <c r="X44" s="83"/>
      <c r="CI44" s="83"/>
      <c r="CJ44" s="83"/>
      <c r="CK44" s="83"/>
      <c r="CL44" s="83"/>
      <c r="CM44" s="83"/>
      <c r="CN44" s="83"/>
      <c r="CO44" s="83"/>
    </row>
    <row r="45" spans="1:93" x14ac:dyDescent="0.2">
      <c r="A45" s="83"/>
      <c r="B45" s="103"/>
      <c r="C45" s="261"/>
      <c r="D45" s="208" t="s">
        <v>698</v>
      </c>
      <c r="E45" s="208" t="s">
        <v>804</v>
      </c>
      <c r="F45" s="96">
        <v>1</v>
      </c>
      <c r="G45" s="96">
        <v>1</v>
      </c>
      <c r="H45" s="96" t="s">
        <v>186</v>
      </c>
      <c r="I45" s="96" t="s">
        <v>182</v>
      </c>
      <c r="J45" s="96" t="str">
        <f>+IF(F45&gt;'Equipment Data'!$O$73,"yes","No")</f>
        <v>No</v>
      </c>
      <c r="K45" s="96">
        <v>0.67</v>
      </c>
      <c r="L45" s="96" t="s">
        <v>187</v>
      </c>
      <c r="M45" s="156">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52">
        <f>+IF((G45/100)&gt;'Equipment Data'!$J$73,10^('Equipment Data'!$K$73+'Equipment Data'!$L$73*LOG10(G45)+'Equipment Data'!$M$73*LOG10(G45)*LOG10(G45)),1)</f>
        <v>1</v>
      </c>
      <c r="O45" s="96" t="s">
        <v>187</v>
      </c>
      <c r="P45" s="152">
        <f>+IF(I45="CS",'Equipment Data'!$F$73,IF(I45="SS",'Equipment Data'!$H$73,IF(I45="Ni",'Equipment Data'!$I$73,IF(I45="fiberglass",'Equipment Data'!$G$73,"N/A"))))</f>
        <v>2.74</v>
      </c>
      <c r="Q45" s="153">
        <f t="shared" si="3"/>
        <v>4110.0827218492996</v>
      </c>
      <c r="R45" s="265"/>
      <c r="S45" s="270"/>
      <c r="T45" s="104"/>
      <c r="U45" s="83"/>
      <c r="V45" s="83"/>
      <c r="W45" s="83"/>
      <c r="X45" s="83"/>
      <c r="CI45" s="83"/>
      <c r="CJ45" s="83"/>
      <c r="CK45" s="83"/>
      <c r="CL45" s="83"/>
      <c r="CM45" s="83"/>
      <c r="CN45" s="83"/>
      <c r="CO45" s="83"/>
    </row>
    <row r="46" spans="1:93" x14ac:dyDescent="0.2">
      <c r="A46" s="83"/>
      <c r="B46" s="103"/>
      <c r="C46" s="194"/>
      <c r="D46" s="208" t="s">
        <v>805</v>
      </c>
      <c r="E46" s="208" t="s">
        <v>806</v>
      </c>
      <c r="F46" s="96">
        <v>1</v>
      </c>
      <c r="G46" s="96" t="s">
        <v>187</v>
      </c>
      <c r="H46" s="96" t="s">
        <v>196</v>
      </c>
      <c r="I46" s="96" t="s">
        <v>187</v>
      </c>
      <c r="J46" s="96" t="str">
        <f>+IF(F46&gt;'Equipment Data'!$G$78,"yes","No")</f>
        <v>No</v>
      </c>
      <c r="K46" s="96">
        <v>0.67</v>
      </c>
      <c r="L46" s="96" t="s">
        <v>187</v>
      </c>
      <c r="M46" s="156">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96" t="s">
        <v>187</v>
      </c>
      <c r="O46" s="96" t="s">
        <v>187</v>
      </c>
      <c r="P46" s="152">
        <f>+'Equipment Data'!$H$78</f>
        <v>1.65</v>
      </c>
      <c r="Q46" s="153">
        <f>+M46*P46</f>
        <v>210370.06649071307</v>
      </c>
      <c r="R46" s="151"/>
      <c r="S46" s="179"/>
      <c r="T46" s="104"/>
      <c r="U46" s="83"/>
      <c r="V46" s="83"/>
      <c r="W46" s="83"/>
      <c r="X46" s="83"/>
      <c r="CI46" s="83"/>
      <c r="CJ46" s="83"/>
      <c r="CK46" s="83"/>
      <c r="CL46" s="83"/>
      <c r="CM46" s="83"/>
      <c r="CN46" s="83"/>
      <c r="CO46" s="83"/>
    </row>
    <row r="47" spans="1:93" ht="13.25" customHeight="1" x14ac:dyDescent="0.2">
      <c r="A47" s="83"/>
      <c r="B47" s="103"/>
      <c r="C47" s="192"/>
      <c r="D47" s="208" t="s">
        <v>805</v>
      </c>
      <c r="E47" s="208" t="s">
        <v>807</v>
      </c>
      <c r="F47" s="96">
        <v>1</v>
      </c>
      <c r="G47" s="96" t="s">
        <v>187</v>
      </c>
      <c r="H47" s="96" t="s">
        <v>196</v>
      </c>
      <c r="I47" s="96" t="s">
        <v>187</v>
      </c>
      <c r="J47" s="96" t="str">
        <f>+IF(F47&gt;'Equipment Data'!$G$79,"yes","No")</f>
        <v>No</v>
      </c>
      <c r="K47" s="96">
        <v>0.67</v>
      </c>
      <c r="L47" s="96" t="s">
        <v>187</v>
      </c>
      <c r="M47" s="156">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96" t="s">
        <v>187</v>
      </c>
      <c r="O47" s="96" t="s">
        <v>187</v>
      </c>
      <c r="P47" s="152">
        <f>+'Equipment Data'!$H$79</f>
        <v>1.65</v>
      </c>
      <c r="Q47" s="153">
        <f t="shared" ref="Q47:Q54" si="4">+M47*P47</f>
        <v>2680.3033194193504</v>
      </c>
      <c r="R47" s="97"/>
      <c r="S47" s="154"/>
      <c r="T47" s="104"/>
      <c r="U47" s="83"/>
      <c r="V47" s="83"/>
      <c r="W47" s="83"/>
      <c r="X47" s="83"/>
      <c r="CI47" s="83"/>
      <c r="CJ47" s="83"/>
      <c r="CK47" s="83"/>
      <c r="CL47" s="83"/>
      <c r="CM47" s="83"/>
      <c r="CN47" s="83"/>
      <c r="CO47" s="83"/>
    </row>
    <row r="48" spans="1:93" ht="13.25" customHeight="1" x14ac:dyDescent="0.2">
      <c r="A48" s="83"/>
      <c r="B48" s="103"/>
      <c r="C48" s="192"/>
      <c r="D48" s="208" t="s">
        <v>805</v>
      </c>
      <c r="E48" s="208" t="s">
        <v>808</v>
      </c>
      <c r="F48" s="96">
        <v>1</v>
      </c>
      <c r="G48" s="96" t="s">
        <v>187</v>
      </c>
      <c r="H48" s="96" t="s">
        <v>196</v>
      </c>
      <c r="I48" s="96" t="s">
        <v>187</v>
      </c>
      <c r="J48" s="96" t="str">
        <f>+IF(F48&gt;'Equipment Data'!$G$80,"yes","No")</f>
        <v>No</v>
      </c>
      <c r="K48" s="96">
        <v>0.67</v>
      </c>
      <c r="L48" s="96" t="s">
        <v>187</v>
      </c>
      <c r="M48" s="156">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96" t="s">
        <v>187</v>
      </c>
      <c r="O48" s="96" t="s">
        <v>187</v>
      </c>
      <c r="P48" s="152">
        <f>+'Equipment Data'!$H$80</f>
        <v>1.65</v>
      </c>
      <c r="Q48" s="153">
        <f t="shared" si="4"/>
        <v>107098.63710675374</v>
      </c>
      <c r="R48" s="97"/>
      <c r="S48" s="154"/>
      <c r="T48" s="104"/>
      <c r="U48" s="83"/>
      <c r="V48" s="83"/>
      <c r="W48" s="83"/>
      <c r="X48" s="83"/>
      <c r="CI48" s="83"/>
      <c r="CJ48" s="83"/>
      <c r="CK48" s="83"/>
      <c r="CL48" s="83"/>
      <c r="CM48" s="83"/>
      <c r="CN48" s="83"/>
      <c r="CO48" s="83"/>
    </row>
    <row r="49" spans="1:93" ht="13.25" customHeight="1" x14ac:dyDescent="0.2">
      <c r="A49" s="83"/>
      <c r="B49" s="103"/>
      <c r="C49" s="192"/>
      <c r="D49" s="208" t="s">
        <v>805</v>
      </c>
      <c r="E49" s="208" t="s">
        <v>809</v>
      </c>
      <c r="F49" s="96">
        <v>1</v>
      </c>
      <c r="G49" s="96" t="s">
        <v>187</v>
      </c>
      <c r="H49" s="96" t="s">
        <v>196</v>
      </c>
      <c r="I49" s="96" t="s">
        <v>187</v>
      </c>
      <c r="J49" s="96" t="str">
        <f>+IF(F49&gt;'Equipment Data'!$G$81,"yes","No")</f>
        <v>No</v>
      </c>
      <c r="K49" s="96">
        <v>0.67</v>
      </c>
      <c r="L49" s="96" t="s">
        <v>187</v>
      </c>
      <c r="M49" s="156">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96" t="s">
        <v>187</v>
      </c>
      <c r="O49" s="96" t="s">
        <v>187</v>
      </c>
      <c r="P49" s="152">
        <f>+'Equipment Data'!$H$81</f>
        <v>1.65</v>
      </c>
      <c r="Q49" s="153">
        <f t="shared" si="4"/>
        <v>31123.178548292599</v>
      </c>
      <c r="R49" s="97"/>
      <c r="S49" s="154"/>
      <c r="T49" s="104"/>
      <c r="U49" s="83"/>
      <c r="V49" s="83"/>
      <c r="W49" s="83"/>
      <c r="X49" s="83"/>
      <c r="CI49" s="83"/>
      <c r="CJ49" s="83"/>
      <c r="CK49" s="83"/>
      <c r="CL49" s="83"/>
      <c r="CM49" s="83"/>
      <c r="CN49" s="83"/>
      <c r="CO49" s="83"/>
    </row>
    <row r="50" spans="1:93" ht="13.25" customHeight="1" x14ac:dyDescent="0.2">
      <c r="A50" s="83"/>
      <c r="B50" s="103"/>
      <c r="C50" s="192"/>
      <c r="D50" s="208" t="s">
        <v>805</v>
      </c>
      <c r="E50" s="208" t="s">
        <v>810</v>
      </c>
      <c r="F50" s="96">
        <v>1</v>
      </c>
      <c r="G50" s="96" t="s">
        <v>187</v>
      </c>
      <c r="H50" s="96" t="s">
        <v>196</v>
      </c>
      <c r="I50" s="96" t="s">
        <v>187</v>
      </c>
      <c r="J50" s="96" t="str">
        <f>+IF(F50&gt;'Equipment Data'!$G$82,"yes","No")</f>
        <v>No</v>
      </c>
      <c r="K50" s="96">
        <v>0.67</v>
      </c>
      <c r="L50" s="96" t="s">
        <v>187</v>
      </c>
      <c r="M50" s="156">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96" t="s">
        <v>187</v>
      </c>
      <c r="O50" s="96" t="s">
        <v>187</v>
      </c>
      <c r="P50" s="152">
        <f>+'Equipment Data'!$H$82</f>
        <v>1.65</v>
      </c>
      <c r="Q50" s="153">
        <f t="shared" si="4"/>
        <v>10868.858736151833</v>
      </c>
      <c r="R50" s="97"/>
      <c r="S50" s="154"/>
      <c r="T50" s="104"/>
      <c r="U50" s="83"/>
      <c r="V50" s="83"/>
      <c r="W50" s="83"/>
      <c r="X50" s="83"/>
      <c r="CI50" s="83"/>
      <c r="CJ50" s="83"/>
      <c r="CK50" s="83"/>
      <c r="CL50" s="83"/>
      <c r="CM50" s="83"/>
      <c r="CN50" s="83"/>
      <c r="CO50" s="83"/>
    </row>
    <row r="51" spans="1:93" ht="13.25" customHeight="1" x14ac:dyDescent="0.2">
      <c r="A51" s="83"/>
      <c r="B51" s="103"/>
      <c r="C51" s="192"/>
      <c r="D51" s="208" t="s">
        <v>805</v>
      </c>
      <c r="E51" s="208" t="s">
        <v>811</v>
      </c>
      <c r="F51" s="96">
        <v>1</v>
      </c>
      <c r="G51" s="96" t="s">
        <v>187</v>
      </c>
      <c r="H51" s="96" t="s">
        <v>196</v>
      </c>
      <c r="I51" s="96" t="s">
        <v>187</v>
      </c>
      <c r="J51" s="96" t="str">
        <f>+IF(F51&gt;'Equipment Data'!$G$83,"yes","No")</f>
        <v>No</v>
      </c>
      <c r="K51" s="96">
        <v>0.67</v>
      </c>
      <c r="L51" s="96" t="s">
        <v>187</v>
      </c>
      <c r="M51" s="156">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96" t="s">
        <v>187</v>
      </c>
      <c r="O51" s="96" t="s">
        <v>187</v>
      </c>
      <c r="P51" s="152">
        <f>+'Equipment Data'!$H$83</f>
        <v>1.65</v>
      </c>
      <c r="Q51" s="153">
        <f t="shared" si="4"/>
        <v>107098.63710675374</v>
      </c>
      <c r="R51" s="97"/>
      <c r="S51" s="154"/>
      <c r="T51" s="104"/>
      <c r="U51" s="83"/>
      <c r="V51" s="83"/>
      <c r="W51" s="83"/>
      <c r="X51" s="1"/>
      <c r="CI51" s="83"/>
      <c r="CJ51" s="83"/>
      <c r="CK51" s="83"/>
      <c r="CL51" s="83"/>
      <c r="CM51" s="83"/>
      <c r="CN51" s="83"/>
      <c r="CO51" s="83"/>
    </row>
    <row r="52" spans="1:93" ht="13.25" customHeight="1" x14ac:dyDescent="0.2">
      <c r="A52" s="83"/>
      <c r="B52" s="103"/>
      <c r="C52" s="192"/>
      <c r="D52" s="208" t="s">
        <v>805</v>
      </c>
      <c r="E52" s="208" t="s">
        <v>812</v>
      </c>
      <c r="F52" s="96">
        <v>1</v>
      </c>
      <c r="G52" s="96" t="s">
        <v>187</v>
      </c>
      <c r="H52" s="96" t="s">
        <v>196</v>
      </c>
      <c r="I52" s="96" t="s">
        <v>187</v>
      </c>
      <c r="J52" s="96" t="str">
        <f>+IF(F52&gt;'Equipment Data'!$G$84,"yes","No")</f>
        <v>No</v>
      </c>
      <c r="K52" s="96">
        <v>0.67</v>
      </c>
      <c r="L52" s="96" t="s">
        <v>187</v>
      </c>
      <c r="M52" s="156">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96" t="s">
        <v>187</v>
      </c>
      <c r="O52" s="96" t="s">
        <v>187</v>
      </c>
      <c r="P52" s="152">
        <f>+'Equipment Data'!$H$84</f>
        <v>1.8</v>
      </c>
      <c r="Q52" s="153">
        <f t="shared" si="4"/>
        <v>33952.558416319203</v>
      </c>
      <c r="R52" s="97"/>
      <c r="S52" s="154"/>
      <c r="T52" s="104"/>
      <c r="U52" s="83"/>
      <c r="V52" s="83"/>
      <c r="W52" s="83"/>
      <c r="X52" s="1"/>
      <c r="CI52" s="83"/>
      <c r="CJ52" s="83"/>
      <c r="CK52" s="83"/>
      <c r="CL52" s="83"/>
      <c r="CM52" s="83"/>
      <c r="CN52" s="83"/>
      <c r="CO52" s="83"/>
    </row>
    <row r="53" spans="1:93" ht="13.25" customHeight="1" x14ac:dyDescent="0.2">
      <c r="A53" s="83"/>
      <c r="B53" s="103"/>
      <c r="C53" s="192"/>
      <c r="D53" s="208" t="s">
        <v>805</v>
      </c>
      <c r="E53" s="208" t="s">
        <v>813</v>
      </c>
      <c r="F53" s="96">
        <v>1</v>
      </c>
      <c r="G53" s="96" t="s">
        <v>187</v>
      </c>
      <c r="H53" s="96" t="s">
        <v>196</v>
      </c>
      <c r="I53" s="96" t="s">
        <v>187</v>
      </c>
      <c r="J53" s="96" t="str">
        <f>+IF(F53&gt;'Equipment Data'!$G$85,"yes","No")</f>
        <v>No</v>
      </c>
      <c r="K53" s="96">
        <v>0.67</v>
      </c>
      <c r="L53" s="96" t="s">
        <v>187</v>
      </c>
      <c r="M53" s="156">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96" t="s">
        <v>187</v>
      </c>
      <c r="O53" s="96" t="s">
        <v>187</v>
      </c>
      <c r="P53" s="152">
        <f>+'Equipment Data'!$H$85</f>
        <v>1.65</v>
      </c>
      <c r="Q53" s="153">
        <f t="shared" si="4"/>
        <v>210370.06649071307</v>
      </c>
      <c r="R53" s="97"/>
      <c r="S53" s="154"/>
      <c r="T53" s="104"/>
      <c r="U53" s="83"/>
      <c r="V53" s="83"/>
      <c r="W53" s="83"/>
      <c r="X53" s="1"/>
      <c r="CI53" s="83"/>
      <c r="CJ53" s="83"/>
      <c r="CK53" s="83"/>
      <c r="CL53" s="83"/>
      <c r="CM53" s="83"/>
      <c r="CN53" s="83"/>
      <c r="CO53" s="83"/>
    </row>
    <row r="54" spans="1:93" ht="13.25" customHeight="1" x14ac:dyDescent="0.2">
      <c r="A54" s="83"/>
      <c r="B54" s="103"/>
      <c r="C54" s="200"/>
      <c r="D54" s="208" t="s">
        <v>805</v>
      </c>
      <c r="E54" s="208" t="s">
        <v>814</v>
      </c>
      <c r="F54" s="96">
        <v>1</v>
      </c>
      <c r="G54" s="96" t="s">
        <v>187</v>
      </c>
      <c r="H54" s="96" t="s">
        <v>196</v>
      </c>
      <c r="I54" s="96" t="s">
        <v>187</v>
      </c>
      <c r="J54" s="96" t="str">
        <f>+IF(F54&gt;'Equipment Data'!$G$86,"yes","No")</f>
        <v>No</v>
      </c>
      <c r="K54" s="96">
        <v>0.67</v>
      </c>
      <c r="L54" s="96" t="s">
        <v>187</v>
      </c>
      <c r="M54" s="156">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96" t="s">
        <v>187</v>
      </c>
      <c r="O54" s="96" t="s">
        <v>187</v>
      </c>
      <c r="P54" s="152">
        <f>+'Equipment Data'!$H$86</f>
        <v>1.54</v>
      </c>
      <c r="Q54" s="153">
        <f t="shared" si="4"/>
        <v>196345.39539133222</v>
      </c>
      <c r="R54" s="98"/>
      <c r="S54" s="180"/>
      <c r="T54" s="104"/>
      <c r="U54" s="83"/>
      <c r="V54" s="83"/>
      <c r="W54" s="83"/>
      <c r="X54" s="1"/>
      <c r="CI54" s="83"/>
      <c r="CJ54" s="83"/>
      <c r="CK54" s="83"/>
      <c r="CL54" s="83"/>
      <c r="CM54" s="83"/>
      <c r="CN54" s="83"/>
      <c r="CO54" s="83"/>
    </row>
    <row r="55" spans="1:93" ht="13.25" customHeight="1" x14ac:dyDescent="0.2">
      <c r="A55" s="83"/>
      <c r="B55" s="103"/>
      <c r="C55" s="259"/>
      <c r="D55" s="208" t="s">
        <v>815</v>
      </c>
      <c r="E55" s="208" t="s">
        <v>816</v>
      </c>
      <c r="F55" s="96">
        <v>1</v>
      </c>
      <c r="G55" s="96">
        <v>1</v>
      </c>
      <c r="H55" s="96" t="s">
        <v>186</v>
      </c>
      <c r="I55" s="96" t="s">
        <v>182</v>
      </c>
      <c r="J55" s="96" t="str">
        <f>+IF(F55&gt;'Equipment Data'!$G$92,"yes","No")</f>
        <v>No</v>
      </c>
      <c r="K55" s="96">
        <v>0.67</v>
      </c>
      <c r="L55" s="96" t="s">
        <v>187</v>
      </c>
      <c r="M55" s="156">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52">
        <f>+IF(G55-1.01325&gt;10,10^('Equipment Data'!$I$92+LOG10(G55-1.01325)*'Equipment Data'!$J$92+'Equipment Data'!$K$92*LOG10(G55-1.01325)*LOG10(G55-1.01325)),1)</f>
        <v>1</v>
      </c>
      <c r="O55" s="257"/>
      <c r="P55" s="152">
        <f>+IF(I55="CS",'Equipment Data'!$L$92,IF(I55="Alloy Steel",'Equipment Data'!$M$92,IF(I55="SS",'Equipment Data'!$N$92,"N/A")))</f>
        <v>2.13</v>
      </c>
      <c r="Q55" s="153">
        <f>+M55*N55*P55</f>
        <v>2491.0337028723284</v>
      </c>
      <c r="R55" s="263"/>
      <c r="S55" s="269"/>
      <c r="T55" s="104"/>
      <c r="U55" s="83"/>
      <c r="V55" s="83"/>
      <c r="W55" s="83"/>
      <c r="X55" s="1"/>
      <c r="CI55" s="83"/>
      <c r="CJ55" s="83"/>
      <c r="CK55" s="83"/>
      <c r="CL55" s="83"/>
      <c r="CM55" s="83"/>
      <c r="CN55" s="83"/>
      <c r="CO55" s="83"/>
    </row>
    <row r="56" spans="1:93" ht="13.25" customHeight="1" x14ac:dyDescent="0.2">
      <c r="A56" s="83"/>
      <c r="B56" s="103"/>
      <c r="C56" s="260"/>
      <c r="D56" s="208" t="s">
        <v>815</v>
      </c>
      <c r="E56" s="208" t="s">
        <v>817</v>
      </c>
      <c r="F56" s="96">
        <v>1</v>
      </c>
      <c r="G56" s="96">
        <v>1</v>
      </c>
      <c r="H56" s="96" t="s">
        <v>186</v>
      </c>
      <c r="I56" s="96" t="s">
        <v>182</v>
      </c>
      <c r="J56" s="96" t="str">
        <f>+IF(F56&gt;'Equipment Data'!$G$93,"yes","No")</f>
        <v>No</v>
      </c>
      <c r="K56" s="96">
        <v>0.67</v>
      </c>
      <c r="L56" s="96" t="s">
        <v>187</v>
      </c>
      <c r="M56" s="156">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52">
        <f>+IF(G56-1.01325&gt;10,10^('Equipment Data'!$I$93+LOG10(G56-1.01325)*'Equipment Data'!$J$93+'Equipment Data'!$K$93*LOG10(G56-1.01325)*LOG10(G56-1.01325)),1)</f>
        <v>1</v>
      </c>
      <c r="O56" s="153" t="s">
        <v>187</v>
      </c>
      <c r="P56" s="152">
        <f>+IF(I56="CS",'Equipment Data'!$L$93,IF(I56="Alloy Steel",'Equipment Data'!$M$93,IF(I56="SS",'Equipment Data'!$N$93,"N/A")))</f>
        <v>2.13</v>
      </c>
      <c r="Q56" s="153">
        <f t="shared" ref="Q56:Q60" si="5">+M56*N56*P56</f>
        <v>517.94018006756983</v>
      </c>
      <c r="R56" s="265"/>
      <c r="S56" s="270"/>
      <c r="T56" s="104"/>
      <c r="U56" s="83"/>
      <c r="V56" s="83"/>
      <c r="W56" s="83"/>
      <c r="X56" s="1"/>
      <c r="CI56" s="83"/>
      <c r="CJ56" s="83"/>
      <c r="CK56" s="83"/>
      <c r="CL56" s="83"/>
      <c r="CM56" s="83"/>
      <c r="CN56" s="83"/>
      <c r="CO56" s="83"/>
    </row>
    <row r="57" spans="1:93" ht="13.25" customHeight="1" x14ac:dyDescent="0.2">
      <c r="A57" s="83"/>
      <c r="B57" s="103"/>
      <c r="C57" s="260"/>
      <c r="D57" s="208" t="s">
        <v>815</v>
      </c>
      <c r="E57" s="208" t="s">
        <v>818</v>
      </c>
      <c r="F57" s="96">
        <v>1</v>
      </c>
      <c r="G57" s="96">
        <v>1</v>
      </c>
      <c r="H57" s="96" t="s">
        <v>186</v>
      </c>
      <c r="I57" s="96" t="s">
        <v>182</v>
      </c>
      <c r="J57" s="96" t="str">
        <f>+IF(F57&gt;'Equipment Data'!$G$94,"yes","No")</f>
        <v>yes</v>
      </c>
      <c r="K57" s="96">
        <v>0.67</v>
      </c>
      <c r="L57" s="96" t="s">
        <v>187</v>
      </c>
      <c r="M57" s="156">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52">
        <f>+IF(G57-1.01325&gt;10,10^('Equipment Data'!$I$97+LOG10(G57-1.01325)*'Equipment Data'!$J$97+'Equipment Data'!$K$97*LOG10(G57-1.01325)*LOG10(G57-1.01325)),1)</f>
        <v>1</v>
      </c>
      <c r="O57" s="153" t="s">
        <v>187</v>
      </c>
      <c r="P57" s="152">
        <f>+IF(I57="CS",'Equipment Data'!$L$97,IF(I57="Alloy Steel",'Equipment Data'!$M$97,IF(I57="SS",'Equipment Data'!$N$97,"N/A")))</f>
        <v>2.13</v>
      </c>
      <c r="Q57" s="153">
        <f t="shared" si="5"/>
        <v>47553184.252436623</v>
      </c>
      <c r="R57" s="265"/>
      <c r="S57" s="270"/>
      <c r="T57" s="104"/>
      <c r="U57" s="83"/>
      <c r="V57" s="83"/>
      <c r="W57" s="83"/>
      <c r="X57" s="1"/>
      <c r="CI57" s="83"/>
      <c r="CJ57" s="83"/>
      <c r="CK57" s="83"/>
      <c r="CL57" s="83"/>
      <c r="CM57" s="83"/>
      <c r="CN57" s="83"/>
      <c r="CO57" s="83"/>
    </row>
    <row r="58" spans="1:93" ht="13.25" customHeight="1" x14ac:dyDescent="0.2">
      <c r="A58" s="83"/>
      <c r="B58" s="103"/>
      <c r="C58" s="260"/>
      <c r="D58" s="208" t="s">
        <v>815</v>
      </c>
      <c r="E58" s="208" t="s">
        <v>819</v>
      </c>
      <c r="F58" s="96">
        <v>1</v>
      </c>
      <c r="G58" s="96">
        <v>1</v>
      </c>
      <c r="H58" s="96" t="s">
        <v>186</v>
      </c>
      <c r="I58" s="96" t="s">
        <v>187</v>
      </c>
      <c r="J58" s="96" t="str">
        <f>+IF(F58&gt;'Equipment Data'!$G$95,"yes","No")</f>
        <v>yes</v>
      </c>
      <c r="K58" s="96">
        <v>0.67</v>
      </c>
      <c r="L58" s="96" t="s">
        <v>187</v>
      </c>
      <c r="M58" s="156">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52">
        <f>+IF(G58-1.01325&gt;10,10^('Equipment Data'!$I$102+LOG10(G58-1.01325)*'Equipment Data'!$J$102+'Equipment Data'!$K$102*LOG10(G58-1.01325)*LOG10(G58-1.01325)),1)</f>
        <v>1</v>
      </c>
      <c r="O58" s="153" t="s">
        <v>187</v>
      </c>
      <c r="P58" s="152">
        <f>+'Equipment Data'!$L$102</f>
        <v>2.17</v>
      </c>
      <c r="Q58" s="153">
        <f t="shared" si="5"/>
        <v>262.63931308077269</v>
      </c>
      <c r="R58" s="265"/>
      <c r="S58" s="270"/>
      <c r="T58" s="104"/>
      <c r="U58" s="83"/>
      <c r="V58" s="83"/>
      <c r="W58" s="83"/>
      <c r="X58" s="1"/>
      <c r="CI58" s="83"/>
      <c r="CJ58" s="83"/>
      <c r="CK58" s="83"/>
      <c r="CL58" s="83"/>
      <c r="CM58" s="83"/>
      <c r="CN58" s="83"/>
      <c r="CO58" s="83"/>
    </row>
    <row r="59" spans="1:93" ht="13.25" customHeight="1" x14ac:dyDescent="0.2">
      <c r="A59" s="83"/>
      <c r="B59" s="103"/>
      <c r="C59" s="260"/>
      <c r="D59" s="208" t="s">
        <v>815</v>
      </c>
      <c r="E59" s="208" t="s">
        <v>820</v>
      </c>
      <c r="F59" s="96">
        <v>1</v>
      </c>
      <c r="G59" s="96">
        <v>1</v>
      </c>
      <c r="H59" s="96" t="s">
        <v>186</v>
      </c>
      <c r="I59" s="96" t="s">
        <v>187</v>
      </c>
      <c r="J59" s="96" t="str">
        <f>+IF(F59&gt;'Equipment Data'!$G$96,"yes","No")</f>
        <v>No</v>
      </c>
      <c r="K59" s="96">
        <v>0.67</v>
      </c>
      <c r="L59" s="96" t="s">
        <v>187</v>
      </c>
      <c r="M59" s="156">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52">
        <f>+IF(G59-1.01325&gt;10,10^('Equipment Data'!$I$103+LOG10(G59-1.01325)*'Equipment Data'!$J$103+'Equipment Data'!$K$103*LOG10(G59-1.01325)*LOG10(G59-1.01325)),1)</f>
        <v>1</v>
      </c>
      <c r="O59" s="153" t="s">
        <v>187</v>
      </c>
      <c r="P59" s="152">
        <f>+'Equipment Data'!$L$103</f>
        <v>2.17</v>
      </c>
      <c r="Q59" s="153">
        <f t="shared" si="5"/>
        <v>34.22628275223952</v>
      </c>
      <c r="R59" s="265"/>
      <c r="S59" s="270"/>
      <c r="T59" s="104"/>
      <c r="U59" s="83"/>
      <c r="V59" s="83"/>
      <c r="W59" s="83"/>
      <c r="X59" s="1"/>
      <c r="CI59" s="83"/>
      <c r="CJ59" s="83"/>
      <c r="CK59" s="83"/>
      <c r="CL59" s="83"/>
      <c r="CM59" s="83"/>
      <c r="CN59" s="83"/>
      <c r="CO59" s="83"/>
    </row>
    <row r="60" spans="1:93" x14ac:dyDescent="0.2">
      <c r="A60" s="83"/>
      <c r="B60" s="103"/>
      <c r="C60" s="260"/>
      <c r="D60" s="208" t="s">
        <v>815</v>
      </c>
      <c r="E60" s="208" t="s">
        <v>821</v>
      </c>
      <c r="F60" s="96">
        <v>1</v>
      </c>
      <c r="G60" s="96">
        <v>1</v>
      </c>
      <c r="H60" s="96" t="s">
        <v>186</v>
      </c>
      <c r="I60" s="96" t="s">
        <v>187</v>
      </c>
      <c r="J60" s="96" t="str">
        <f>+IF(F60&gt;'Equipment Data'!$G$97,"yes","No")</f>
        <v>No</v>
      </c>
      <c r="K60" s="96">
        <v>0.67</v>
      </c>
      <c r="L60" s="96" t="s">
        <v>187</v>
      </c>
      <c r="M60" s="156">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52">
        <f>+IF(G60-1.01325&gt;10,10^('Equipment Data'!$I$104+LOG10(G60-1.01325)*'Equipment Data'!$J$104+'Equipment Data'!$K$104*LOG10(G60-1.01325)*LOG10(G60-1.01325)),1)</f>
        <v>1</v>
      </c>
      <c r="O60" s="153" t="s">
        <v>187</v>
      </c>
      <c r="P60" s="152">
        <f>+'Equipment Data'!$L$104</f>
        <v>2.17</v>
      </c>
      <c r="Q60" s="153">
        <f t="shared" si="5"/>
        <v>397.42916461151316</v>
      </c>
      <c r="R60" s="265"/>
      <c r="S60" s="270"/>
      <c r="T60" s="104"/>
      <c r="U60" s="83"/>
      <c r="V60" s="83"/>
      <c r="W60" s="83"/>
      <c r="X60" s="1"/>
      <c r="CI60" s="83"/>
      <c r="CJ60" s="83"/>
      <c r="CK60" s="83"/>
      <c r="CL60" s="83"/>
      <c r="CM60" s="83"/>
      <c r="CN60" s="83"/>
      <c r="CO60" s="83"/>
    </row>
    <row r="61" spans="1:93" x14ac:dyDescent="0.2">
      <c r="A61" s="83"/>
      <c r="B61" s="103"/>
      <c r="C61" s="260"/>
      <c r="D61" s="208" t="s">
        <v>815</v>
      </c>
      <c r="E61" s="208" t="s">
        <v>822</v>
      </c>
      <c r="F61" s="96">
        <v>1</v>
      </c>
      <c r="G61" s="96">
        <v>1</v>
      </c>
      <c r="H61" s="96" t="s">
        <v>186</v>
      </c>
      <c r="I61" s="96" t="s">
        <v>187</v>
      </c>
      <c r="J61" s="96" t="str">
        <f>+IF(F61&gt;'Equipment Data'!$G$98,"yes","No")</f>
        <v>yes</v>
      </c>
      <c r="K61" s="96">
        <v>0.67</v>
      </c>
      <c r="L61" s="96">
        <v>1</v>
      </c>
      <c r="M61" s="156">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52">
        <f>+IF(G61-1.01325&gt;10,10^('Equipment Data'!$I$105+LOG10(G61-1.01325)*'Equipment Data'!$J$105+'Equipment Data'!$K$105*LOG10(G61-1.01325)*LOG10(G61-1.01325)),1)</f>
        <v>1</v>
      </c>
      <c r="O61" s="152">
        <f>IF(L61="","Input Steam Superheat in ºC",1+0.00184*L61-0.00000335*L61*L61)</f>
        <v>1.00183665</v>
      </c>
      <c r="P61" s="152">
        <f>+'Equipment Data'!$L$105</f>
        <v>2.17</v>
      </c>
      <c r="Q61" s="153">
        <f>+M61*N61*P61*O61</f>
        <v>19904746.420936067</v>
      </c>
      <c r="R61" s="265"/>
      <c r="S61" s="270"/>
      <c r="T61" s="104"/>
      <c r="U61" s="83"/>
      <c r="V61" s="83"/>
      <c r="W61" s="83"/>
      <c r="X61" s="1"/>
      <c r="CI61" s="83"/>
      <c r="CJ61" s="83"/>
      <c r="CK61" s="83"/>
      <c r="CL61" s="83"/>
      <c r="CM61" s="83"/>
      <c r="CN61" s="83"/>
      <c r="CO61" s="83"/>
    </row>
    <row r="62" spans="1:93" x14ac:dyDescent="0.2">
      <c r="A62" s="83"/>
      <c r="B62" s="103"/>
      <c r="C62" s="194"/>
      <c r="D62" s="208" t="s">
        <v>823</v>
      </c>
      <c r="E62" s="208" t="s">
        <v>824</v>
      </c>
      <c r="F62" s="96">
        <v>1</v>
      </c>
      <c r="G62" s="96">
        <v>1</v>
      </c>
      <c r="H62" s="96" t="s">
        <v>196</v>
      </c>
      <c r="I62" s="96" t="s">
        <v>182</v>
      </c>
      <c r="J62" s="96" t="str">
        <f>+IF(F62&gt;'Equipment Data'!$G$111,"yes","No")</f>
        <v>No</v>
      </c>
      <c r="K62" s="96">
        <v>0.67</v>
      </c>
      <c r="L62" s="96" t="s">
        <v>187</v>
      </c>
      <c r="M62" s="156">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52">
        <f>+IF(G62-1.01325&gt;10,10^('Equipment Data'!$I$111+LOG10(G62-1.01325)*'Equipment Data'!$J$111+'Equipment Data'!$K$111*LOG10(G62-1.01325)*LOG10(G62-1.01325)),1)</f>
        <v>1</v>
      </c>
      <c r="O62" s="214" t="s">
        <v>187</v>
      </c>
      <c r="P62" s="152">
        <f>+IF(I62="CS",'Equipment Data'!$C$229,IF(I62="Cu Alloy",'Equipment Data'!$D$229,IF(I62="SS",'Equipment Data'!$E$229,IF(I62="Ni Alloy",'Equipment Data'!$F$229,IF(I62="Ti",'Equipment Data'!$G$229,"N/A")))))</f>
        <v>2.9</v>
      </c>
      <c r="Q62" s="153">
        <f>+M62*N62*P62</f>
        <v>306335.97225509956</v>
      </c>
      <c r="R62" s="151"/>
      <c r="S62" s="199"/>
      <c r="T62" s="104"/>
      <c r="U62" s="83"/>
      <c r="V62" s="83"/>
      <c r="W62" s="83"/>
      <c r="X62" s="1"/>
      <c r="CI62" s="83"/>
      <c r="CJ62" s="83"/>
      <c r="CK62" s="83"/>
      <c r="CL62" s="83"/>
      <c r="CM62" s="83"/>
      <c r="CN62" s="83"/>
      <c r="CO62" s="83"/>
    </row>
    <row r="63" spans="1:93" x14ac:dyDescent="0.2">
      <c r="A63" s="83"/>
      <c r="B63" s="103"/>
      <c r="C63" s="192"/>
      <c r="D63" s="208" t="s">
        <v>823</v>
      </c>
      <c r="E63" s="208" t="s">
        <v>825</v>
      </c>
      <c r="F63" s="96">
        <v>1</v>
      </c>
      <c r="G63" s="96">
        <v>1</v>
      </c>
      <c r="H63" s="96" t="s">
        <v>196</v>
      </c>
      <c r="I63" s="96" t="s">
        <v>182</v>
      </c>
      <c r="J63" s="96" t="str">
        <f>+IF(F63&gt;'Equipment Data'!$G$112,"yes","No")</f>
        <v>No</v>
      </c>
      <c r="K63" s="96">
        <v>0.67</v>
      </c>
      <c r="L63" s="96" t="s">
        <v>187</v>
      </c>
      <c r="M63" s="156">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52">
        <f>+IF(G63-1.01325&gt;10,10^('Equipment Data'!$I$112+LOG10(G63-1.01325)*'Equipment Data'!$J$112+'Equipment Data'!$K$112*LOG10(G63-1.01325)*LOG10(G63-1.01325)),1)</f>
        <v>1</v>
      </c>
      <c r="O63" s="214" t="s">
        <v>187</v>
      </c>
      <c r="P63" s="152">
        <f>+IF(I63="CS",'Equipment Data'!$C$230,IF(I63="Cu Alloy",'Equipment Data'!$D$230,IF(I63="SS",'Equipment Data'!$E$230,IF(I63="Ni Alloy",'Equipment Data'!$F$230,IF(I63="Ti",'Equipment Data'!$G$230,"N/A")))))</f>
        <v>2.25</v>
      </c>
      <c r="Q63" s="153">
        <f t="shared" ref="Q63:Q65" si="6">+M63*N63*P63</f>
        <v>18368.873279202722</v>
      </c>
      <c r="R63" s="97"/>
      <c r="S63" s="193"/>
      <c r="T63" s="104"/>
      <c r="U63" s="83"/>
      <c r="V63" s="83"/>
      <c r="W63" s="83"/>
      <c r="X63" s="1"/>
      <c r="CI63" s="83"/>
      <c r="CJ63" s="83"/>
      <c r="CK63" s="83"/>
      <c r="CL63" s="83"/>
      <c r="CM63" s="83"/>
      <c r="CN63" s="83"/>
      <c r="CO63" s="83"/>
    </row>
    <row r="64" spans="1:93" x14ac:dyDescent="0.2">
      <c r="A64" s="83"/>
      <c r="B64" s="103"/>
      <c r="C64" s="192"/>
      <c r="D64" s="208" t="s">
        <v>823</v>
      </c>
      <c r="E64" s="208" t="s">
        <v>826</v>
      </c>
      <c r="F64" s="96">
        <v>1</v>
      </c>
      <c r="G64" s="96">
        <v>1</v>
      </c>
      <c r="H64" s="96" t="s">
        <v>196</v>
      </c>
      <c r="I64" s="96" t="s">
        <v>182</v>
      </c>
      <c r="J64" s="96" t="str">
        <f>+IF(F64&gt;'Equipment Data'!$G$113,"yes","No")</f>
        <v>No</v>
      </c>
      <c r="K64" s="96">
        <v>0.67</v>
      </c>
      <c r="L64" s="96" t="s">
        <v>187</v>
      </c>
      <c r="M64" s="156">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52">
        <f>+IF(G64-1.01325&gt;10,10^('Equipment Data'!$I$113+LOG10(G64-1.01325)*'Equipment Data'!$J$113+'Equipment Data'!$K$113*LOG10(G64-1.01325)*LOG10(G64-1.01325)),1)</f>
        <v>1</v>
      </c>
      <c r="O64" s="214" t="s">
        <v>187</v>
      </c>
      <c r="P64" s="152">
        <f>+IF(I64="CS",'Equipment Data'!$C$231,IF(I64="Cu Alloy",'Equipment Data'!$D$231,IF(I64="SS",'Equipment Data'!$E$231,IF(I64="Ni Alloy",'Equipment Data'!$F$231,IF(I64="Ti",'Equipment Data'!$G$231,"N/A")))))</f>
        <v>2.25</v>
      </c>
      <c r="Q64" s="153">
        <f t="shared" si="6"/>
        <v>225000</v>
      </c>
      <c r="R64" s="97"/>
      <c r="S64" s="193"/>
      <c r="T64" s="104"/>
      <c r="U64" s="83"/>
      <c r="V64" s="83"/>
      <c r="W64" s="83"/>
      <c r="X64" s="1"/>
      <c r="CI64" s="83"/>
      <c r="CJ64" s="83"/>
      <c r="CK64" s="83"/>
      <c r="CL64" s="83"/>
      <c r="CM64" s="83"/>
      <c r="CN64" s="83"/>
      <c r="CO64" s="83"/>
    </row>
    <row r="65" spans="1:93" x14ac:dyDescent="0.2">
      <c r="A65" s="83"/>
      <c r="B65" s="103"/>
      <c r="C65" s="192"/>
      <c r="D65" s="208" t="s">
        <v>823</v>
      </c>
      <c r="E65" s="208" t="s">
        <v>827</v>
      </c>
      <c r="F65" s="96">
        <v>1</v>
      </c>
      <c r="G65" s="96">
        <v>1</v>
      </c>
      <c r="H65" s="96" t="s">
        <v>196</v>
      </c>
      <c r="I65" s="96" t="s">
        <v>182</v>
      </c>
      <c r="J65" s="96" t="str">
        <f>+IF(F65&gt;'Equipment Data'!$G$114,"yes","No")</f>
        <v>No</v>
      </c>
      <c r="K65" s="96">
        <v>0.67</v>
      </c>
      <c r="L65" s="96" t="s">
        <v>187</v>
      </c>
      <c r="M65" s="156">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52">
        <f>+IF(G65-1.01325&gt;10,10^('Equipment Data'!$I$114+LOG10(G65-1.01325)*'Equipment Data'!$J$114+'Equipment Data'!$K$114*LOG10(G65-1.01325)*LOG10(G65-1.01325)),1)</f>
        <v>1</v>
      </c>
      <c r="O65" s="214" t="s">
        <v>187</v>
      </c>
      <c r="P65" s="152">
        <f>+IF(I65="CS",'Equipment Data'!$C$232,IF(I65="Cu Alloy",'Equipment Data'!$D$232,IF(I65="SS",'Equipment Data'!$E$232,IF(I65="Ni Alloy",'Equipment Data'!$F$232,IF(I65="Ti",'Equipment Data'!$G$232,"N/A")))))</f>
        <v>2.9</v>
      </c>
      <c r="Q65" s="153">
        <f t="shared" si="6"/>
        <v>500032.2298190766</v>
      </c>
      <c r="R65" s="97"/>
      <c r="S65" s="193"/>
      <c r="T65" s="104"/>
      <c r="U65" s="83"/>
      <c r="V65" s="83"/>
      <c r="W65" s="83"/>
      <c r="X65" s="1"/>
      <c r="CI65" s="83"/>
      <c r="CJ65" s="83"/>
      <c r="CK65" s="83"/>
      <c r="CL65" s="83"/>
      <c r="CM65" s="83"/>
      <c r="CN65" s="83"/>
      <c r="CO65" s="83"/>
    </row>
    <row r="66" spans="1:93" x14ac:dyDescent="0.2">
      <c r="A66" s="83"/>
      <c r="B66" s="103"/>
      <c r="C66" s="192"/>
      <c r="D66" s="208" t="s">
        <v>823</v>
      </c>
      <c r="E66" s="208" t="s">
        <v>828</v>
      </c>
      <c r="F66" s="96">
        <v>1</v>
      </c>
      <c r="G66" s="96">
        <v>1</v>
      </c>
      <c r="H66" s="96" t="s">
        <v>196</v>
      </c>
      <c r="I66" s="96" t="s">
        <v>182</v>
      </c>
      <c r="J66" s="96" t="str">
        <f>+IF(F66&gt;'Equipment Data'!$G$115,"yes","No")</f>
        <v>No</v>
      </c>
      <c r="K66" s="96">
        <v>0.67</v>
      </c>
      <c r="L66" s="96" t="s">
        <v>187</v>
      </c>
      <c r="M66" s="156">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52">
        <f>+IF(G66-1.01325&gt;10,10^('Equipment Data'!$I$115+LOG10(G66-1.01325)*'Equipment Data'!$J$115+'Equipment Data'!$K$115*LOG10(G66-1.01325)*LOG10(G66-1.01325)),1)</f>
        <v>1</v>
      </c>
      <c r="O66" s="214" t="s">
        <v>187</v>
      </c>
      <c r="P66" s="152">
        <f>+IF(I66="CS",'Equipment Data'!$C$233,IF(I66="Cu Alloy",'Equipment Data'!$D$233,IF(I66="SS",'Equipment Data'!$E$233,IF(I66="Ni Alloy",'Equipment Data'!$F$233,IF(I66="Ti",'Equipment Data'!$G$233,"N/A")))))</f>
        <v>2.9</v>
      </c>
      <c r="Q66" s="153">
        <f>+M66*N66*P66</f>
        <v>127173.90235474604</v>
      </c>
      <c r="R66" s="98"/>
      <c r="S66" s="201"/>
      <c r="T66" s="104"/>
      <c r="U66" s="83"/>
      <c r="V66" s="83"/>
      <c r="W66" s="83"/>
      <c r="X66" s="1"/>
      <c r="CI66" s="83"/>
      <c r="CJ66" s="83"/>
      <c r="CK66" s="83"/>
      <c r="CL66" s="83"/>
      <c r="CM66" s="83"/>
      <c r="CN66" s="83"/>
      <c r="CO66" s="83"/>
    </row>
    <row r="67" spans="1:93" x14ac:dyDescent="0.2">
      <c r="A67" s="83"/>
      <c r="B67" s="103"/>
      <c r="C67" s="259"/>
      <c r="D67" s="208" t="s">
        <v>194</v>
      </c>
      <c r="E67" s="208" t="s">
        <v>829</v>
      </c>
      <c r="F67" s="96">
        <v>1</v>
      </c>
      <c r="G67" s="96">
        <v>1</v>
      </c>
      <c r="H67" s="96" t="s">
        <v>196</v>
      </c>
      <c r="I67" s="96" t="s">
        <v>331</v>
      </c>
      <c r="J67" s="96" t="str">
        <f>+IF(F67&gt;'Equipment Data'!$L$120,"yes","No")</f>
        <v>No</v>
      </c>
      <c r="K67" s="96">
        <v>0.67</v>
      </c>
      <c r="L67" s="96" t="s">
        <v>187</v>
      </c>
      <c r="M67" s="156">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52">
        <f>+IF((G67-1.01325)&gt;40,IF((G67-1.01325)&lt;100,10^('Equipment Data'!$F$121+'Equipment Data'!$G$121*LOG10(G67-1.01325)+'Equipment Data'!$H$121*LOG10(G67-1.01325)*LOG10(G67-1.01325)),IF((G67-1.01325)&gt;100,10^('Equipment Data'!$F$120+'Equipment Data'!$G$120*LOG10(G67-1.01325)+'Equipment Data'!$H$120*LOG10(G67-1.01325)*LOG10(G67-1.01325)))),1)</f>
        <v>1</v>
      </c>
      <c r="O67" s="96">
        <f>+IF(I67="CS/CS",'Equipment Data'!$C$147,IF(I67="CS/Cu",'Equipment Data'!$D$147,IF(I67="Cu/Cu",'Equipment Data'!$E$147,IF(I67="CS/SS",'Equipment Data'!$F$147,IF(I67="SS/SS",'Equipment Data'!$G$147,IF(I67="CS/Ni",'Equipment Data'!$H$147,IF(I67="Ni/Ni",'Equipment Data'!$I$147,IF(I67="CS/Ti",'Equipment Data'!$J$147,IF(I67="Ti/Ti",'Equipment Data'!$K$147,"N/A")))))))))</f>
        <v>1</v>
      </c>
      <c r="P67" s="152">
        <f>+'Equipment Data'!$I$120+'Equipment Data'!$J$120*N67*O67</f>
        <v>3.29</v>
      </c>
      <c r="Q67" s="153">
        <f>+M67*P67</f>
        <v>7271.0293540788207</v>
      </c>
      <c r="R67" s="263"/>
      <c r="S67" s="269"/>
      <c r="T67" s="104"/>
      <c r="U67" s="83"/>
      <c r="V67" s="83"/>
      <c r="W67" s="83"/>
      <c r="X67" s="1"/>
      <c r="CI67" s="83"/>
      <c r="CJ67" s="83"/>
      <c r="CK67" s="83"/>
      <c r="CL67" s="83"/>
      <c r="CM67" s="83"/>
      <c r="CN67" s="83"/>
      <c r="CO67" s="83"/>
    </row>
    <row r="68" spans="1:93" x14ac:dyDescent="0.2">
      <c r="A68" s="83"/>
      <c r="B68" s="103"/>
      <c r="C68" s="260"/>
      <c r="D68" s="208" t="s">
        <v>194</v>
      </c>
      <c r="E68" s="208" t="s">
        <v>830</v>
      </c>
      <c r="F68" s="96">
        <v>1</v>
      </c>
      <c r="G68" s="96">
        <v>1</v>
      </c>
      <c r="H68" s="96" t="s">
        <v>196</v>
      </c>
      <c r="I68" s="96" t="s">
        <v>331</v>
      </c>
      <c r="J68" s="96" t="str">
        <f>+IF(F68&gt;'Equipment Data'!$L$123,"yes","No")</f>
        <v>No</v>
      </c>
      <c r="K68" s="96">
        <v>0.67</v>
      </c>
      <c r="L68" s="96" t="s">
        <v>187</v>
      </c>
      <c r="M68" s="156">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52">
        <f>+IF((G68-1.01325)&gt;40,IF((G68-1.01325)&lt;100,10^('Equipment Data'!$F$122+'Equipment Data'!$G$122*LOG10(G68-1.01325)+'Equipment Data'!$H$122*LOG10(G68-1.01325)*LOG10(G68-1.01325)),IF((G68-1.01325)&gt;100,10^('Equipment Data'!$F$121+'Equipment Data'!$G$121*LOG10(G68-1.01325)+'Equipment Data'!$H$121*LOG10(G68-1.01325)*LOG10(G68-1.01325)))),1)</f>
        <v>1</v>
      </c>
      <c r="O68" s="96">
        <f>+IF(I68="CS/CS",'Equipment Data'!$C$148,IF(I68="CS/Cu",'Equipment Data'!$D$148,IF(I68="Cu/Cu",'Equipment Data'!$E$148,IF(I68="CS/SS",'Equipment Data'!$F$148,IF(I68="SS/SS",'Equipment Data'!$G$148,IF(I68="CS/Ni",'Equipment Data'!$H$148,IF(I68="Ni/Ni",'Equipment Data'!$I$148,IF(I68="CS/Ti",'Equipment Data'!$J$148,IF(I68="Ti/Ti",'Equipment Data'!$K$148,"N/A")))))))))</f>
        <v>1</v>
      </c>
      <c r="P68" s="152">
        <f>+'Equipment Data'!$I$123+'Equipment Data'!$J$123*N68*O68</f>
        <v>3.29</v>
      </c>
      <c r="Q68" s="153">
        <f t="shared" ref="Q68:Q78" si="7">+M68*P68</f>
        <v>1916.001734734944</v>
      </c>
      <c r="R68" s="265"/>
      <c r="S68" s="270"/>
      <c r="T68" s="104"/>
      <c r="U68" s="83"/>
      <c r="V68" s="83"/>
      <c r="W68" s="83"/>
      <c r="X68" s="1"/>
      <c r="CI68" s="83"/>
      <c r="CJ68" s="83"/>
      <c r="CK68" s="83"/>
      <c r="CL68" s="83"/>
      <c r="CM68" s="83"/>
      <c r="CN68" s="83"/>
      <c r="CO68" s="83"/>
    </row>
    <row r="69" spans="1:93" x14ac:dyDescent="0.2">
      <c r="A69" s="83"/>
      <c r="B69" s="103"/>
      <c r="C69" s="260"/>
      <c r="D69" s="208" t="s">
        <v>194</v>
      </c>
      <c r="E69" s="208" t="s">
        <v>195</v>
      </c>
      <c r="F69" s="96">
        <v>1</v>
      </c>
      <c r="G69" s="96">
        <v>1</v>
      </c>
      <c r="H69" s="96" t="s">
        <v>196</v>
      </c>
      <c r="I69" s="96" t="s">
        <v>331</v>
      </c>
      <c r="J69" s="96" t="str">
        <f>+IF(F69&gt;'Equipment Data'!$L$126,"yes","No")</f>
        <v>No</v>
      </c>
      <c r="K69" s="96">
        <v>0.67</v>
      </c>
      <c r="L69" s="96" t="s">
        <v>198</v>
      </c>
      <c r="M69" s="156">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52">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96">
        <f>+IF(I69="CS/CS",'Equipment Data'!$C$149,IF(I69="CS/Cu",'Equipment Data'!$D$149,IF(I69="Cu/Cu",'Equipment Data'!$E$149,IF(I69="CS/SS",'Equipment Data'!$F$149,IF(I69="SS/SS",'Equipment Data'!$G$149,IF(I69="CS/Ni",'Equipment Data'!$H$149,IF(I69="Ni/Ni",'Equipment Data'!$I$149,IF(I69="CS/Ti",'Equipment Data'!$J$149,IF(I69="Ti/Ti",'Equipment Data'!$K$149,"N/A")))))))))</f>
        <v>1</v>
      </c>
      <c r="P69" s="152">
        <f>+'Equipment Data'!$I$126+'Equipment Data'!$J$126*N69*O69</f>
        <v>3.29</v>
      </c>
      <c r="Q69" s="153">
        <f t="shared" si="7"/>
        <v>69485.773756467606</v>
      </c>
      <c r="R69" s="265"/>
      <c r="S69" s="270"/>
      <c r="T69" s="104"/>
      <c r="U69" s="83"/>
      <c r="V69" s="83"/>
      <c r="W69" s="83"/>
      <c r="X69" s="1"/>
      <c r="CI69" s="83"/>
      <c r="CJ69" s="83"/>
      <c r="CK69" s="83"/>
      <c r="CL69" s="83"/>
      <c r="CM69" s="83"/>
      <c r="CN69" s="83"/>
      <c r="CO69" s="83"/>
    </row>
    <row r="70" spans="1:93" x14ac:dyDescent="0.2">
      <c r="A70" s="83"/>
      <c r="B70" s="103"/>
      <c r="C70" s="260"/>
      <c r="D70" s="208" t="s">
        <v>194</v>
      </c>
      <c r="E70" s="208" t="s">
        <v>831</v>
      </c>
      <c r="F70" s="96">
        <v>1</v>
      </c>
      <c r="G70" s="96">
        <v>1</v>
      </c>
      <c r="H70" s="96" t="s">
        <v>196</v>
      </c>
      <c r="I70" s="96" t="s">
        <v>331</v>
      </c>
      <c r="J70" s="96" t="str">
        <f>+IF(F70&gt;'Equipment Data'!$L$128,"yes","No")</f>
        <v>No</v>
      </c>
      <c r="K70" s="96">
        <v>0.67</v>
      </c>
      <c r="L70" s="96" t="s">
        <v>198</v>
      </c>
      <c r="M70" s="156">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52">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96">
        <f>+IF(I70="CS/CS",'Equipment Data'!$C$150,IF(I70="CS/Cu",'Equipment Data'!$D$150,IF(I70="Cu/Cu",'Equipment Data'!$E$150,IF(I70="CS/SS",'Equipment Data'!$F$150,IF(I70="SS/SS",'Equipment Data'!$G$150,IF(I70="CS/Ni",'Equipment Data'!$H$150,IF(I70="Ni/Ni",'Equipment Data'!$I$150,IF(I70="CS/Ti",'Equipment Data'!$J$150,IF(I70="Ti/Ti",'Equipment Data'!$K$150,"N/A")))))))))</f>
        <v>1</v>
      </c>
      <c r="P70" s="152">
        <f>+'Equipment Data'!$I$128+'Equipment Data'!$J$128*N70*O70</f>
        <v>3.29</v>
      </c>
      <c r="Q70" s="153">
        <f t="shared" si="7"/>
        <v>222738.81147305027</v>
      </c>
      <c r="R70" s="265"/>
      <c r="S70" s="270"/>
      <c r="T70" s="104"/>
      <c r="U70" s="83"/>
      <c r="V70" s="83"/>
      <c r="W70" s="83"/>
      <c r="X70" s="1"/>
      <c r="CI70" s="83"/>
      <c r="CJ70" s="83"/>
      <c r="CK70" s="83"/>
      <c r="CL70" s="83"/>
      <c r="CM70" s="83"/>
      <c r="CN70" s="83"/>
      <c r="CO70" s="83"/>
    </row>
    <row r="71" spans="1:93" x14ac:dyDescent="0.2">
      <c r="A71" s="83"/>
      <c r="B71" s="103"/>
      <c r="C71" s="260"/>
      <c r="D71" s="208" t="s">
        <v>194</v>
      </c>
      <c r="E71" s="208" t="s">
        <v>832</v>
      </c>
      <c r="F71" s="96">
        <v>1</v>
      </c>
      <c r="G71" s="96">
        <v>1</v>
      </c>
      <c r="H71" s="96" t="s">
        <v>196</v>
      </c>
      <c r="I71" s="96" t="s">
        <v>331</v>
      </c>
      <c r="J71" s="96" t="str">
        <f>+IF(F71&gt;'Equipment Data'!$L$130,"yes","No")</f>
        <v>No</v>
      </c>
      <c r="K71" s="96">
        <v>0.67</v>
      </c>
      <c r="L71" s="96" t="s">
        <v>198</v>
      </c>
      <c r="M71" s="156">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52">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96">
        <f>+IF(I71="CS/CS",'Equipment Data'!$C$151,IF(I71="CS/Cu",'Equipment Data'!$D$151,IF(I71="Cu/Cu",'Equipment Data'!$E$151,IF(I71="CS/SS",'Equipment Data'!$F$151,IF(I71="SS/SS",'Equipment Data'!$G$151,IF(I71="CS/Ni",'Equipment Data'!$H$151,IF(I71="Ni/Ni",'Equipment Data'!$I$151,IF(I71="CS/Ti",'Equipment Data'!$J$151,IF(I71="Ti/Ti",'Equipment Data'!$K$151,"N/A")))))))))</f>
        <v>1</v>
      </c>
      <c r="P71" s="152">
        <f>+'Equipment Data'!$I$130+'Equipment Data'!$J$130*N71*O71</f>
        <v>3.29</v>
      </c>
      <c r="Q71" s="153">
        <f t="shared" si="7"/>
        <v>62229.440737206161</v>
      </c>
      <c r="R71" s="265"/>
      <c r="S71" s="270"/>
      <c r="T71" s="104"/>
      <c r="U71" s="83"/>
      <c r="V71" s="83"/>
      <c r="W71" s="83"/>
      <c r="X71" s="1"/>
      <c r="CI71" s="83"/>
      <c r="CJ71" s="83"/>
      <c r="CK71" s="83"/>
      <c r="CL71" s="83"/>
      <c r="CM71" s="83"/>
      <c r="CN71" s="83"/>
      <c r="CO71" s="83"/>
    </row>
    <row r="72" spans="1:93" x14ac:dyDescent="0.2">
      <c r="A72" s="83"/>
      <c r="B72" s="103"/>
      <c r="C72" s="260"/>
      <c r="D72" s="208" t="s">
        <v>194</v>
      </c>
      <c r="E72" s="208" t="s">
        <v>833</v>
      </c>
      <c r="F72" s="96">
        <v>1</v>
      </c>
      <c r="G72" s="96">
        <v>1</v>
      </c>
      <c r="H72" s="96" t="s">
        <v>196</v>
      </c>
      <c r="I72" s="96" t="s">
        <v>331</v>
      </c>
      <c r="J72" s="96" t="str">
        <f>+IF(F72&gt;'Equipment Data'!$L$132,"yes","No")</f>
        <v>No</v>
      </c>
      <c r="K72" s="96">
        <v>0.67</v>
      </c>
      <c r="L72" s="96" t="s">
        <v>198</v>
      </c>
      <c r="M72" s="156">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52">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96">
        <f>+IF(I72="CS/CS",'Equipment Data'!$C$152,IF(I72="CS/Cu",'Equipment Data'!$D$152,IF(I72="Cu/Cu",'Equipment Data'!$E$152,IF(I72="CS/SS",'Equipment Data'!$F$152,IF(I72="SS/SS",'Equipment Data'!$G$152,IF(I72="CS/Ni",'Equipment Data'!$H$152,IF(I72="Ni/Ni",'Equipment Data'!$I$152,IF(I72="CS/Ti",'Equipment Data'!$J$152,IF(I72="Ti/Ti",'Equipment Data'!$K$152,"N/A")))))))))</f>
        <v>1</v>
      </c>
      <c r="P72" s="152">
        <f>+'Equipment Data'!$I$132+'Equipment Data'!$J$132*N72*O72</f>
        <v>3.29</v>
      </c>
      <c r="Q72" s="153">
        <f t="shared" si="7"/>
        <v>95894.985528444595</v>
      </c>
      <c r="R72" s="265"/>
      <c r="S72" s="270"/>
      <c r="T72" s="104"/>
      <c r="U72" s="83"/>
      <c r="V72" s="83"/>
      <c r="W72" s="83"/>
      <c r="X72" s="1"/>
      <c r="CI72" s="83"/>
      <c r="CJ72" s="83"/>
      <c r="CK72" s="83"/>
      <c r="CL72" s="83"/>
      <c r="CM72" s="83"/>
      <c r="CN72" s="83"/>
      <c r="CO72" s="83"/>
    </row>
    <row r="73" spans="1:93" x14ac:dyDescent="0.2">
      <c r="A73" s="83"/>
      <c r="B73" s="103"/>
      <c r="C73" s="260"/>
      <c r="D73" s="208" t="s">
        <v>194</v>
      </c>
      <c r="E73" s="208" t="s">
        <v>834</v>
      </c>
      <c r="F73" s="96">
        <v>1</v>
      </c>
      <c r="G73" s="96">
        <v>1</v>
      </c>
      <c r="H73" s="96" t="s">
        <v>196</v>
      </c>
      <c r="I73" s="96" t="s">
        <v>331</v>
      </c>
      <c r="J73" s="96" t="str">
        <f>+IF(F73&gt;'Equipment Data'!$L$134,"yes","No")</f>
        <v>No</v>
      </c>
      <c r="K73" s="96">
        <v>0.67</v>
      </c>
      <c r="L73" s="96" t="s">
        <v>187</v>
      </c>
      <c r="M73" s="156">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52">
        <f>+IF((G73-1.01325)&gt;40,IF((G73-1.01325)&lt;100,10^('Equipment Data'!$F$134+'Equipment Data'!$G$134*LOG10(G73-1.01325)+'Equipment Data'!$H$134*LOG10(G73-1.01325)*LOG10(G73-1.01325)),IF((G73-1.01325)&gt;100,10^('Equipment Data'!$F$133+'Equipment Data'!$G$133*LOG10(G73-1.01325)+'Equipment Data'!$H$133*LOG10(G73-1.01325)*LOG10(G73-1.01325)))),1)</f>
        <v>1</v>
      </c>
      <c r="O73" s="96">
        <f>+IF(I73="CS/CS",'Equipment Data'!$C$153,IF(I73="CS/Cu",'Equipment Data'!$D$153,IF(I73="Cu/Cu",'Equipment Data'!$E$153,IF(I73="CS/SS",'Equipment Data'!$F$153,IF(I73="SS/SS",'Equipment Data'!$G$153,IF(I73="CS/Ni",'Equipment Data'!$H$153,IF(I73="Ni/Ni",'Equipment Data'!$I$153,IF(I73="CS/Ti",'Equipment Data'!$J$153,IF(I73="Ti/Ti",'Equipment Data'!$K$153,"N/A")))))))))</f>
        <v>1</v>
      </c>
      <c r="P73" s="152">
        <f>+'Equipment Data'!$I$134+'Equipment Data'!$J$134*N73*O73</f>
        <v>3.29</v>
      </c>
      <c r="Q73" s="153">
        <f t="shared" si="7"/>
        <v>19837.909192094801</v>
      </c>
      <c r="R73" s="265"/>
      <c r="S73" s="270"/>
      <c r="T73" s="104"/>
      <c r="U73" s="83"/>
      <c r="V73" s="83"/>
      <c r="W73" s="83"/>
      <c r="X73" s="1"/>
      <c r="CI73" s="83"/>
      <c r="CJ73" s="83"/>
      <c r="CK73" s="83"/>
      <c r="CL73" s="83"/>
      <c r="CM73" s="83"/>
      <c r="CN73" s="83"/>
      <c r="CO73" s="83"/>
    </row>
    <row r="74" spans="1:93" x14ac:dyDescent="0.2">
      <c r="A74" s="83"/>
      <c r="B74" s="103"/>
      <c r="C74" s="260"/>
      <c r="D74" s="208" t="s">
        <v>194</v>
      </c>
      <c r="E74" s="208" t="s">
        <v>835</v>
      </c>
      <c r="F74" s="96">
        <v>1</v>
      </c>
      <c r="G74" s="96">
        <v>1</v>
      </c>
      <c r="H74" s="96" t="s">
        <v>196</v>
      </c>
      <c r="I74" s="96" t="s">
        <v>182</v>
      </c>
      <c r="J74" s="96" t="str">
        <f>+IF(F74&gt;'Equipment Data'!$L$137,"yes","No")</f>
        <v>No</v>
      </c>
      <c r="K74" s="96">
        <v>0.67</v>
      </c>
      <c r="L74" s="96" t="s">
        <v>187</v>
      </c>
      <c r="M74" s="156">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52">
        <v>1</v>
      </c>
      <c r="O74" s="96">
        <f>+IF(I74="CS",'Equipment Data'!$C$158,IF(I74="Cu",'Equipment Data'!$D$158,IF(I74="SS",'Equipment Data'!$E$158,IF(I74="Ni",'Equipment Data'!$F$158,IF(I74="Ti",'Equipment Data'!$G$158,"N/A")))))</f>
        <v>1</v>
      </c>
      <c r="P74" s="152">
        <f>+'Equipment Data'!$I$137+'Equipment Data'!$J$137*N74*O74</f>
        <v>3.29</v>
      </c>
      <c r="Q74" s="153">
        <f t="shared" si="7"/>
        <v>21056.970948365411</v>
      </c>
      <c r="R74" s="265"/>
      <c r="S74" s="270"/>
      <c r="T74" s="104"/>
      <c r="U74" s="83"/>
      <c r="V74" s="83"/>
      <c r="W74" s="83"/>
      <c r="X74" s="1"/>
      <c r="CI74" s="83"/>
      <c r="CJ74" s="83"/>
      <c r="CK74" s="83"/>
      <c r="CL74" s="83"/>
      <c r="CM74" s="83"/>
      <c r="CN74" s="83"/>
      <c r="CO74" s="83"/>
    </row>
    <row r="75" spans="1:93" x14ac:dyDescent="0.2">
      <c r="A75" s="83"/>
      <c r="B75" s="103"/>
      <c r="C75" s="260"/>
      <c r="D75" s="208" t="s">
        <v>194</v>
      </c>
      <c r="E75" s="208" t="s">
        <v>836</v>
      </c>
      <c r="F75" s="96">
        <v>1</v>
      </c>
      <c r="G75" s="96">
        <v>1</v>
      </c>
      <c r="H75" s="96" t="s">
        <v>196</v>
      </c>
      <c r="I75" s="96" t="s">
        <v>182</v>
      </c>
      <c r="J75" s="96" t="str">
        <f>+IF(F75&gt;'Equipment Data'!$L$138,"yes","No")</f>
        <v>No</v>
      </c>
      <c r="K75" s="96">
        <v>0.67</v>
      </c>
      <c r="L75" s="96" t="s">
        <v>187</v>
      </c>
      <c r="M75" s="156">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52">
        <f>+IF(G75-1.01325&gt;10,10^('Equipment Data'!$F$138+'Equipment Data'!$G$138*LOG10(G75-1.01325)+'Equipment Data'!$H$138*LOG10(G75-1.01325)*LOG10(G75-1.01325)),1)</f>
        <v>1</v>
      </c>
      <c r="O75" s="96">
        <f>+IF(I75="CS",'Equipment Data'!$C$167,IF(I75="Al",'Equipment Data'!$D$167,IF(I75="SS",'Equipment Data'!$E$167,"N/A")))</f>
        <v>1</v>
      </c>
      <c r="P75" s="152">
        <f>+'Equipment Data'!$I$128+'Equipment Data'!$J$128*N75*O75</f>
        <v>3.29</v>
      </c>
      <c r="Q75" s="153">
        <f t="shared" si="7"/>
        <v>35546.422451013517</v>
      </c>
      <c r="R75" s="265"/>
      <c r="S75" s="270"/>
      <c r="T75" s="104"/>
      <c r="U75" s="83"/>
      <c r="V75" s="83"/>
      <c r="W75" s="83"/>
      <c r="X75" s="1"/>
      <c r="CI75" s="83"/>
      <c r="CJ75" s="83"/>
      <c r="CK75" s="83"/>
      <c r="CL75" s="83"/>
      <c r="CM75" s="83"/>
      <c r="CN75" s="83"/>
      <c r="CO75" s="83"/>
    </row>
    <row r="76" spans="1:93" x14ac:dyDescent="0.2">
      <c r="A76" s="83"/>
      <c r="B76" s="103"/>
      <c r="C76" s="260"/>
      <c r="D76" s="208" t="s">
        <v>194</v>
      </c>
      <c r="E76" s="208" t="s">
        <v>774</v>
      </c>
      <c r="F76" s="96">
        <v>1</v>
      </c>
      <c r="G76" s="96">
        <v>1</v>
      </c>
      <c r="H76" s="96" t="s">
        <v>196</v>
      </c>
      <c r="I76" s="96" t="s">
        <v>331</v>
      </c>
      <c r="J76" s="96" t="str">
        <f>+IF(F76&gt;'Equipment Data'!$L$139,"yes","No")</f>
        <v>No</v>
      </c>
      <c r="K76" s="96">
        <v>0.67</v>
      </c>
      <c r="L76" s="96" t="s">
        <v>198</v>
      </c>
      <c r="M76" s="156">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52">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96">
        <f>+IF(I76="CS/CS",'Equipment Data'!$C$154,IF(I76="CS/Cu",'Equipment Data'!$D$154,IF(I76="Cu/Cu",'Equipment Data'!$E$154,IF(I76="CS/SS",'Equipment Data'!$F$154,IF(I76="SS/SS",'Equipment Data'!$G$154,IF(I76="CS/Ni",'Equipment Data'!$H$154,IF(I76="Ni/Ni",'Equipment Data'!$I$154,IF(I76="CS/Ti",'Equipment Data'!$J$154,IF(I76="Ti/Ti",'Equipment Data'!$K$154,"N/A")))))))))</f>
        <v>1</v>
      </c>
      <c r="P76" s="152">
        <f>+'Equipment Data'!$I$139+'Equipment Data'!$J$139*N76*O76</f>
        <v>3.29</v>
      </c>
      <c r="Q76" s="153">
        <f t="shared" si="7"/>
        <v>32240.064200045108</v>
      </c>
      <c r="R76" s="265"/>
      <c r="S76" s="270"/>
      <c r="T76" s="104"/>
      <c r="U76" s="83"/>
      <c r="V76" s="83"/>
      <c r="W76" s="83"/>
      <c r="X76" s="1"/>
      <c r="CI76" s="83"/>
      <c r="CJ76" s="83"/>
      <c r="CK76" s="83"/>
      <c r="CL76" s="83"/>
      <c r="CM76" s="83"/>
      <c r="CN76" s="83"/>
      <c r="CO76" s="83"/>
    </row>
    <row r="77" spans="1:93" x14ac:dyDescent="0.2">
      <c r="A77" s="83"/>
      <c r="B77" s="103"/>
      <c r="C77" s="260"/>
      <c r="D77" s="208" t="s">
        <v>194</v>
      </c>
      <c r="E77" s="208" t="s">
        <v>837</v>
      </c>
      <c r="F77" s="96">
        <v>1</v>
      </c>
      <c r="G77" s="96">
        <v>1</v>
      </c>
      <c r="H77" s="96" t="s">
        <v>196</v>
      </c>
      <c r="I77" s="96" t="s">
        <v>182</v>
      </c>
      <c r="J77" s="96" t="str">
        <f>+IF(F77&gt;'Equipment Data'!$L$141,"yes","No")</f>
        <v>No</v>
      </c>
      <c r="K77" s="96">
        <v>0.67</v>
      </c>
      <c r="L77" s="96" t="s">
        <v>187</v>
      </c>
      <c r="M77" s="156">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52">
        <v>1</v>
      </c>
      <c r="O77" s="96">
        <f>+IF(I77="CS",'Equipment Data'!$C$162,IF(I77="Cu",'Equipment Data'!$D$162,IF(I77="SS",'Equipment Data'!$E$162,IF(I77="Ni",'Equipment Data'!$F$162,IF(I77="Ti",'Equipment Data'!$G$162,"N/A")))))</f>
        <v>1</v>
      </c>
      <c r="P77" s="152">
        <f>+'Equipment Data'!$I$141+'Equipment Data'!$J$141*N77*O77</f>
        <v>2.17</v>
      </c>
      <c r="Q77" s="153">
        <f t="shared" si="7"/>
        <v>98301.406968796393</v>
      </c>
      <c r="R77" s="265"/>
      <c r="S77" s="270"/>
      <c r="T77" s="104"/>
      <c r="U77" s="83"/>
      <c r="V77" s="83"/>
      <c r="W77" s="83"/>
      <c r="X77" s="1"/>
      <c r="CI77" s="83"/>
      <c r="CJ77" s="83"/>
      <c r="CK77" s="83"/>
      <c r="CL77" s="83"/>
      <c r="CM77" s="83"/>
      <c r="CN77" s="83"/>
      <c r="CO77" s="83"/>
    </row>
    <row r="78" spans="1:93" x14ac:dyDescent="0.2">
      <c r="A78" s="83"/>
      <c r="B78" s="103"/>
      <c r="C78" s="260"/>
      <c r="D78" s="208" t="s">
        <v>194</v>
      </c>
      <c r="E78" s="208" t="s">
        <v>838</v>
      </c>
      <c r="F78" s="96">
        <v>1</v>
      </c>
      <c r="G78" s="96">
        <v>1</v>
      </c>
      <c r="H78" s="96" t="s">
        <v>196</v>
      </c>
      <c r="I78" s="96" t="s">
        <v>182</v>
      </c>
      <c r="J78" s="96" t="str">
        <f>+IF(F78&gt;'Equipment Data'!$L$142,"yes","No")</f>
        <v>No</v>
      </c>
      <c r="K78" s="96">
        <v>0.67</v>
      </c>
      <c r="L78" s="96" t="s">
        <v>187</v>
      </c>
      <c r="M78" s="156">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52">
        <v>1</v>
      </c>
      <c r="O78" s="96">
        <f>+IF(I78="CS",'Equipment Data'!$C$163,IF(I78="Cu",'Equipment Data'!$D$163,IF(I78="SS",'Equipment Data'!$E$163,IF(I78="Ni",'Equipment Data'!$F$163,IF(I78="Ti",'Equipment Data'!$G$163,"N/A")))))</f>
        <v>1</v>
      </c>
      <c r="P78" s="152">
        <f>+'Equipment Data'!$I$142+'Equipment Data'!$J$142*N78*O78</f>
        <v>2.17</v>
      </c>
      <c r="Q78" s="153">
        <f t="shared" si="7"/>
        <v>100475.39769168713</v>
      </c>
      <c r="R78" s="265"/>
      <c r="S78" s="270"/>
      <c r="T78" s="104"/>
      <c r="U78" s="83"/>
      <c r="V78" s="83"/>
      <c r="W78" s="83"/>
      <c r="X78" s="1"/>
      <c r="CI78" s="83"/>
      <c r="CJ78" s="83"/>
      <c r="CK78" s="83"/>
      <c r="CL78" s="83"/>
      <c r="CM78" s="83"/>
      <c r="CN78" s="83"/>
      <c r="CO78" s="83"/>
    </row>
    <row r="79" spans="1:93" x14ac:dyDescent="0.2">
      <c r="A79" s="83"/>
      <c r="B79" s="103"/>
      <c r="C79" s="194"/>
      <c r="D79" s="208" t="s">
        <v>839</v>
      </c>
      <c r="E79" s="208" t="s">
        <v>840</v>
      </c>
      <c r="F79" s="96">
        <v>1</v>
      </c>
      <c r="G79" s="96" t="s">
        <v>187</v>
      </c>
      <c r="H79" s="96" t="s">
        <v>186</v>
      </c>
      <c r="I79" s="96" t="s">
        <v>187</v>
      </c>
      <c r="J79" s="96" t="str">
        <f>+IF(F79&gt;'Equipment Data'!$G$172,"yes","No")</f>
        <v>No</v>
      </c>
      <c r="K79" s="96">
        <v>0.67</v>
      </c>
      <c r="L79" s="96" t="s">
        <v>187</v>
      </c>
      <c r="M79" s="156">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96" t="s">
        <v>187</v>
      </c>
      <c r="O79" s="96" t="s">
        <v>187</v>
      </c>
      <c r="P79" s="96">
        <f>+'Equipment Data'!$H$172</f>
        <v>1.38</v>
      </c>
      <c r="Q79" s="153">
        <f>+M79*P79</f>
        <v>9794.4281887035741</v>
      </c>
      <c r="R79" s="151"/>
      <c r="S79" s="199"/>
      <c r="T79" s="104"/>
      <c r="U79" s="83"/>
      <c r="V79" s="83"/>
      <c r="W79" s="83"/>
      <c r="X79" s="1"/>
      <c r="CI79" s="83"/>
      <c r="CJ79" s="83"/>
      <c r="CK79" s="83"/>
      <c r="CL79" s="83"/>
      <c r="CM79" s="83"/>
      <c r="CN79" s="83"/>
      <c r="CO79" s="83"/>
    </row>
    <row r="80" spans="1:93" x14ac:dyDescent="0.2">
      <c r="A80" s="83"/>
      <c r="B80" s="103"/>
      <c r="C80" s="192"/>
      <c r="D80" s="208" t="s">
        <v>839</v>
      </c>
      <c r="E80" s="208" t="s">
        <v>841</v>
      </c>
      <c r="F80" s="96">
        <v>1</v>
      </c>
      <c r="G80" s="96" t="s">
        <v>187</v>
      </c>
      <c r="H80" s="96" t="s">
        <v>186</v>
      </c>
      <c r="I80" s="96" t="s">
        <v>187</v>
      </c>
      <c r="J80" s="96" t="str">
        <f>+IF(F80&gt;'Equipment Data'!$G$173,"yes","No")</f>
        <v>No</v>
      </c>
      <c r="K80" s="96">
        <v>0.67</v>
      </c>
      <c r="L80" s="96" t="s">
        <v>187</v>
      </c>
      <c r="M80" s="156">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96" t="s">
        <v>187</v>
      </c>
      <c r="O80" s="96" t="s">
        <v>187</v>
      </c>
      <c r="P80" s="96">
        <f>+'Equipment Data'!$H$173</f>
        <v>1.38</v>
      </c>
      <c r="Q80" s="153">
        <f>+P80*M80</f>
        <v>28878.796233382836</v>
      </c>
      <c r="R80" s="97"/>
      <c r="S80" s="193"/>
      <c r="T80" s="104"/>
      <c r="U80" s="83"/>
      <c r="V80" s="83"/>
      <c r="W80" s="83"/>
      <c r="X80" s="1"/>
      <c r="CI80" s="83"/>
      <c r="CJ80" s="83"/>
      <c r="CK80" s="83"/>
      <c r="CL80" s="83"/>
      <c r="CM80" s="83"/>
      <c r="CN80" s="83"/>
      <c r="CO80" s="83"/>
    </row>
    <row r="81" spans="1:93" x14ac:dyDescent="0.2">
      <c r="A81" s="83"/>
      <c r="B81" s="103"/>
      <c r="C81" s="192"/>
      <c r="D81" s="208" t="s">
        <v>839</v>
      </c>
      <c r="E81" s="208" t="s">
        <v>420</v>
      </c>
      <c r="F81" s="96">
        <v>1</v>
      </c>
      <c r="G81" s="96" t="s">
        <v>187</v>
      </c>
      <c r="H81" s="96" t="s">
        <v>186</v>
      </c>
      <c r="I81" s="96" t="s">
        <v>187</v>
      </c>
      <c r="J81" s="96" t="str">
        <f>+IF(F81&gt;'Equipment Data'!$G$174,"yes","No")</f>
        <v>No</v>
      </c>
      <c r="K81" s="96">
        <v>0.67</v>
      </c>
      <c r="L81" s="96" t="s">
        <v>187</v>
      </c>
      <c r="M81" s="156">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96" t="s">
        <v>187</v>
      </c>
      <c r="O81" s="96" t="s">
        <v>187</v>
      </c>
      <c r="P81" s="96">
        <f>+'Equipment Data'!$H$174</f>
        <v>1.38</v>
      </c>
      <c r="Q81" s="153">
        <f>+P81*M81</f>
        <v>3540.6181099081195</v>
      </c>
      <c r="R81" s="97"/>
      <c r="S81" s="193"/>
      <c r="T81" s="104"/>
      <c r="U81" s="83"/>
      <c r="V81" s="83"/>
      <c r="W81" s="83"/>
      <c r="X81" s="1"/>
      <c r="CI81" s="83"/>
      <c r="CJ81" s="83"/>
      <c r="CK81" s="83"/>
      <c r="CL81" s="83"/>
      <c r="CM81" s="83"/>
      <c r="CN81" s="83"/>
      <c r="CO81" s="83"/>
    </row>
    <row r="82" spans="1:93" x14ac:dyDescent="0.2">
      <c r="A82" s="83"/>
      <c r="B82" s="103"/>
      <c r="C82" s="259"/>
      <c r="D82" s="208" t="s">
        <v>184</v>
      </c>
      <c r="E82" s="208" t="s">
        <v>185</v>
      </c>
      <c r="F82" s="96">
        <v>1</v>
      </c>
      <c r="G82" s="96">
        <v>1</v>
      </c>
      <c r="H82" s="96" t="s">
        <v>186</v>
      </c>
      <c r="I82" s="96" t="s">
        <v>182</v>
      </c>
      <c r="J82" s="96" t="str">
        <f>+IF(F82&gt;'Equipment Data'!$S$179,"yes","No")</f>
        <v>No</v>
      </c>
      <c r="K82" s="96">
        <v>0.67</v>
      </c>
      <c r="L82" s="96" t="s">
        <v>187</v>
      </c>
      <c r="M82" s="156">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158">
        <f>+IF(G82-1.01325&gt;10,10^('Equipment Data'!$F$179+'Equipment Data'!$G$179*LOG10(G82-1.01325)+'Equipment Data'!$H$179*LOG10(G82-1.01325)*LOG10(G82-1.01325)),1)</f>
        <v>1</v>
      </c>
      <c r="O82" s="96">
        <f>+IF(I82="Cl",'Equipment Data'!$K$179,IF(I82="CS",'Equipment Data'!$L$179,IF(I82="Cu",'Equipment Data'!$M$179,IF(I82="SS",'Equipment Data'!$N$179,IF(I82="Ni",'Equipment Data'!$O$179,IF(I82="Ti",'Equipment Data'!$P$179,"N/A"))))))</f>
        <v>1.55</v>
      </c>
      <c r="P82" s="96">
        <f>+'Equipment Data'!$I$179+'Equipment Data'!$J$179*O82*N82</f>
        <v>3.9824999999999999</v>
      </c>
      <c r="Q82" s="153">
        <f>+P82*M82</f>
        <v>9757.8869991277315</v>
      </c>
      <c r="R82" s="263"/>
      <c r="S82" s="264"/>
      <c r="T82" s="104"/>
      <c r="U82" s="83"/>
      <c r="V82" s="83"/>
      <c r="W82" s="83"/>
      <c r="X82" s="1"/>
      <c r="CI82" s="83"/>
      <c r="CJ82" s="83"/>
      <c r="CK82" s="83"/>
      <c r="CL82" s="83"/>
      <c r="CM82" s="83"/>
      <c r="CN82" s="83"/>
      <c r="CO82" s="83"/>
    </row>
    <row r="83" spans="1:93" x14ac:dyDescent="0.2">
      <c r="A83" s="83"/>
      <c r="B83" s="103"/>
      <c r="C83" s="260"/>
      <c r="D83" s="208" t="s">
        <v>184</v>
      </c>
      <c r="E83" s="208" t="s">
        <v>842</v>
      </c>
      <c r="F83" s="96">
        <v>1</v>
      </c>
      <c r="G83" s="96">
        <v>1</v>
      </c>
      <c r="H83" s="96" t="s">
        <v>186</v>
      </c>
      <c r="I83" s="96" t="s">
        <v>182</v>
      </c>
      <c r="J83" s="96" t="str">
        <f>+IF(F83&gt;'Equipment Data'!$S$180,"yes","No")</f>
        <v>No</v>
      </c>
      <c r="K83" s="96">
        <v>0.67</v>
      </c>
      <c r="L83" s="96" t="s">
        <v>187</v>
      </c>
      <c r="M83" s="156">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96">
        <f>+IF(G83-1.01325&gt;10,10^('Equipment Data'!$F$180+'Equipment Data'!$G$180*LOG10(G83-1.01325)+'Equipment Data'!$H$180*LOG10(G83-1.01325)*LOG10(G83-1.01325)),1)</f>
        <v>1</v>
      </c>
      <c r="O83" s="96">
        <f>+IF(I83="Cl",'Equipment Data'!$K$180,IF(I83="CS",'Equipment Data'!$L$180,IF(I83="Cu",'Equipment Data'!$M$180,IF(I83="SS",'Equipment Data'!$N$180,IF(I83="Ni",'Equipment Data'!$O$180,IF(I83="Ti",'Equipment Data'!$P$180,"N/A"))))))</f>
        <v>1.41</v>
      </c>
      <c r="P83" s="96">
        <f>+'Equipment Data'!$I$180+'Equipment Data'!$J$180*O83*N83</f>
        <v>3.7934999999999999</v>
      </c>
      <c r="Q83" s="153">
        <f>+M83*P83</f>
        <v>11379.943042847275</v>
      </c>
      <c r="R83" s="265"/>
      <c r="S83" s="266"/>
      <c r="T83" s="104"/>
      <c r="U83" s="83"/>
      <c r="V83" s="83"/>
      <c r="W83" s="83"/>
      <c r="X83" s="1"/>
      <c r="CI83" s="83"/>
      <c r="CJ83" s="83"/>
      <c r="CK83" s="83"/>
      <c r="CL83" s="83"/>
      <c r="CM83" s="83"/>
      <c r="CN83" s="83"/>
      <c r="CO83" s="83"/>
    </row>
    <row r="84" spans="1:93" x14ac:dyDescent="0.2">
      <c r="A84" s="83"/>
      <c r="B84" s="103"/>
      <c r="C84" s="260"/>
      <c r="D84" s="208" t="s">
        <v>184</v>
      </c>
      <c r="E84" s="208" t="s">
        <v>843</v>
      </c>
      <c r="F84" s="96">
        <v>1</v>
      </c>
      <c r="G84" s="96">
        <v>1</v>
      </c>
      <c r="H84" s="96" t="s">
        <v>186</v>
      </c>
      <c r="I84" s="96" t="s">
        <v>182</v>
      </c>
      <c r="J84" s="96" t="str">
        <f>+IF(F84&gt;'Equipment Data'!$S$181,"yes","No")</f>
        <v>No</v>
      </c>
      <c r="K84" s="96">
        <v>0.67</v>
      </c>
      <c r="L84" s="96" t="s">
        <v>187</v>
      </c>
      <c r="M84" s="156">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96">
        <f>+IF(G84-1.01325&gt;10,10^('Equipment Data'!$F$181+'Equipment Data'!$G$181*LOG10(G84-1.01325)+'Equipment Data'!$H$181*LOG10(G84-1.01325)*LOG10(G84-1.01325)),1)</f>
        <v>1</v>
      </c>
      <c r="O84" s="96">
        <f>+IF(I84="Cl",'Equipment Data'!$K$181,IF(I84="CS",'Equipment Data'!$L$181,IF(I84="Cu",'Equipment Data'!$M$181,IF(I84="SS",'Equipment Data'!$N$181,IF(I84="Ni",'Equipment Data'!$O$181,IF(I84="Ti",'Equipment Data'!$P$181,"N/A"))))))</f>
        <v>1.46</v>
      </c>
      <c r="P84" s="96">
        <f>+'Equipment Data'!$I$181+'Equipment Data'!$J$181*O84*N84</f>
        <v>3.8609999999999998</v>
      </c>
      <c r="Q84" s="153">
        <f>+M84*P84</f>
        <v>28595.638727427508</v>
      </c>
      <c r="R84" s="265"/>
      <c r="S84" s="266"/>
      <c r="T84" s="104"/>
      <c r="U84" s="83"/>
      <c r="V84" s="83"/>
      <c r="W84" s="83"/>
      <c r="X84" s="1"/>
      <c r="CI84" s="83"/>
      <c r="CJ84" s="83"/>
      <c r="CK84" s="83"/>
      <c r="CL84" s="83"/>
      <c r="CM84" s="83"/>
      <c r="CN84" s="83"/>
      <c r="CO84" s="83"/>
    </row>
    <row r="85" spans="1:93" x14ac:dyDescent="0.2">
      <c r="A85" s="83"/>
      <c r="B85" s="103"/>
      <c r="C85" s="194"/>
      <c r="D85" s="208" t="s">
        <v>844</v>
      </c>
      <c r="E85" s="208" t="s">
        <v>845</v>
      </c>
      <c r="F85" s="96">
        <v>1</v>
      </c>
      <c r="G85" s="96" t="s">
        <v>187</v>
      </c>
      <c r="H85" s="96" t="s">
        <v>179</v>
      </c>
      <c r="I85" s="96" t="s">
        <v>187</v>
      </c>
      <c r="J85" s="96" t="str">
        <f>+IF(F85&gt;'Equipment Data'!$G$186,"yes","No")</f>
        <v>No</v>
      </c>
      <c r="K85" s="96">
        <v>0.67</v>
      </c>
      <c r="L85" s="96" t="s">
        <v>187</v>
      </c>
      <c r="M85" s="156">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96" t="s">
        <v>187</v>
      </c>
      <c r="O85" s="96" t="s">
        <v>187</v>
      </c>
      <c r="P85" s="158">
        <f>+'Equipment Data'!$H$186</f>
        <v>4</v>
      </c>
      <c r="Q85" s="153">
        <f t="shared" ref="Q85:Q96" si="8">+M85*P85</f>
        <v>144797.14248969589</v>
      </c>
      <c r="R85" s="151"/>
      <c r="S85" s="199"/>
      <c r="T85" s="104"/>
      <c r="U85" s="83"/>
      <c r="V85" s="83"/>
      <c r="W85" s="83"/>
      <c r="X85" s="1"/>
      <c r="CI85" s="83"/>
      <c r="CJ85" s="83"/>
      <c r="CK85" s="83"/>
      <c r="CL85" s="83"/>
      <c r="CM85" s="83"/>
      <c r="CN85" s="83"/>
      <c r="CO85" s="83"/>
    </row>
    <row r="86" spans="1:93" x14ac:dyDescent="0.2">
      <c r="A86" s="83"/>
      <c r="B86" s="103"/>
      <c r="C86" s="192"/>
      <c r="D86" s="208" t="s">
        <v>844</v>
      </c>
      <c r="E86" s="208" t="s">
        <v>846</v>
      </c>
      <c r="F86" s="96">
        <v>1</v>
      </c>
      <c r="G86" s="96" t="s">
        <v>187</v>
      </c>
      <c r="H86" s="96" t="s">
        <v>179</v>
      </c>
      <c r="I86" s="96" t="s">
        <v>187</v>
      </c>
      <c r="J86" s="96" t="str">
        <f>+IF(F86&gt;'Equipment Data'!$G$187,"yes","No")</f>
        <v>No</v>
      </c>
      <c r="K86" s="96">
        <v>0.67</v>
      </c>
      <c r="L86" s="96" t="s">
        <v>187</v>
      </c>
      <c r="M86" s="156">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96" t="s">
        <v>187</v>
      </c>
      <c r="O86" s="96" t="s">
        <v>187</v>
      </c>
      <c r="P86" s="158">
        <f>+'Equipment Data'!$H$187</f>
        <v>4</v>
      </c>
      <c r="Q86" s="153">
        <f t="shared" si="8"/>
        <v>50963.58743676445</v>
      </c>
      <c r="R86" s="97"/>
      <c r="S86" s="193"/>
      <c r="T86" s="104"/>
      <c r="U86" s="83"/>
      <c r="V86" s="83"/>
      <c r="W86" s="83"/>
      <c r="X86" s="1"/>
      <c r="CI86" s="83"/>
      <c r="CJ86" s="83"/>
      <c r="CK86" s="83"/>
      <c r="CL86" s="83"/>
      <c r="CM86" s="83"/>
      <c r="CN86" s="83"/>
      <c r="CO86" s="83"/>
    </row>
    <row r="87" spans="1:93" x14ac:dyDescent="0.2">
      <c r="A87" s="83"/>
      <c r="B87" s="103"/>
      <c r="C87" s="192"/>
      <c r="D87" s="208" t="s">
        <v>844</v>
      </c>
      <c r="E87" s="208" t="s">
        <v>847</v>
      </c>
      <c r="F87" s="96">
        <v>1</v>
      </c>
      <c r="G87" s="96" t="s">
        <v>187</v>
      </c>
      <c r="H87" s="96" t="s">
        <v>179</v>
      </c>
      <c r="I87" s="96" t="s">
        <v>187</v>
      </c>
      <c r="J87" s="96" t="str">
        <f>+IF(F87&gt;'Equipment Data'!$G$188,"yes","No")</f>
        <v>No</v>
      </c>
      <c r="K87" s="96">
        <v>0.67</v>
      </c>
      <c r="L87" s="96" t="s">
        <v>187</v>
      </c>
      <c r="M87" s="156">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96" t="s">
        <v>187</v>
      </c>
      <c r="O87" s="96" t="s">
        <v>187</v>
      </c>
      <c r="P87" s="158">
        <f>+'Equipment Data'!$H$188</f>
        <v>4</v>
      </c>
      <c r="Q87" s="153">
        <f t="shared" si="8"/>
        <v>24989.639516062187</v>
      </c>
      <c r="R87" s="97"/>
      <c r="S87" s="193"/>
      <c r="T87" s="104"/>
      <c r="U87" s="83"/>
      <c r="V87" s="83"/>
      <c r="W87" s="83"/>
      <c r="X87" s="1"/>
      <c r="CI87" s="83"/>
      <c r="CJ87" s="83"/>
      <c r="CK87" s="83"/>
      <c r="CL87" s="83"/>
      <c r="CM87" s="83"/>
      <c r="CN87" s="83"/>
      <c r="CO87" s="83"/>
    </row>
    <row r="88" spans="1:93" x14ac:dyDescent="0.2">
      <c r="A88" s="83"/>
      <c r="B88" s="103"/>
      <c r="C88" s="192"/>
      <c r="D88" s="208" t="s">
        <v>844</v>
      </c>
      <c r="E88" s="208" t="s">
        <v>848</v>
      </c>
      <c r="F88" s="96">
        <v>1</v>
      </c>
      <c r="G88" s="96" t="s">
        <v>187</v>
      </c>
      <c r="H88" s="96" t="s">
        <v>179</v>
      </c>
      <c r="I88" s="96" t="s">
        <v>187</v>
      </c>
      <c r="J88" s="96" t="str">
        <f>+IF(F88&gt;'Equipment Data'!$G$189,"yes","No")</f>
        <v>No</v>
      </c>
      <c r="K88" s="96">
        <v>0.67</v>
      </c>
      <c r="L88" s="96" t="s">
        <v>187</v>
      </c>
      <c r="M88" s="156">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96" t="s">
        <v>187</v>
      </c>
      <c r="O88" s="96" t="s">
        <v>187</v>
      </c>
      <c r="P88" s="158">
        <f>+'Equipment Data'!$H$189</f>
        <v>4</v>
      </c>
      <c r="Q88" s="153">
        <f t="shared" si="8"/>
        <v>50963.58743676445</v>
      </c>
      <c r="R88" s="97"/>
      <c r="S88" s="193"/>
      <c r="T88" s="104"/>
      <c r="U88" s="83"/>
      <c r="V88" s="83"/>
      <c r="W88" s="83"/>
      <c r="X88" s="1"/>
      <c r="CI88" s="83"/>
      <c r="CJ88" s="83"/>
      <c r="CK88" s="83"/>
      <c r="CL88" s="83"/>
      <c r="CM88" s="83"/>
      <c r="CN88" s="83"/>
      <c r="CO88" s="83"/>
    </row>
    <row r="89" spans="1:93" x14ac:dyDescent="0.2">
      <c r="A89" s="83"/>
      <c r="B89" s="103"/>
      <c r="C89" s="192"/>
      <c r="D89" s="208" t="s">
        <v>844</v>
      </c>
      <c r="E89" s="208" t="s">
        <v>849</v>
      </c>
      <c r="F89" s="96">
        <v>1</v>
      </c>
      <c r="G89" s="96" t="s">
        <v>187</v>
      </c>
      <c r="H89" s="96" t="s">
        <v>179</v>
      </c>
      <c r="I89" s="96" t="s">
        <v>187</v>
      </c>
      <c r="J89" s="96" t="str">
        <f>+IF(F89&gt;'Equipment Data'!$G$190,"yes","No")</f>
        <v>No</v>
      </c>
      <c r="K89" s="96">
        <v>0.67</v>
      </c>
      <c r="L89" s="96" t="s">
        <v>187</v>
      </c>
      <c r="M89" s="156">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96" t="s">
        <v>187</v>
      </c>
      <c r="O89" s="96" t="s">
        <v>187</v>
      </c>
      <c r="P89" s="158">
        <f>+'Equipment Data'!$H$190</f>
        <v>4</v>
      </c>
      <c r="Q89" s="153">
        <f t="shared" si="8"/>
        <v>8946.6405978647181</v>
      </c>
      <c r="R89" s="97"/>
      <c r="S89" s="193"/>
      <c r="T89" s="104"/>
      <c r="U89" s="83"/>
      <c r="V89" s="83"/>
      <c r="W89" s="83"/>
      <c r="X89" s="1"/>
      <c r="CI89" s="83"/>
      <c r="CJ89" s="83"/>
      <c r="CK89" s="83"/>
      <c r="CL89" s="83"/>
      <c r="CM89" s="83"/>
      <c r="CN89" s="83"/>
      <c r="CO89" s="83"/>
    </row>
    <row r="90" spans="1:93" x14ac:dyDescent="0.2">
      <c r="A90" s="83"/>
      <c r="B90" s="103"/>
      <c r="C90" s="200"/>
      <c r="D90" s="208" t="s">
        <v>844</v>
      </c>
      <c r="E90" s="208" t="s">
        <v>850</v>
      </c>
      <c r="F90" s="96">
        <v>1</v>
      </c>
      <c r="G90" s="96" t="s">
        <v>187</v>
      </c>
      <c r="H90" s="96" t="s">
        <v>179</v>
      </c>
      <c r="I90" s="96" t="s">
        <v>187</v>
      </c>
      <c r="J90" s="96" t="str">
        <f>+IF(F90&gt;'Equipment Data'!$G$191,"yes","No")</f>
        <v>No</v>
      </c>
      <c r="K90" s="96">
        <v>0.67</v>
      </c>
      <c r="L90" s="96" t="s">
        <v>187</v>
      </c>
      <c r="M90" s="156">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96" t="s">
        <v>187</v>
      </c>
      <c r="O90" s="96" t="s">
        <v>187</v>
      </c>
      <c r="P90" s="158">
        <f>+'Equipment Data'!$H$191</f>
        <v>4</v>
      </c>
      <c r="Q90" s="153">
        <f t="shared" si="8"/>
        <v>205901.72797250503</v>
      </c>
      <c r="R90" s="97"/>
      <c r="S90" s="193"/>
      <c r="T90" s="104"/>
      <c r="U90" s="83"/>
      <c r="V90" s="83"/>
      <c r="W90" s="83"/>
      <c r="X90" s="1"/>
      <c r="CI90" s="83"/>
      <c r="CJ90" s="83"/>
      <c r="CK90" s="83"/>
      <c r="CL90" s="83"/>
      <c r="CM90" s="83"/>
      <c r="CN90" s="83"/>
      <c r="CO90" s="83"/>
    </row>
    <row r="91" spans="1:93" x14ac:dyDescent="0.2">
      <c r="A91" s="83"/>
      <c r="B91" s="103"/>
      <c r="C91" s="260"/>
      <c r="D91" s="208" t="s">
        <v>851</v>
      </c>
      <c r="E91" s="208" t="s">
        <v>852</v>
      </c>
      <c r="F91" s="96">
        <v>1</v>
      </c>
      <c r="G91" s="96" t="s">
        <v>187</v>
      </c>
      <c r="H91" s="96" t="s">
        <v>196</v>
      </c>
      <c r="I91" s="96" t="s">
        <v>187</v>
      </c>
      <c r="J91" s="96" t="str">
        <f>+IF(F91&gt;'Equipment Data'!$G$196,"yes","No")</f>
        <v>No</v>
      </c>
      <c r="K91" s="96">
        <v>0.67</v>
      </c>
      <c r="L91" s="96" t="s">
        <v>187</v>
      </c>
      <c r="M91" s="156">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96" t="s">
        <v>187</v>
      </c>
      <c r="O91" s="96" t="s">
        <v>187</v>
      </c>
      <c r="P91" s="96">
        <f>+'Equipment Data'!$H$196</f>
        <v>1.34</v>
      </c>
      <c r="Q91" s="153">
        <f t="shared" si="8"/>
        <v>8552.7307149533608</v>
      </c>
      <c r="R91" s="263"/>
      <c r="S91" s="264"/>
      <c r="T91" s="104"/>
      <c r="U91" s="83"/>
      <c r="V91" s="83"/>
      <c r="W91" s="83"/>
      <c r="X91" s="1"/>
      <c r="CI91" s="83"/>
      <c r="CJ91" s="83"/>
      <c r="CK91" s="83"/>
      <c r="CL91" s="83"/>
      <c r="CM91" s="83"/>
      <c r="CN91" s="83"/>
      <c r="CO91" s="83"/>
    </row>
    <row r="92" spans="1:93" x14ac:dyDescent="0.2">
      <c r="A92" s="83"/>
      <c r="B92" s="103"/>
      <c r="C92" s="260"/>
      <c r="D92" s="208" t="s">
        <v>851</v>
      </c>
      <c r="E92" s="208" t="s">
        <v>778</v>
      </c>
      <c r="F92" s="96">
        <v>1</v>
      </c>
      <c r="G92" s="96" t="s">
        <v>187</v>
      </c>
      <c r="H92" s="96" t="s">
        <v>196</v>
      </c>
      <c r="I92" s="96" t="s">
        <v>187</v>
      </c>
      <c r="J92" s="96" t="str">
        <f>+IF(F92&gt;'Equipment Data'!$G$197,"yes","No")</f>
        <v>No</v>
      </c>
      <c r="K92" s="96">
        <v>0.67</v>
      </c>
      <c r="L92" s="96" t="s">
        <v>187</v>
      </c>
      <c r="M92" s="156">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96" t="s">
        <v>187</v>
      </c>
      <c r="O92" s="96" t="s">
        <v>187</v>
      </c>
      <c r="P92" s="96">
        <f>+'Equipment Data'!$H$197</f>
        <v>1.34</v>
      </c>
      <c r="Q92" s="153">
        <f t="shared" si="8"/>
        <v>14983.207649428554</v>
      </c>
      <c r="R92" s="265"/>
      <c r="S92" s="266"/>
      <c r="T92" s="104"/>
      <c r="U92" s="83"/>
      <c r="V92" s="83"/>
      <c r="W92" s="83"/>
      <c r="X92" s="1"/>
      <c r="CI92" s="83"/>
      <c r="CJ92" s="83"/>
      <c r="CK92" s="83"/>
      <c r="CL92" s="83"/>
      <c r="CM92" s="83"/>
      <c r="CN92" s="83"/>
      <c r="CO92" s="83"/>
    </row>
    <row r="93" spans="1:93" x14ac:dyDescent="0.2">
      <c r="A93" s="83"/>
      <c r="B93" s="103"/>
      <c r="C93" s="260"/>
      <c r="D93" s="208" t="s">
        <v>851</v>
      </c>
      <c r="E93" s="208" t="s">
        <v>853</v>
      </c>
      <c r="F93" s="96">
        <v>1</v>
      </c>
      <c r="G93" s="96" t="s">
        <v>187</v>
      </c>
      <c r="H93" s="96" t="s">
        <v>196</v>
      </c>
      <c r="I93" s="96" t="s">
        <v>187</v>
      </c>
      <c r="J93" s="96" t="str">
        <f>+IF(F93&gt;'Equipment Data'!$G$198,"yes","No")</f>
        <v>No</v>
      </c>
      <c r="K93" s="96">
        <v>0.67</v>
      </c>
      <c r="L93" s="96" t="s">
        <v>187</v>
      </c>
      <c r="M93" s="156">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96" t="s">
        <v>187</v>
      </c>
      <c r="O93" s="96" t="s">
        <v>187</v>
      </c>
      <c r="P93" s="96">
        <f>+'Equipment Data'!$H$198</f>
        <v>1.34</v>
      </c>
      <c r="Q93" s="153">
        <f t="shared" si="8"/>
        <v>8892.1094237817506</v>
      </c>
      <c r="R93" s="265"/>
      <c r="S93" s="266"/>
      <c r="T93" s="104"/>
      <c r="U93" s="83"/>
      <c r="V93" s="83"/>
      <c r="W93" s="83"/>
      <c r="X93" s="1"/>
      <c r="CI93" s="83"/>
      <c r="CJ93" s="83"/>
      <c r="CK93" s="83"/>
      <c r="CL93" s="83"/>
      <c r="CM93" s="83"/>
      <c r="CN93" s="83"/>
      <c r="CO93" s="83"/>
    </row>
    <row r="94" spans="1:93" x14ac:dyDescent="0.2">
      <c r="A94" s="83"/>
      <c r="B94" s="103"/>
      <c r="C94" s="261"/>
      <c r="D94" s="208" t="s">
        <v>851</v>
      </c>
      <c r="E94" s="208" t="s">
        <v>854</v>
      </c>
      <c r="F94" s="96">
        <v>1</v>
      </c>
      <c r="G94" s="96" t="s">
        <v>187</v>
      </c>
      <c r="H94" s="96" t="s">
        <v>196</v>
      </c>
      <c r="I94" s="96" t="s">
        <v>187</v>
      </c>
      <c r="J94" s="96" t="str">
        <f>+IF(F94&gt;'Equipment Data'!$G$199,"yes","No")</f>
        <v>No</v>
      </c>
      <c r="K94" s="96">
        <v>0.67</v>
      </c>
      <c r="L94" s="96" t="s">
        <v>187</v>
      </c>
      <c r="M94" s="156">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96" t="s">
        <v>187</v>
      </c>
      <c r="O94" s="96" t="s">
        <v>187</v>
      </c>
      <c r="P94" s="96">
        <f>+'Equipment Data'!$H$199</f>
        <v>1.34</v>
      </c>
      <c r="Q94" s="153">
        <f t="shared" si="8"/>
        <v>14983.207649428554</v>
      </c>
      <c r="R94" s="267"/>
      <c r="S94" s="268"/>
      <c r="T94" s="104"/>
      <c r="U94" s="83"/>
      <c r="V94" s="83"/>
      <c r="W94" s="83"/>
      <c r="X94" s="1"/>
      <c r="CI94" s="83"/>
      <c r="CJ94" s="83"/>
      <c r="CK94" s="83"/>
      <c r="CL94" s="83"/>
      <c r="CM94" s="83"/>
      <c r="CN94" s="83"/>
      <c r="CO94" s="83"/>
    </row>
    <row r="95" spans="1:93" x14ac:dyDescent="0.2">
      <c r="A95" s="83"/>
      <c r="B95" s="103"/>
      <c r="C95" s="194"/>
      <c r="D95" s="208" t="s">
        <v>705</v>
      </c>
      <c r="E95" s="208" t="s">
        <v>855</v>
      </c>
      <c r="F95" s="96">
        <v>1</v>
      </c>
      <c r="G95" s="96" t="s">
        <v>187</v>
      </c>
      <c r="H95" s="96" t="s">
        <v>179</v>
      </c>
      <c r="I95" s="96" t="s">
        <v>187</v>
      </c>
      <c r="J95" s="96" t="str">
        <f>+IF(F95&gt;'Equipment Data'!$I$204,"yes","No")</f>
        <v>No</v>
      </c>
      <c r="K95" s="96">
        <v>0.67</v>
      </c>
      <c r="L95" s="96" t="s">
        <v>187</v>
      </c>
      <c r="M95" s="156">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96" t="s">
        <v>187</v>
      </c>
      <c r="O95" s="96" t="s">
        <v>187</v>
      </c>
      <c r="P95" s="96">
        <v>1.1000000000000001</v>
      </c>
      <c r="Q95" s="153">
        <f t="shared" si="8"/>
        <v>78035.584049874946</v>
      </c>
      <c r="R95" s="151"/>
      <c r="S95" s="179"/>
      <c r="T95" s="104"/>
      <c r="U95" s="83"/>
      <c r="V95" s="83"/>
      <c r="W95" s="83"/>
      <c r="X95" s="1"/>
      <c r="CI95" s="83"/>
      <c r="CJ95" s="83"/>
      <c r="CK95" s="83"/>
      <c r="CL95" s="83"/>
      <c r="CM95" s="83"/>
      <c r="CN95" s="83"/>
      <c r="CO95" s="83"/>
    </row>
    <row r="96" spans="1:93" x14ac:dyDescent="0.2">
      <c r="A96" s="83"/>
      <c r="B96" s="103"/>
      <c r="C96" s="192"/>
      <c r="D96" s="208" t="s">
        <v>705</v>
      </c>
      <c r="E96" s="208" t="s">
        <v>856</v>
      </c>
      <c r="F96" s="96">
        <v>1</v>
      </c>
      <c r="G96" s="96" t="s">
        <v>187</v>
      </c>
      <c r="H96" s="96" t="s">
        <v>179</v>
      </c>
      <c r="I96" s="96" t="s">
        <v>187</v>
      </c>
      <c r="J96" s="96" t="str">
        <f>+IF(F96&gt;'Equipment Data'!$I$205,"yes","No")</f>
        <v>No</v>
      </c>
      <c r="K96" s="96">
        <v>0.67</v>
      </c>
      <c r="L96" s="96" t="s">
        <v>187</v>
      </c>
      <c r="M96" s="156">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96" t="s">
        <v>187</v>
      </c>
      <c r="O96" s="96" t="s">
        <v>187</v>
      </c>
      <c r="P96" s="96">
        <v>1.1000000000000001</v>
      </c>
      <c r="Q96" s="153">
        <f t="shared" si="8"/>
        <v>995617.87493027258</v>
      </c>
      <c r="R96" s="97"/>
      <c r="S96" s="154"/>
      <c r="T96" s="104"/>
      <c r="U96" s="83"/>
      <c r="V96" s="83"/>
      <c r="W96" s="83"/>
      <c r="X96" s="1"/>
      <c r="CI96" s="83"/>
      <c r="CJ96" s="83"/>
      <c r="CK96" s="83"/>
      <c r="CL96" s="83"/>
      <c r="CM96" s="83"/>
      <c r="CN96" s="83"/>
      <c r="CO96" s="83"/>
    </row>
    <row r="97" spans="1:93" x14ac:dyDescent="0.2">
      <c r="A97" s="83"/>
      <c r="B97" s="103"/>
      <c r="C97" s="259"/>
      <c r="D97" s="208" t="s">
        <v>420</v>
      </c>
      <c r="E97" s="208" t="s">
        <v>363</v>
      </c>
      <c r="F97" s="96">
        <v>1</v>
      </c>
      <c r="G97" s="96" t="s">
        <v>187</v>
      </c>
      <c r="H97" s="96" t="s">
        <v>186</v>
      </c>
      <c r="I97" s="96" t="s">
        <v>182</v>
      </c>
      <c r="J97" s="96" t="str">
        <f>+IF(F97&gt;'Equipment Data'!$M$210,"yes","No")</f>
        <v>No</v>
      </c>
      <c r="K97" s="96">
        <v>0.67</v>
      </c>
      <c r="L97" s="96" t="s">
        <v>187</v>
      </c>
      <c r="M97" s="156">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96" t="s">
        <v>187</v>
      </c>
      <c r="O97" s="96" t="s">
        <v>187</v>
      </c>
      <c r="P97" s="96">
        <f>+IF(I97="Cl",'Equipment Data'!$F$210,IF(I97="CS",'Equipment Data'!$G$210,IF(I97="Cu",'Equipment Data'!$H$210,IF(I97="SS",'Equipment Data'!$I$210,IF(I97="Ni",'Equipment Data'!$J$210,IF(I97="Ti",'Equipment Data'!$K$210,"N/A"))))))</f>
        <v>3.5</v>
      </c>
      <c r="Q97" s="153">
        <f>+M97*P97</f>
        <v>1774.8761122418107</v>
      </c>
      <c r="R97" s="263"/>
      <c r="S97" s="264"/>
      <c r="T97" s="104"/>
      <c r="U97" s="83"/>
      <c r="V97" s="83"/>
      <c r="W97" s="83"/>
      <c r="X97" s="1"/>
      <c r="CI97" s="83"/>
      <c r="CJ97" s="83"/>
      <c r="CK97" s="83"/>
      <c r="CL97" s="83"/>
      <c r="CM97" s="83"/>
      <c r="CN97" s="83"/>
      <c r="CO97" s="83"/>
    </row>
    <row r="98" spans="1:93" x14ac:dyDescent="0.2">
      <c r="A98" s="83"/>
      <c r="B98" s="103"/>
      <c r="C98" s="261"/>
      <c r="D98" s="208" t="s">
        <v>420</v>
      </c>
      <c r="E98" s="208" t="s">
        <v>421</v>
      </c>
      <c r="F98" s="96">
        <v>1</v>
      </c>
      <c r="G98" s="96" t="s">
        <v>187</v>
      </c>
      <c r="H98" s="96" t="s">
        <v>186</v>
      </c>
      <c r="I98" s="96" t="s">
        <v>182</v>
      </c>
      <c r="J98" s="96" t="str">
        <f>+IF(F98&gt;'Equipment Data'!$G$211,"yes","No")</f>
        <v>No</v>
      </c>
      <c r="K98" s="96">
        <v>0.67</v>
      </c>
      <c r="L98" s="96" t="s">
        <v>187</v>
      </c>
      <c r="M98" s="156">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96" t="s">
        <v>187</v>
      </c>
      <c r="O98" s="96" t="s">
        <v>187</v>
      </c>
      <c r="P98" s="96">
        <f>+IF(I98="Cl",'Equipment Data'!$F$211,IF(I98="CS",'Equipment Data'!$G$211,IF(I98="Cu",'Equipment Data'!$H$211,IF(I98="SS",'Equipment Data'!$I$211,IF(I98="Ni",'Equipment Data'!$J$211,IF(I98="Ti",'Equipment Data'!$K$211,"N/A"))))))</f>
        <v>3.5</v>
      </c>
      <c r="Q98" s="153">
        <f>+M98*P98</f>
        <v>618.96778239862999</v>
      </c>
      <c r="R98" s="267"/>
      <c r="S98" s="268"/>
      <c r="T98" s="104"/>
      <c r="U98" s="83"/>
      <c r="V98" s="83"/>
      <c r="W98" s="83"/>
      <c r="X98" s="1"/>
      <c r="CI98" s="83"/>
      <c r="CJ98" s="83"/>
      <c r="CK98" s="83"/>
      <c r="CL98" s="83"/>
      <c r="CM98" s="83"/>
      <c r="CN98" s="83"/>
      <c r="CO98" s="83"/>
    </row>
    <row r="99" spans="1:93" x14ac:dyDescent="0.2">
      <c r="A99" s="83"/>
      <c r="B99" s="103"/>
      <c r="C99" s="194"/>
      <c r="D99" s="208" t="s">
        <v>706</v>
      </c>
      <c r="E99" s="208" t="s">
        <v>857</v>
      </c>
      <c r="F99" s="96">
        <v>1</v>
      </c>
      <c r="G99" s="96">
        <v>1</v>
      </c>
      <c r="H99" s="96" t="s">
        <v>179</v>
      </c>
      <c r="I99" s="96" t="s">
        <v>182</v>
      </c>
      <c r="J99" s="96" t="str">
        <f>+IF(F99&gt;'Equipment Data'!$G$216,"yes","No")</f>
        <v>No</v>
      </c>
      <c r="K99" s="96">
        <v>0.67</v>
      </c>
      <c r="L99" s="96" t="s">
        <v>187</v>
      </c>
      <c r="M99" s="156">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52">
        <f>+IF(G99-1.01325&gt;5,10^('Equipment Data'!$I$216+'Equipment Data'!$J$216*LOG10(G99-1.01325)+'Equipment Data'!$K$216*LOG10(G99-1.01325)*LOG10(G99-1.01325)),1)</f>
        <v>1</v>
      </c>
      <c r="O99" s="118" t="s">
        <v>187</v>
      </c>
      <c r="P99" s="96">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53">
        <f>+M99*N99*P99</f>
        <v>20551.833025368316</v>
      </c>
      <c r="R99" s="151"/>
      <c r="S99" s="179"/>
      <c r="T99" s="104"/>
      <c r="U99" s="83"/>
      <c r="V99" s="83"/>
      <c r="W99" s="83"/>
      <c r="X99" s="1"/>
      <c r="CI99" s="83"/>
      <c r="CJ99" s="83"/>
      <c r="CK99" s="83"/>
      <c r="CL99" s="83"/>
      <c r="CM99" s="83"/>
      <c r="CN99" s="83"/>
      <c r="CO99" s="83"/>
    </row>
    <row r="100" spans="1:93" x14ac:dyDescent="0.2">
      <c r="A100" s="83"/>
      <c r="B100" s="103"/>
      <c r="C100" s="192"/>
      <c r="D100" s="208" t="s">
        <v>706</v>
      </c>
      <c r="E100" s="208" t="s">
        <v>858</v>
      </c>
      <c r="F100" s="96">
        <v>1</v>
      </c>
      <c r="G100" s="96">
        <v>1</v>
      </c>
      <c r="H100" s="96" t="s">
        <v>179</v>
      </c>
      <c r="I100" s="96" t="s">
        <v>182</v>
      </c>
      <c r="J100" s="96" t="str">
        <f>+IF(F100&gt;'Equipment Data'!$G$217,"yes","No")</f>
        <v>No</v>
      </c>
      <c r="K100" s="96">
        <v>0.67</v>
      </c>
      <c r="L100" s="96" t="s">
        <v>187</v>
      </c>
      <c r="M100" s="156">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52">
        <f>+IF(G100-1.01325&gt;5,10^('Equipment Data'!$I$217+'Equipment Data'!$J$217*LOG10(G100-1.01325)+'Equipment Data'!$K$217*LOG10(G100-1.01325)*LOG10(G100-1.01325)),1)</f>
        <v>1</v>
      </c>
      <c r="O100" s="96" t="s">
        <v>187</v>
      </c>
      <c r="P100" s="96">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53">
        <f t="shared" ref="Q100:Q101" si="9">+M100*N100*P100</f>
        <v>33070.642194397347</v>
      </c>
      <c r="R100" s="97"/>
      <c r="S100" s="154"/>
      <c r="T100" s="104"/>
      <c r="U100" s="83"/>
      <c r="V100" s="83"/>
      <c r="W100" s="83"/>
      <c r="X100" s="1"/>
      <c r="CI100" s="83"/>
      <c r="CJ100" s="83"/>
      <c r="CK100" s="83"/>
      <c r="CL100" s="83"/>
      <c r="CM100" s="83"/>
      <c r="CN100" s="83"/>
      <c r="CO100" s="83"/>
    </row>
    <row r="101" spans="1:93" x14ac:dyDescent="0.2">
      <c r="A101" s="83"/>
      <c r="B101" s="103"/>
      <c r="C101" s="192"/>
      <c r="D101" s="208" t="s">
        <v>706</v>
      </c>
      <c r="E101" s="208" t="s">
        <v>859</v>
      </c>
      <c r="F101" s="96">
        <v>1</v>
      </c>
      <c r="G101" s="96">
        <v>1</v>
      </c>
      <c r="H101" s="96" t="s">
        <v>179</v>
      </c>
      <c r="I101" s="96" t="s">
        <v>182</v>
      </c>
      <c r="J101" s="96" t="str">
        <f>+IF(F101&gt;'Equipment Data'!$G$218,"yes","No")</f>
        <v>No</v>
      </c>
      <c r="K101" s="96">
        <v>0.67</v>
      </c>
      <c r="L101" s="96" t="s">
        <v>187</v>
      </c>
      <c r="M101" s="156">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52">
        <f>+IF(G101-1.01325&gt;5,10^('Equipment Data'!$I$218+'Equipment Data'!$J$218*LOG10(G101-1.01325)+'Equipment Data'!$K$218*LOG10(G101-1.01325)*LOG10(G101-1.01325)),1)</f>
        <v>1</v>
      </c>
      <c r="O101" s="96" t="s">
        <v>187</v>
      </c>
      <c r="P101" s="96">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53">
        <f t="shared" si="9"/>
        <v>33070.642194397347</v>
      </c>
      <c r="R101" s="97"/>
      <c r="S101" s="154"/>
      <c r="T101" s="104"/>
      <c r="U101" s="83"/>
      <c r="V101" s="83"/>
      <c r="W101" s="83"/>
      <c r="X101" s="1"/>
      <c r="CI101" s="83"/>
      <c r="CJ101" s="83"/>
      <c r="CK101" s="83"/>
      <c r="CL101" s="83"/>
      <c r="CM101" s="83"/>
      <c r="CN101" s="83"/>
      <c r="CO101" s="83"/>
    </row>
    <row r="102" spans="1:93" x14ac:dyDescent="0.2">
      <c r="A102" s="83"/>
      <c r="B102" s="103"/>
      <c r="C102" s="259"/>
      <c r="D102" s="208" t="s">
        <v>177</v>
      </c>
      <c r="E102" s="208" t="s">
        <v>860</v>
      </c>
      <c r="F102" s="96">
        <v>1</v>
      </c>
      <c r="G102" s="96">
        <v>1</v>
      </c>
      <c r="H102" s="96" t="s">
        <v>179</v>
      </c>
      <c r="I102" s="96" t="s">
        <v>182</v>
      </c>
      <c r="J102" s="96" t="str">
        <f>+IF(F102&gt;'Equipment Data'!$K$239,"yes","No")</f>
        <v>No</v>
      </c>
      <c r="K102" s="96">
        <v>0.67</v>
      </c>
      <c r="L102" s="96">
        <v>1</v>
      </c>
      <c r="M102" s="156">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52">
        <f>+IF(L102="","Input Diameter in m",IF(G102&gt;0.5,IF(((G102*L102)/(2*(850-0.6*G102))+0.00315)/0.0063&lt;1,1,((G102*L102)/(2*(850-0.6*G102))+0.00315)/0.0063),1.25))</f>
        <v>1</v>
      </c>
      <c r="O102" s="96">
        <f>+IF(I102="CS",'Equipment Data'!$C$247,IF(I102="SS Clad",'Equipment Data'!$C$248,IF(I102="SS",'Equipment Data'!$C$249,IF(I102="Ni Clad",'Equipment Data'!$C$250,IF(I102="Ni",'Equipment Data'!$C$251,IF(I102="Ti Clad",'Equipment Data'!$C$252,IF(I102="Ti",'Equipment Data'!$C$253,"N/A")))))))</f>
        <v>1</v>
      </c>
      <c r="P102" s="153">
        <f>+'Equipment Data'!$C$243+'Equipment Data'!$D$243*N102*O102</f>
        <v>3.01</v>
      </c>
      <c r="Q102" s="153">
        <f>+M102*P102</f>
        <v>10840.928886881307</v>
      </c>
      <c r="R102" s="263"/>
      <c r="S102" s="264"/>
      <c r="T102" s="104"/>
      <c r="U102" s="83"/>
      <c r="V102" s="83"/>
      <c r="W102" s="83"/>
      <c r="X102" s="1"/>
      <c r="CI102" s="83"/>
      <c r="CJ102" s="83"/>
      <c r="CK102" s="83"/>
      <c r="CL102" s="83"/>
      <c r="CM102" s="83"/>
      <c r="CN102" s="83"/>
      <c r="CO102" s="83"/>
    </row>
    <row r="103" spans="1:93" x14ac:dyDescent="0.2">
      <c r="A103" s="83"/>
      <c r="B103" s="103"/>
      <c r="C103" s="261"/>
      <c r="D103" s="208" t="s">
        <v>177</v>
      </c>
      <c r="E103" s="208" t="s">
        <v>178</v>
      </c>
      <c r="F103" s="96">
        <v>1</v>
      </c>
      <c r="G103" s="96">
        <v>1</v>
      </c>
      <c r="H103" s="96" t="s">
        <v>179</v>
      </c>
      <c r="I103" s="96" t="s">
        <v>182</v>
      </c>
      <c r="J103" s="96" t="str">
        <f>+IF(F103&gt;'Equipment Data'!$F$239,"yes","No")</f>
        <v>No</v>
      </c>
      <c r="K103" s="96">
        <v>0.67</v>
      </c>
      <c r="L103" s="96">
        <v>1</v>
      </c>
      <c r="M103" s="156">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55">
        <f>+IF(L103="","Input Diameter in m",IF(G103&gt;0.5,IF(((G103*L103)/(2*(850-0.6*G103))+0.00315)/0.0063&lt;1,1,((G103*L103)/(2*(850-0.6*G103))+0.00315)/0.0063),1.25))</f>
        <v>1</v>
      </c>
      <c r="O103" s="96">
        <f>+IF(I103="CS",'Equipment Data'!$C$247,IF(I103="SS Clad",'Equipment Data'!$C$248,IF(I103="SS",'Equipment Data'!$C$249,IF(I103="Ni Clad",'Equipment Data'!$C$250,IF(I103="Ni",'Equipment Data'!$C$251,IF(I103="Ti Clad",'Equipment Data'!$C$252,IF(I103="Ti",'Equipment Data'!$C$253,"N/A")))))))</f>
        <v>1</v>
      </c>
      <c r="P103" s="153">
        <f>+'Equipment Data'!$C$244+'Equipment Data'!$D$244*N103*O103</f>
        <v>4.07</v>
      </c>
      <c r="Q103" s="153">
        <f>+M103*P103</f>
        <v>12793.648344877778</v>
      </c>
      <c r="R103" s="267"/>
      <c r="S103" s="268"/>
      <c r="T103" s="104"/>
      <c r="U103" s="83"/>
      <c r="V103" s="83"/>
      <c r="W103" s="83"/>
      <c r="X103" s="1"/>
      <c r="CI103" s="83"/>
      <c r="CJ103" s="83"/>
      <c r="CK103" s="83"/>
      <c r="CL103" s="83"/>
      <c r="CM103" s="83"/>
      <c r="CN103" s="83"/>
      <c r="CO103" s="83"/>
    </row>
    <row r="104" spans="1:93" x14ac:dyDescent="0.2">
      <c r="A104" s="83"/>
      <c r="B104" s="103"/>
      <c r="C104" s="194"/>
      <c r="D104" s="208" t="s">
        <v>428</v>
      </c>
      <c r="E104" s="208" t="s">
        <v>429</v>
      </c>
      <c r="F104" s="96">
        <v>1</v>
      </c>
      <c r="G104" s="96" t="s">
        <v>187</v>
      </c>
      <c r="H104" s="96" t="s">
        <v>196</v>
      </c>
      <c r="I104" s="96" t="s">
        <v>182</v>
      </c>
      <c r="J104" s="96" t="str">
        <f>+IF(F104&gt;'Equipment Data'!$G$257,"yes","No")</f>
        <v>No</v>
      </c>
      <c r="K104" s="96">
        <v>0.67</v>
      </c>
      <c r="L104" s="96">
        <v>1</v>
      </c>
      <c r="M104" s="156">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96" t="s">
        <v>187</v>
      </c>
      <c r="O104" s="152">
        <f>+IF(L104="","Input nº of Trays",IF(L104&lt;20,10^(0.4771+0.08516*LOG10(L104)-0.3473*LOG10(L104)*LOG10(L104)),1))</f>
        <v>2.9998531811907938</v>
      </c>
      <c r="P104" s="96">
        <f>+IF(I104="CS",'Equipment Data'!$D$262,IF(I104="SS",'Equipment Data'!$D$263,IF(I104="Fluorocarbon",'Equipment Data'!$D$264,IF(I104="Ni Alloy",'Equipment Data'!$D$265,"N/A"))))</f>
        <v>1</v>
      </c>
      <c r="Q104" s="153">
        <f>+M104*O104*P104</f>
        <v>2964.8313895243455</v>
      </c>
      <c r="R104" s="151"/>
      <c r="S104" s="179"/>
      <c r="T104" s="104"/>
      <c r="U104" s="83"/>
      <c r="V104" s="83"/>
      <c r="W104" s="83"/>
      <c r="X104" s="1"/>
      <c r="CI104" s="83"/>
      <c r="CJ104" s="83"/>
      <c r="CK104" s="83"/>
      <c r="CL104" s="83"/>
      <c r="CM104" s="83"/>
      <c r="CN104" s="83"/>
      <c r="CO104" s="83"/>
    </row>
    <row r="105" spans="1:93" x14ac:dyDescent="0.2">
      <c r="A105" s="83"/>
      <c r="B105" s="103"/>
      <c r="C105" s="192"/>
      <c r="D105" s="208" t="s">
        <v>428</v>
      </c>
      <c r="E105" s="208" t="s">
        <v>861</v>
      </c>
      <c r="F105" s="96">
        <v>1</v>
      </c>
      <c r="G105" s="96" t="s">
        <v>187</v>
      </c>
      <c r="H105" s="96" t="s">
        <v>196</v>
      </c>
      <c r="I105" s="96" t="s">
        <v>182</v>
      </c>
      <c r="J105" s="96" t="str">
        <f>+IF(F105&gt;'Equipment Data'!$G$258,"yes","No")</f>
        <v>No</v>
      </c>
      <c r="K105" s="96">
        <v>0.67</v>
      </c>
      <c r="L105" s="96">
        <v>1</v>
      </c>
      <c r="M105" s="156">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96" t="s">
        <v>187</v>
      </c>
      <c r="O105" s="152">
        <f>+IF(L105="","Input nº of Trays",IF(L105&lt;20,10^(0.4771+0.08516*LOG10(L105)-0.3473*LOG10(L105)*LOG10(L105)),1))</f>
        <v>2.9998531811907938</v>
      </c>
      <c r="P105" s="96">
        <f>+IF(I105="CS",'Equipment Data'!$E$262,IF(I105="SS",'Equipment Data'!$E$263,IF(I105="Fluorocarbon",'Equipment Data'!$E$264,IF(I105="Ni Alloy",'Equipment Data'!$E$265,"N/A"))))</f>
        <v>1</v>
      </c>
      <c r="Q105" s="153">
        <f t="shared" ref="Q105:Q106" si="10">+M105*O105*P105</f>
        <v>6446.143956044054</v>
      </c>
      <c r="R105" s="97"/>
      <c r="S105" s="154"/>
      <c r="T105" s="104"/>
      <c r="U105" s="83"/>
      <c r="V105" s="83"/>
      <c r="W105" s="83"/>
      <c r="X105" s="1"/>
      <c r="CI105" s="83"/>
      <c r="CJ105" s="83"/>
      <c r="CK105" s="83"/>
      <c r="CL105" s="83"/>
      <c r="CM105" s="83"/>
      <c r="CN105" s="83"/>
      <c r="CO105" s="83"/>
    </row>
    <row r="106" spans="1:93" x14ac:dyDescent="0.2">
      <c r="A106" s="83"/>
      <c r="B106" s="103"/>
      <c r="C106" s="200"/>
      <c r="D106" s="208" t="s">
        <v>428</v>
      </c>
      <c r="E106" s="208" t="s">
        <v>862</v>
      </c>
      <c r="F106" s="96">
        <v>1</v>
      </c>
      <c r="G106" s="96" t="s">
        <v>187</v>
      </c>
      <c r="H106" s="96" t="s">
        <v>196</v>
      </c>
      <c r="I106" s="96" t="s">
        <v>182</v>
      </c>
      <c r="J106" s="96" t="str">
        <f>+IF(F106&gt;'Equipment Data'!$G$259,"yes","No")</f>
        <v>No</v>
      </c>
      <c r="K106" s="96">
        <v>0.67</v>
      </c>
      <c r="L106" s="96">
        <v>1</v>
      </c>
      <c r="M106" s="156">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96" t="s">
        <v>187</v>
      </c>
      <c r="O106" s="158">
        <f>+IF(L106="","Input nº of Trays",IF(L106&lt;20,10^(0.4771+0.08516*LOG10(L106)-0.3473*LOG10(L106)*LOG10(L106)),1))</f>
        <v>2.9998531811907938</v>
      </c>
      <c r="P106" s="96">
        <f>+IF(I106="CS",'Equipment Data'!$F$262,IF(I106="SS",'Equipment Data'!$F$263,IF(I106="Fluorocarbon",'Equipment Data'!$F$264,IF(I106="Ni Alloy",'Equipment Data'!$F$265,"N/A"))))</f>
        <v>1</v>
      </c>
      <c r="Q106" s="153">
        <f t="shared" si="10"/>
        <v>5157.0340630264673</v>
      </c>
      <c r="R106" s="98"/>
      <c r="S106" s="180"/>
      <c r="T106" s="104"/>
      <c r="U106" s="83"/>
      <c r="V106" s="83"/>
      <c r="W106" s="83"/>
      <c r="X106" s="1"/>
      <c r="CI106" s="83"/>
      <c r="CJ106" s="83"/>
      <c r="CK106" s="83"/>
      <c r="CL106" s="83"/>
      <c r="CM106" s="83"/>
      <c r="CN106" s="83"/>
      <c r="CO106" s="83"/>
    </row>
    <row r="107" spans="1:93" x14ac:dyDescent="0.2">
      <c r="A107" s="83"/>
      <c r="B107" s="103"/>
      <c r="C107" s="260"/>
      <c r="D107" s="208" t="s">
        <v>707</v>
      </c>
      <c r="E107" s="208" t="s">
        <v>743</v>
      </c>
      <c r="F107" s="96">
        <v>1</v>
      </c>
      <c r="G107" s="96" t="s">
        <v>187</v>
      </c>
      <c r="H107" s="96" t="s">
        <v>179</v>
      </c>
      <c r="I107" s="96" t="s">
        <v>745</v>
      </c>
      <c r="J107" s="96" t="str">
        <f>+IF(F107&gt;'Equipment Data'!$G$283,"yes","No")</f>
        <v>No</v>
      </c>
      <c r="K107" s="96">
        <v>0.67</v>
      </c>
      <c r="L107" s="96" t="s">
        <v>187</v>
      </c>
      <c r="M107" s="156">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96" t="s">
        <v>187</v>
      </c>
      <c r="O107" s="96" t="s">
        <v>187</v>
      </c>
      <c r="P107" s="152">
        <f>+IF(I107="Ceramic",'Equipment Data'!$H$283,IF(I107="304 SS",'Equipment Data'!$H$284,IF(I107="Plastic Saddle",'Equipment Data'!$H$285,"N/A")))</f>
        <v>4.1399999999999997</v>
      </c>
      <c r="Q107" s="153">
        <f>+M107*P107</f>
        <v>1164.93137199697</v>
      </c>
      <c r="R107" s="265"/>
      <c r="S107" s="270"/>
      <c r="T107" s="104"/>
      <c r="U107" s="83"/>
      <c r="V107" s="83"/>
      <c r="W107" s="83"/>
      <c r="X107" s="1"/>
      <c r="CI107" s="83"/>
      <c r="CJ107" s="83"/>
      <c r="CK107" s="83"/>
      <c r="CL107" s="83"/>
      <c r="CM107" s="83"/>
      <c r="CN107" s="83"/>
      <c r="CO107" s="83"/>
    </row>
    <row r="108" spans="1:93" ht="14.5" customHeight="1" x14ac:dyDescent="0.2">
      <c r="A108" s="83"/>
      <c r="B108" s="103"/>
      <c r="C108" s="1084"/>
      <c r="D108" s="1085"/>
      <c r="E108" s="1085"/>
      <c r="F108" s="1085"/>
      <c r="G108" s="1085"/>
      <c r="H108" s="1085"/>
      <c r="I108" s="1085"/>
      <c r="J108" s="1085"/>
      <c r="K108" s="1085"/>
      <c r="L108" s="1085"/>
      <c r="M108" s="1085"/>
      <c r="N108" s="1085"/>
      <c r="O108" s="1085"/>
      <c r="P108" s="1085"/>
      <c r="Q108" s="1085"/>
      <c r="R108" s="1086"/>
      <c r="S108" s="1087"/>
      <c r="T108" s="104"/>
      <c r="U108" s="83"/>
      <c r="V108" s="83"/>
      <c r="W108" s="83"/>
      <c r="X108" s="1"/>
      <c r="CI108" s="83"/>
      <c r="CJ108" s="83"/>
      <c r="CK108" s="83"/>
      <c r="CL108" s="83"/>
      <c r="CM108" s="83"/>
      <c r="CN108" s="83"/>
      <c r="CO108" s="83"/>
    </row>
    <row r="109" spans="1:93" ht="14.5" customHeight="1" x14ac:dyDescent="0.2">
      <c r="A109" s="83"/>
      <c r="B109" s="103"/>
      <c r="C109" s="927"/>
      <c r="D109" s="928"/>
      <c r="E109" s="928"/>
      <c r="F109" s="928"/>
      <c r="G109" s="928"/>
      <c r="H109" s="928"/>
      <c r="I109" s="928"/>
      <c r="J109" s="928"/>
      <c r="K109" s="928"/>
      <c r="L109" s="928"/>
      <c r="M109" s="928"/>
      <c r="N109" s="928"/>
      <c r="O109" s="928"/>
      <c r="P109" s="928"/>
      <c r="Q109" s="928"/>
      <c r="R109" s="929"/>
      <c r="S109" s="1088"/>
      <c r="T109" s="104"/>
      <c r="U109" s="83"/>
      <c r="V109" s="83"/>
      <c r="W109" s="83"/>
      <c r="X109" s="1"/>
      <c r="CI109" s="83"/>
      <c r="CJ109" s="83"/>
      <c r="CK109" s="83"/>
      <c r="CL109" s="83"/>
      <c r="CM109" s="83"/>
      <c r="CN109" s="83"/>
      <c r="CO109" s="83"/>
    </row>
    <row r="110" spans="1:93" x14ac:dyDescent="0.2">
      <c r="A110" s="83"/>
      <c r="B110" s="105"/>
      <c r="C110" s="106"/>
      <c r="D110" s="106"/>
      <c r="E110" s="106"/>
      <c r="F110" s="106"/>
      <c r="G110" s="106"/>
      <c r="H110" s="106"/>
      <c r="I110" s="106"/>
      <c r="J110" s="106"/>
      <c r="K110" s="106"/>
      <c r="L110" s="106"/>
      <c r="M110" s="106"/>
      <c r="N110" s="106"/>
      <c r="O110" s="106"/>
      <c r="P110" s="106"/>
      <c r="Q110" s="106"/>
      <c r="R110" s="106"/>
      <c r="S110" s="106"/>
      <c r="T110" s="107"/>
      <c r="U110" s="83"/>
      <c r="V110" s="83"/>
      <c r="W110" s="83"/>
      <c r="X110" s="1"/>
      <c r="CI110" s="83"/>
      <c r="CJ110" s="83"/>
      <c r="CK110" s="83"/>
      <c r="CL110" s="83"/>
      <c r="CM110" s="83"/>
      <c r="CN110" s="83"/>
      <c r="CO110" s="83"/>
    </row>
    <row r="111" spans="1:93" x14ac:dyDescent="0.2">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1"/>
      <c r="CI111" s="83"/>
      <c r="CJ111" s="83"/>
      <c r="CK111" s="83"/>
      <c r="CL111" s="83"/>
      <c r="CM111" s="83"/>
      <c r="CN111" s="83"/>
      <c r="CO111" s="83"/>
    </row>
    <row r="112" spans="1:93" x14ac:dyDescent="0.2">
      <c r="A112" s="83"/>
      <c r="B112" s="1089"/>
      <c r="C112" s="1089"/>
      <c r="D112" s="1089"/>
      <c r="E112" s="1089"/>
      <c r="F112" s="1089"/>
      <c r="G112" s="1089"/>
      <c r="H112" s="83"/>
      <c r="I112" s="83"/>
      <c r="J112" s="83"/>
      <c r="K112" s="83"/>
      <c r="L112" s="83"/>
      <c r="M112" s="83"/>
      <c r="N112" s="83"/>
      <c r="O112" s="83"/>
      <c r="P112" s="83"/>
      <c r="Q112" s="83"/>
      <c r="R112" s="83"/>
      <c r="S112" s="83"/>
      <c r="T112" s="83"/>
      <c r="U112" s="83"/>
      <c r="V112" s="83"/>
      <c r="W112" s="83"/>
      <c r="X112" s="1"/>
      <c r="CI112" s="83"/>
      <c r="CJ112" s="83"/>
      <c r="CK112" s="83"/>
      <c r="CL112" s="83"/>
      <c r="CM112" s="83"/>
      <c r="CN112" s="83"/>
      <c r="CO112" s="83"/>
    </row>
    <row r="113" spans="1:93" x14ac:dyDescent="0.2">
      <c r="A113" s="83"/>
      <c r="B113" s="83"/>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2">
      <c r="A114" s="83"/>
      <c r="B114" s="83"/>
      <c r="T114" s="83"/>
      <c r="U114" s="83"/>
      <c r="V114" s="83"/>
      <c r="W114" s="83"/>
      <c r="X114" s="83"/>
      <c r="CI114" s="83"/>
      <c r="CJ114" s="83"/>
      <c r="CK114" s="83"/>
      <c r="CL114" s="83"/>
      <c r="CM114" s="83"/>
      <c r="CN114" s="83"/>
      <c r="CO114" s="83"/>
    </row>
    <row r="115" spans="1:93" x14ac:dyDescent="0.2">
      <c r="A115" s="83"/>
      <c r="B115" s="83"/>
      <c r="T115" s="83"/>
      <c r="U115" s="83"/>
      <c r="V115" s="83"/>
      <c r="W115" s="83"/>
      <c r="X115" s="83"/>
      <c r="CI115" s="83"/>
      <c r="CJ115" s="83"/>
      <c r="CK115" s="83"/>
      <c r="CL115" s="83"/>
      <c r="CM115" s="83"/>
      <c r="CN115" s="83"/>
      <c r="CO115" s="83"/>
    </row>
    <row r="116" spans="1:93" x14ac:dyDescent="0.2">
      <c r="A116" s="83"/>
      <c r="B116" s="83"/>
      <c r="T116" s="83"/>
      <c r="U116" s="83"/>
      <c r="V116" s="83"/>
      <c r="W116" s="83"/>
      <c r="X116" s="83"/>
      <c r="CI116" s="83"/>
      <c r="CJ116" s="83"/>
      <c r="CK116" s="83"/>
      <c r="CL116" s="83"/>
      <c r="CM116" s="83"/>
      <c r="CN116" s="83"/>
      <c r="CO116" s="83"/>
    </row>
    <row r="117" spans="1:93" x14ac:dyDescent="0.2">
      <c r="A117" s="83"/>
      <c r="B117" s="83"/>
      <c r="T117" s="83"/>
      <c r="U117" s="83"/>
      <c r="V117" s="83"/>
      <c r="W117" s="83"/>
      <c r="X117" s="83"/>
      <c r="CI117" s="83"/>
      <c r="CJ117" s="83"/>
      <c r="CK117" s="83"/>
      <c r="CL117" s="83"/>
      <c r="CM117" s="83"/>
      <c r="CN117" s="83"/>
      <c r="CO117" s="83"/>
    </row>
    <row r="118" spans="1:93" x14ac:dyDescent="0.2">
      <c r="A118" s="83"/>
      <c r="B118" s="83"/>
      <c r="T118" s="83"/>
      <c r="U118" s="83"/>
      <c r="V118" s="83"/>
      <c r="W118" s="83"/>
      <c r="X118" s="83"/>
      <c r="CI118" s="83"/>
      <c r="CJ118" s="83"/>
      <c r="CK118" s="83"/>
      <c r="CL118" s="83"/>
      <c r="CM118" s="83"/>
      <c r="CN118" s="83"/>
      <c r="CO118" s="83"/>
    </row>
    <row r="119" spans="1:93" x14ac:dyDescent="0.2">
      <c r="A119" s="83"/>
      <c r="B119" s="83"/>
      <c r="T119" s="83"/>
      <c r="U119" s="83"/>
      <c r="V119" s="83"/>
      <c r="W119" s="83"/>
      <c r="X119" s="83"/>
      <c r="CI119" s="83"/>
      <c r="CJ119" s="83"/>
      <c r="CK119" s="83"/>
      <c r="CL119" s="83"/>
      <c r="CM119" s="83"/>
      <c r="CN119" s="83"/>
      <c r="CO119" s="83"/>
    </row>
    <row r="120" spans="1:93" x14ac:dyDescent="0.2">
      <c r="A120" s="83"/>
      <c r="B120" s="83"/>
      <c r="T120" s="83"/>
      <c r="U120" s="83"/>
      <c r="V120" s="83"/>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5"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25400</xdr:rowOff>
                  </from>
                  <to>
                    <xdr:col>2</xdr:col>
                    <xdr:colOff>1358900</xdr:colOff>
                    <xdr:row>8</xdr:row>
                    <xdr:rowOff>177800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2:K38"/>
  <sheetViews>
    <sheetView showGridLines="0" zoomScale="40" zoomScaleNormal="40" workbookViewId="0">
      <selection activeCell="L47" sqref="L47"/>
    </sheetView>
  </sheetViews>
  <sheetFormatPr baseColWidth="10" defaultColWidth="11.1640625" defaultRowHeight="15" x14ac:dyDescent="0.2"/>
  <cols>
    <col min="1" max="1" width="2.5" customWidth="1"/>
    <col min="2" max="3" width="34.1640625" customWidth="1"/>
    <col min="4" max="5" width="95.83203125" customWidth="1"/>
    <col min="6" max="6" width="4.5" customWidth="1"/>
  </cols>
  <sheetData>
    <row r="2" spans="2:11" ht="27" customHeight="1" x14ac:dyDescent="0.2">
      <c r="B2" s="917" t="s">
        <v>882</v>
      </c>
      <c r="C2" s="918"/>
      <c r="D2" s="918"/>
      <c r="E2" s="919"/>
    </row>
    <row r="3" spans="2:11" ht="27" customHeight="1" x14ac:dyDescent="0.2">
      <c r="B3" s="424" t="s">
        <v>252</v>
      </c>
      <c r="C3" s="499" t="s">
        <v>2</v>
      </c>
      <c r="D3" s="500" t="s">
        <v>82</v>
      </c>
      <c r="E3" s="501" t="s">
        <v>883</v>
      </c>
    </row>
    <row r="4" spans="2:11" ht="27" customHeight="1" x14ac:dyDescent="0.2">
      <c r="B4" s="498"/>
      <c r="C4" s="498"/>
      <c r="D4" s="498"/>
      <c r="E4" s="496"/>
      <c r="G4" s="115"/>
      <c r="H4" s="115"/>
      <c r="I4" s="115"/>
      <c r="J4" s="115"/>
      <c r="K4" s="115"/>
    </row>
    <row r="5" spans="2:11" ht="27" customHeight="1" x14ac:dyDescent="0.2">
      <c r="B5" s="498"/>
      <c r="C5" s="498"/>
      <c r="D5" s="498"/>
      <c r="E5" s="496"/>
      <c r="G5" s="114"/>
      <c r="H5" s="114"/>
      <c r="I5" s="114"/>
      <c r="J5" s="114"/>
      <c r="K5" s="114"/>
    </row>
    <row r="6" spans="2:11" ht="27" customHeight="1" x14ac:dyDescent="0.2">
      <c r="B6" s="498"/>
      <c r="C6" s="498"/>
      <c r="D6" s="498"/>
      <c r="E6" s="496"/>
      <c r="G6" s="114"/>
      <c r="H6" s="114"/>
      <c r="I6" s="114"/>
      <c r="J6" s="114"/>
      <c r="K6" s="114"/>
    </row>
    <row r="7" spans="2:11" ht="27" customHeight="1" x14ac:dyDescent="0.2">
      <c r="B7" s="498"/>
      <c r="C7" s="498"/>
      <c r="D7" s="498"/>
      <c r="E7" s="496"/>
      <c r="G7" s="114"/>
      <c r="H7" s="114"/>
      <c r="I7" s="114"/>
      <c r="J7" s="114"/>
      <c r="K7" s="114"/>
    </row>
    <row r="8" spans="2:11" ht="27" customHeight="1" x14ac:dyDescent="0.2">
      <c r="B8" s="498"/>
      <c r="C8" s="498"/>
      <c r="D8" s="498"/>
      <c r="E8" s="496"/>
      <c r="G8" s="114"/>
      <c r="H8" s="114"/>
      <c r="I8" s="114"/>
      <c r="J8" s="114"/>
      <c r="K8" s="114"/>
    </row>
    <row r="9" spans="2:11" ht="27" customHeight="1" x14ac:dyDescent="0.2">
      <c r="B9" s="498"/>
      <c r="C9" s="498"/>
      <c r="D9" s="498"/>
      <c r="E9" s="496"/>
      <c r="G9" s="114"/>
      <c r="H9" s="114"/>
      <c r="I9" s="114"/>
      <c r="J9" s="114"/>
      <c r="K9" s="114"/>
    </row>
    <row r="10" spans="2:11" ht="27" customHeight="1" x14ac:dyDescent="0.2">
      <c r="B10" s="498"/>
      <c r="C10" s="498"/>
      <c r="D10" s="498"/>
      <c r="E10" s="496"/>
      <c r="G10" s="114"/>
      <c r="H10" s="114"/>
      <c r="I10" s="114"/>
      <c r="J10" s="114"/>
      <c r="K10" s="114"/>
    </row>
    <row r="11" spans="2:11" ht="27" customHeight="1" x14ac:dyDescent="0.2">
      <c r="B11" s="498"/>
      <c r="C11" s="498"/>
      <c r="D11" s="498"/>
      <c r="E11" s="496"/>
      <c r="G11" s="114"/>
      <c r="H11" s="114"/>
      <c r="I11" s="114"/>
      <c r="J11" s="114"/>
      <c r="K11" s="114"/>
    </row>
    <row r="12" spans="2:11" ht="27" customHeight="1" x14ac:dyDescent="0.2">
      <c r="B12" s="498"/>
      <c r="C12" s="498"/>
      <c r="D12" s="498"/>
      <c r="E12" s="496"/>
      <c r="G12" s="114"/>
      <c r="H12" s="114"/>
      <c r="I12" s="114"/>
      <c r="J12" s="114"/>
      <c r="K12" s="114"/>
    </row>
    <row r="13" spans="2:11" ht="27" customHeight="1" x14ac:dyDescent="0.2">
      <c r="B13" s="498"/>
      <c r="C13" s="498"/>
      <c r="D13" s="498"/>
      <c r="E13" s="496"/>
      <c r="G13" s="114"/>
      <c r="H13" s="114"/>
      <c r="I13" s="114"/>
      <c r="J13" s="114"/>
      <c r="K13" s="114"/>
    </row>
    <row r="14" spans="2:11" ht="27" customHeight="1" x14ac:dyDescent="0.2">
      <c r="B14" s="498"/>
      <c r="C14" s="498"/>
      <c r="D14" s="498"/>
      <c r="E14" s="496"/>
      <c r="G14" s="114"/>
      <c r="H14" s="114"/>
      <c r="I14" s="114"/>
      <c r="J14" s="114"/>
      <c r="K14" s="114"/>
    </row>
    <row r="15" spans="2:11" ht="27" customHeight="1" x14ac:dyDescent="0.2">
      <c r="B15" s="498"/>
      <c r="C15" s="498"/>
      <c r="D15" s="498"/>
      <c r="E15" s="496"/>
      <c r="G15" s="114"/>
      <c r="H15" s="114"/>
      <c r="I15" s="114"/>
      <c r="J15" s="114"/>
      <c r="K15" s="114"/>
    </row>
    <row r="16" spans="2:11" ht="27" customHeight="1" x14ac:dyDescent="0.2">
      <c r="B16" s="498"/>
      <c r="C16" s="498"/>
      <c r="D16" s="498"/>
      <c r="E16" s="496"/>
      <c r="G16" s="114"/>
      <c r="H16" s="114"/>
      <c r="I16" s="114"/>
      <c r="J16" s="114"/>
      <c r="K16" s="114"/>
    </row>
    <row r="17" spans="2:11" ht="27" customHeight="1" x14ac:dyDescent="0.2">
      <c r="B17" s="498"/>
      <c r="C17" s="498"/>
      <c r="D17" s="498"/>
      <c r="E17" s="496"/>
      <c r="G17" s="114"/>
      <c r="H17" s="114"/>
      <c r="I17" s="114"/>
      <c r="J17" s="114"/>
      <c r="K17" s="114"/>
    </row>
    <row r="18" spans="2:11" ht="27" customHeight="1" x14ac:dyDescent="0.2">
      <c r="B18" s="498"/>
      <c r="C18" s="498"/>
      <c r="D18" s="498"/>
      <c r="E18" s="496"/>
      <c r="G18" s="114"/>
      <c r="H18" s="114"/>
      <c r="I18" s="114"/>
      <c r="J18" s="114"/>
      <c r="K18" s="114"/>
    </row>
    <row r="19" spans="2:11" ht="27" customHeight="1" x14ac:dyDescent="0.2">
      <c r="B19" s="498"/>
      <c r="C19" s="498"/>
      <c r="D19" s="498"/>
      <c r="E19" s="496"/>
      <c r="G19" s="114"/>
      <c r="H19" s="114"/>
      <c r="I19" s="114"/>
      <c r="J19" s="114"/>
      <c r="K19" s="114"/>
    </row>
    <row r="20" spans="2:11" ht="27" customHeight="1" x14ac:dyDescent="0.2">
      <c r="B20" s="498"/>
      <c r="C20" s="498"/>
      <c r="D20" s="498"/>
      <c r="E20" s="496"/>
      <c r="G20" s="114"/>
      <c r="H20" s="114"/>
      <c r="I20" s="114"/>
      <c r="J20" s="114"/>
      <c r="K20" s="114"/>
    </row>
    <row r="21" spans="2:11" ht="27" customHeight="1" x14ac:dyDescent="0.2">
      <c r="B21" s="498"/>
      <c r="C21" s="498"/>
      <c r="D21" s="498"/>
      <c r="E21" s="496"/>
      <c r="G21" s="114"/>
      <c r="H21" s="114"/>
      <c r="I21" s="114"/>
      <c r="J21" s="114"/>
      <c r="K21" s="114"/>
    </row>
    <row r="22" spans="2:11" ht="27" customHeight="1" x14ac:dyDescent="0.2">
      <c r="B22" s="498"/>
      <c r="C22" s="498"/>
      <c r="D22" s="498"/>
      <c r="E22" s="496"/>
      <c r="G22" s="114"/>
      <c r="H22" s="114"/>
      <c r="I22" s="114"/>
      <c r="J22" s="114"/>
      <c r="K22" s="114"/>
    </row>
    <row r="23" spans="2:11" ht="27" customHeight="1" x14ac:dyDescent="0.2">
      <c r="B23" s="498"/>
      <c r="C23" s="498"/>
      <c r="D23" s="498"/>
      <c r="E23" s="496"/>
      <c r="G23" s="114"/>
      <c r="H23" s="114"/>
      <c r="I23" s="114"/>
      <c r="J23" s="114"/>
      <c r="K23" s="114"/>
    </row>
    <row r="24" spans="2:11" ht="27" customHeight="1" x14ac:dyDescent="0.2">
      <c r="B24" s="498"/>
      <c r="C24" s="498"/>
      <c r="D24" s="498"/>
      <c r="E24" s="496"/>
      <c r="G24" s="114"/>
      <c r="H24" s="114"/>
      <c r="I24" s="114"/>
      <c r="J24" s="114"/>
      <c r="K24" s="114"/>
    </row>
    <row r="25" spans="2:11" ht="27" customHeight="1" x14ac:dyDescent="0.2">
      <c r="B25" s="498"/>
      <c r="C25" s="498"/>
      <c r="D25" s="498"/>
      <c r="E25" s="496"/>
      <c r="G25" s="114"/>
      <c r="H25" s="114"/>
      <c r="I25" s="114"/>
      <c r="J25" s="114"/>
      <c r="K25" s="114"/>
    </row>
    <row r="26" spans="2:11" ht="27" customHeight="1" x14ac:dyDescent="0.2">
      <c r="B26" s="498"/>
      <c r="C26" s="498"/>
      <c r="D26" s="498"/>
      <c r="E26" s="496"/>
      <c r="G26" s="114"/>
      <c r="H26" s="114"/>
      <c r="I26" s="114"/>
      <c r="J26" s="114"/>
      <c r="K26" s="114"/>
    </row>
    <row r="27" spans="2:11" ht="27" customHeight="1" x14ac:dyDescent="0.2">
      <c r="B27" s="498"/>
      <c r="C27" s="498"/>
      <c r="D27" s="498"/>
      <c r="E27" s="496"/>
      <c r="G27" s="114"/>
      <c r="H27" s="114"/>
      <c r="I27" s="114"/>
      <c r="J27" s="114"/>
      <c r="K27" s="114"/>
    </row>
    <row r="28" spans="2:11" ht="27" customHeight="1" x14ac:dyDescent="0.2">
      <c r="B28" s="498"/>
      <c r="C28" s="498"/>
      <c r="D28" s="498"/>
      <c r="E28" s="496"/>
      <c r="G28" s="114"/>
      <c r="H28" s="114"/>
      <c r="I28" s="114"/>
      <c r="J28" s="114"/>
      <c r="K28" s="114"/>
    </row>
    <row r="29" spans="2:11" ht="27" customHeight="1" x14ac:dyDescent="0.2">
      <c r="B29" s="498"/>
      <c r="C29" s="498"/>
      <c r="D29" s="498"/>
      <c r="E29" s="496"/>
      <c r="G29" s="114"/>
      <c r="H29" s="114"/>
      <c r="I29" s="114"/>
      <c r="J29" s="114"/>
      <c r="K29" s="114"/>
    </row>
    <row r="30" spans="2:11" ht="27" customHeight="1" x14ac:dyDescent="0.2">
      <c r="B30" s="498"/>
      <c r="C30" s="498"/>
      <c r="D30" s="498"/>
      <c r="E30" s="496"/>
      <c r="G30" s="114"/>
      <c r="H30" s="114"/>
      <c r="I30" s="114"/>
      <c r="J30" s="114"/>
      <c r="K30" s="114"/>
    </row>
    <row r="31" spans="2:11" ht="27" customHeight="1" x14ac:dyDescent="0.2">
      <c r="B31" s="498"/>
      <c r="C31" s="498"/>
      <c r="D31" s="498"/>
      <c r="E31" s="496"/>
      <c r="G31" s="114"/>
      <c r="H31" s="114"/>
      <c r="I31" s="114"/>
      <c r="J31" s="114"/>
      <c r="K31" s="114"/>
    </row>
    <row r="32" spans="2:11" ht="27" customHeight="1" x14ac:dyDescent="0.2">
      <c r="B32" s="498"/>
      <c r="C32" s="498"/>
      <c r="D32" s="498"/>
      <c r="E32" s="496"/>
      <c r="G32" s="114"/>
      <c r="H32" s="114"/>
      <c r="I32" s="114"/>
      <c r="J32" s="114"/>
      <c r="K32" s="114"/>
    </row>
    <row r="33" spans="2:11" ht="27" customHeight="1" x14ac:dyDescent="0.2">
      <c r="B33" s="498"/>
      <c r="C33" s="498"/>
      <c r="D33" s="498"/>
      <c r="E33" s="496"/>
      <c r="G33" s="114"/>
      <c r="H33" s="114"/>
      <c r="I33" s="114"/>
      <c r="J33" s="114"/>
      <c r="K33" s="114"/>
    </row>
    <row r="34" spans="2:11" ht="27" customHeight="1" x14ac:dyDescent="0.2">
      <c r="B34" s="498"/>
      <c r="C34" s="498"/>
      <c r="D34" s="498"/>
      <c r="E34" s="496"/>
      <c r="G34" s="114"/>
      <c r="H34" s="114"/>
      <c r="I34" s="114"/>
      <c r="J34" s="114"/>
      <c r="K34" s="114"/>
    </row>
    <row r="35" spans="2:11" ht="27" customHeight="1" x14ac:dyDescent="0.2">
      <c r="B35" s="498"/>
      <c r="C35" s="498"/>
      <c r="D35" s="498"/>
      <c r="E35" s="496"/>
      <c r="G35" s="114"/>
      <c r="H35" s="114"/>
      <c r="I35" s="114"/>
      <c r="J35" s="114"/>
      <c r="K35" s="114"/>
    </row>
    <row r="36" spans="2:11" ht="27" customHeight="1" x14ac:dyDescent="0.2">
      <c r="B36" s="498"/>
      <c r="C36" s="498"/>
      <c r="D36" s="498"/>
      <c r="E36" s="496"/>
      <c r="G36" s="114"/>
      <c r="H36" s="114"/>
      <c r="I36" s="114"/>
      <c r="J36" s="114"/>
      <c r="K36" s="114"/>
    </row>
    <row r="37" spans="2:11" ht="27" customHeight="1" x14ac:dyDescent="0.2">
      <c r="B37" s="173"/>
      <c r="C37" s="173"/>
      <c r="D37" s="173"/>
      <c r="E37" s="98"/>
      <c r="G37" s="114"/>
      <c r="H37" s="114"/>
      <c r="I37" s="114"/>
      <c r="J37" s="114"/>
      <c r="K37" s="114"/>
    </row>
    <row r="38" spans="2:11" x14ac:dyDescent="0.2">
      <c r="G38" s="114"/>
      <c r="H38" s="114"/>
      <c r="I38" s="114"/>
      <c r="J38" s="114"/>
      <c r="K38" s="114"/>
    </row>
  </sheetData>
  <mergeCells count="1">
    <mergeCell ref="B2:E2"/>
  </mergeCells>
  <pageMargins left="0.7" right="0.7" top="0.75" bottom="0.75" header="0.3" footer="0.3"/>
  <pageSetup paperSize="9" orientation="portrait" verticalDpi="0"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baseColWidth="10" defaultColWidth="11.1640625" defaultRowHeight="15" x14ac:dyDescent="0.2"/>
  <cols>
    <col min="6" max="6" width="14.1640625" bestFit="1" customWidth="1"/>
    <col min="10" max="10" width="16.1640625" bestFit="1" customWidth="1"/>
    <col min="11" max="11" width="21.5" bestFit="1" customWidth="1"/>
  </cols>
  <sheetData>
    <row r="1" spans="1:107" x14ac:dyDescent="0.2">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2">
      <c r="A2" s="83"/>
      <c r="B2" s="313" t="s">
        <v>884</v>
      </c>
      <c r="C2" s="167" t="s">
        <v>885</v>
      </c>
      <c r="D2" s="315" t="s">
        <v>886</v>
      </c>
      <c r="E2" s="83"/>
      <c r="F2" s="318" t="s">
        <v>47</v>
      </c>
      <c r="G2" s="307" t="s">
        <v>454</v>
      </c>
      <c r="H2" s="256" t="s">
        <v>887</v>
      </c>
      <c r="I2" s="83"/>
      <c r="J2" s="874" t="s">
        <v>888</v>
      </c>
      <c r="K2" s="876"/>
      <c r="L2" s="316">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2">
      <c r="A3" s="83"/>
      <c r="B3" s="278">
        <v>1995</v>
      </c>
      <c r="C3" s="278">
        <v>381.1</v>
      </c>
      <c r="D3" s="237" cm="1">
        <f t="array" aca="1" ref="D3" ca="1">INDIRECT(ADDRESS(MATCH('Plant Overview'!$E$8,'Cost Conversion'!$B$3:$B$48,0)+2,3))/C3</f>
        <v>1.7425872474416191</v>
      </c>
      <c r="E3" s="83"/>
      <c r="F3" s="166" t="s">
        <v>237</v>
      </c>
      <c r="G3" s="308">
        <v>1</v>
      </c>
      <c r="H3" s="237" cm="1">
        <f t="array" aca="1" ref="H3" ca="1">INDIRECT(ADDRESS(MATCH('Plant Overview'!$E$7,'Cost Conversion'!$F$3:$F$22,0)+2,7))/G3</f>
        <v>1.1499999999999999</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2">
      <c r="A4" s="83"/>
      <c r="B4" s="112">
        <v>1996</v>
      </c>
      <c r="C4" s="112">
        <v>381.7</v>
      </c>
      <c r="D4" s="238" cm="1">
        <f t="array" aca="1" ref="D4" ca="1">INDIRECT(ADDRESS(MATCH('Plant Overview'!$E$8,'Cost Conversion'!$B$3:$B$48,0)+2,3))/C4</f>
        <v>1.7398480482053997</v>
      </c>
      <c r="E4" s="83"/>
      <c r="F4" s="150" t="s">
        <v>889</v>
      </c>
      <c r="G4" s="303">
        <v>0.95</v>
      </c>
      <c r="H4" s="238" cm="1">
        <f t="array" aca="1" ref="H4" ca="1">INDIRECT(ADDRESS(MATCH('Plant Overview'!$E$7,'Cost Conversion'!$F$3:$F$22,0)+2,7))/G4</f>
        <v>1.2105263157894737</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2">
      <c r="A5" s="83"/>
      <c r="B5" s="112">
        <v>1997</v>
      </c>
      <c r="C5" s="112">
        <v>386.5</v>
      </c>
      <c r="D5" s="238" cm="1">
        <f t="array" aca="1" ref="D5" ca="1">INDIRECT(ADDRESS(MATCH('Plant Overview'!$E$8,'Cost Conversion'!$B$3:$B$48,0)+2,3))/C5</f>
        <v>1.7182406209573118</v>
      </c>
      <c r="E5" s="83"/>
      <c r="F5" s="150" t="s">
        <v>890</v>
      </c>
      <c r="G5" s="303">
        <v>1.1000000000000001</v>
      </c>
      <c r="H5" s="238" cm="1">
        <f t="array" aca="1" ref="H5" ca="1">INDIRECT(ADDRESS(MATCH('Plant Overview'!$E$7,'Cost Conversion'!$F$3:$F$22,0)+2,7))/G5</f>
        <v>1.0454545454545452</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2">
      <c r="A6" s="83"/>
      <c r="B6" s="112">
        <v>1998</v>
      </c>
      <c r="C6" s="112">
        <v>389.5</v>
      </c>
      <c r="D6" s="238" cm="1">
        <f t="array" aca="1" ref="D6" ca="1">INDIRECT(ADDRESS(MATCH('Plant Overview'!$E$8,'Cost Conversion'!$B$3:$B$48,0)+2,3))/C6</f>
        <v>1.7050064184852403</v>
      </c>
      <c r="E6" s="83"/>
      <c r="F6" s="150" t="s">
        <v>546</v>
      </c>
      <c r="G6" s="303">
        <v>1.1499999999999999</v>
      </c>
      <c r="H6" s="238" cm="1">
        <f t="array" aca="1" ref="H6" ca="1">INDIRECT(ADDRESS(MATCH('Plant Overview'!$E$7,'Cost Conversion'!$F$3:$F$22,0)+2,7))/G6</f>
        <v>1</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2">
      <c r="A7" s="83"/>
      <c r="B7" s="112">
        <v>1999</v>
      </c>
      <c r="C7" s="112">
        <v>390.6</v>
      </c>
      <c r="D7" s="238" cm="1">
        <f t="array" aca="1" ref="D7" ca="1">INDIRECT(ADDRESS(MATCH('Plant Overview'!$E$8,'Cost Conversion'!$B$3:$B$48,0)+2,3))/C7</f>
        <v>1.7002048131080414</v>
      </c>
      <c r="E7" s="83"/>
      <c r="F7" s="150" t="s">
        <v>891</v>
      </c>
      <c r="G7" s="303">
        <v>1.25</v>
      </c>
      <c r="H7" s="238" cm="1">
        <f t="array" aca="1" ref="H7" ca="1">INDIRECT(ADDRESS(MATCH('Plant Overview'!$E$7,'Cost Conversion'!$F$3:$F$22,0)+2,7))/G7</f>
        <v>0.91999999999999993</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2">
      <c r="A8" s="83"/>
      <c r="B8" s="112">
        <v>2000</v>
      </c>
      <c r="C8" s="112">
        <v>394.1</v>
      </c>
      <c r="D8" s="238" cm="1">
        <f t="array" aca="1" ref="D8" ca="1">INDIRECT(ADDRESS(MATCH('Plant Overview'!$E$8,'Cost Conversion'!$B$3:$B$48,0)+2,3))/C8</f>
        <v>1.6851053032225349</v>
      </c>
      <c r="E8" s="83"/>
      <c r="F8" s="150" t="s">
        <v>48</v>
      </c>
      <c r="G8" s="303">
        <v>1.2</v>
      </c>
      <c r="H8" s="238" cm="1">
        <f t="array" aca="1" ref="H8" ca="1">INDIRECT(ADDRESS(MATCH('Plant Overview'!$E$7,'Cost Conversion'!$F$3:$F$22,0)+2,7))/G8</f>
        <v>0.95833333333333326</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2">
      <c r="A9" s="83"/>
      <c r="B9" s="112">
        <v>2001</v>
      </c>
      <c r="C9" s="112">
        <v>394.3</v>
      </c>
      <c r="D9" s="238" cm="1">
        <f t="array" aca="1" ref="D9" ca="1">INDIRECT(ADDRESS(MATCH('Plant Overview'!$E$8,'Cost Conversion'!$B$3:$B$48,0)+2,3))/C9</f>
        <v>1.6842505706315014</v>
      </c>
      <c r="E9" s="83"/>
      <c r="F9" s="150" t="s">
        <v>892</v>
      </c>
      <c r="G9" s="287">
        <v>0.9</v>
      </c>
      <c r="H9" s="238" cm="1">
        <f t="array" aca="1" ref="H9" ca="1">INDIRECT(ADDRESS(MATCH('Plant Overview'!$E$7,'Cost Conversion'!$F$3:$F$22,0)+2,7))/G9</f>
        <v>1.2777777777777777</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2">
      <c r="A10" s="83"/>
      <c r="B10" s="112">
        <v>2002</v>
      </c>
      <c r="C10" s="112">
        <v>395.6</v>
      </c>
      <c r="D10" s="238" cm="1">
        <f t="array" aca="1" ref="D10" ca="1">INDIRECT(ADDRESS(MATCH('Plant Overview'!$E$8,'Cost Conversion'!$B$3:$B$48,0)+2,3))/C10</f>
        <v>1.6787158746208317</v>
      </c>
      <c r="E10" s="83"/>
      <c r="F10" s="150" t="s">
        <v>893</v>
      </c>
      <c r="G10" s="303">
        <v>0.95</v>
      </c>
      <c r="H10" s="238" cm="1">
        <f t="array" aca="1" ref="H10" ca="1">INDIRECT(ADDRESS(MATCH('Plant Overview'!$E$7,'Cost Conversion'!$F$3:$F$22,0)+2,7))/G10</f>
        <v>1.2105263157894737</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2">
      <c r="A11" s="83"/>
      <c r="B11" s="112">
        <v>2003</v>
      </c>
      <c r="C11" s="112">
        <v>402</v>
      </c>
      <c r="D11" s="238" cm="1">
        <f t="array" aca="1" ref="D11" ca="1">INDIRECT(ADDRESS(MATCH('Plant Overview'!$E$8,'Cost Conversion'!$B$3:$B$48,0)+2,3))/C11</f>
        <v>1.6519900497512463</v>
      </c>
      <c r="E11" s="83"/>
      <c r="F11" s="150" t="s">
        <v>894</v>
      </c>
      <c r="G11" s="287">
        <v>0.95</v>
      </c>
      <c r="H11" s="238" cm="1">
        <f t="array" aca="1" ref="H11" ca="1">INDIRECT(ADDRESS(MATCH('Plant Overview'!$E$7,'Cost Conversion'!$F$3:$F$22,0)+2,7))/G11</f>
        <v>1.2105263157894737</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2">
      <c r="A12" s="83"/>
      <c r="B12" s="112">
        <v>2004</v>
      </c>
      <c r="C12" s="112">
        <v>444.2</v>
      </c>
      <c r="D12" s="238" cm="1">
        <f t="array" aca="1" ref="D12" ca="1">INDIRECT(ADDRESS(MATCH('Plant Overview'!$E$8,'Cost Conversion'!$B$3:$B$48,0)+2,3))/C12</f>
        <v>1.4950472760018034</v>
      </c>
      <c r="E12" s="83"/>
      <c r="F12" s="150" t="s">
        <v>895</v>
      </c>
      <c r="G12" s="303">
        <v>1.1499999999999999</v>
      </c>
      <c r="H12" s="238" cm="1">
        <f t="array" aca="1" ref="H12" ca="1">INDIRECT(ADDRESS(MATCH('Plant Overview'!$E$7,'Cost Conversion'!$F$3:$F$22,0)+2,7))/G12</f>
        <v>1</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2">
      <c r="A13" s="83"/>
      <c r="B13" s="112">
        <v>2005</v>
      </c>
      <c r="C13" s="112">
        <v>468.2</v>
      </c>
      <c r="D13" s="238" cm="1">
        <f t="array" aca="1" ref="D13" ca="1">INDIRECT(ADDRESS(MATCH('Plant Overview'!$E$8,'Cost Conversion'!$B$3:$B$48,0)+2,3))/C13</f>
        <v>1.4184109354976528</v>
      </c>
      <c r="E13" s="83"/>
      <c r="F13" s="150" t="s">
        <v>896</v>
      </c>
      <c r="G13" s="287">
        <v>1.3</v>
      </c>
      <c r="H13" s="238" cm="1">
        <f t="array" aca="1" ref="H13" ca="1">INDIRECT(ADDRESS(MATCH('Plant Overview'!$E$7,'Cost Conversion'!$F$3:$F$22,0)+2,7))/G13</f>
        <v>0.88461538461538447</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2">
      <c r="A14" s="83"/>
      <c r="B14" s="112">
        <v>2006</v>
      </c>
      <c r="C14" s="112">
        <v>499.6</v>
      </c>
      <c r="D14" s="238" cm="1">
        <f t="array" aca="1" ref="D14" ca="1">INDIRECT(ADDRESS(MATCH('Plant Overview'!$E$8,'Cost Conversion'!$B$3:$B$48,0)+2,3))/C14</f>
        <v>1.329263410728585</v>
      </c>
      <c r="E14" s="83"/>
      <c r="F14" s="150" t="s">
        <v>897</v>
      </c>
      <c r="G14" s="303">
        <v>0.85</v>
      </c>
      <c r="H14" s="238" cm="1">
        <f t="array" aca="1" ref="H14" ca="1">INDIRECT(ADDRESS(MATCH('Plant Overview'!$E$7,'Cost Conversion'!$F$3:$F$22,0)+2,7))/G14</f>
        <v>1.3529411764705881</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2">
      <c r="A15" s="83"/>
      <c r="B15" s="112">
        <v>2007</v>
      </c>
      <c r="C15" s="112">
        <v>525.4</v>
      </c>
      <c r="D15" s="238" cm="1">
        <f t="array" aca="1" ref="D15" ca="1">INDIRECT(ADDRESS(MATCH('Plant Overview'!$E$8,'Cost Conversion'!$B$3:$B$48,0)+2,3))/C15</f>
        <v>1.2639893414541323</v>
      </c>
      <c r="E15" s="83"/>
      <c r="F15" s="150" t="s">
        <v>898</v>
      </c>
      <c r="G15" s="287">
        <v>0.75</v>
      </c>
      <c r="H15" s="238" cm="1">
        <f t="array" aca="1" ref="H15" ca="1">INDIRECT(ADDRESS(MATCH('Plant Overview'!$E$7,'Cost Conversion'!$F$3:$F$22,0)+2,7))/G15</f>
        <v>1.5333333333333332</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2">
      <c r="A16" s="83"/>
      <c r="B16" s="112">
        <v>2008</v>
      </c>
      <c r="C16" s="112">
        <v>575.4</v>
      </c>
      <c r="D16" s="238" cm="1">
        <f t="array" aca="1" ref="D16" ca="1">INDIRECT(ADDRESS(MATCH('Plant Overview'!$E$8,'Cost Conversion'!$B$3:$B$48,0)+2,3))/C16</f>
        <v>1.1541536322558239</v>
      </c>
      <c r="E16" s="83"/>
      <c r="F16" s="150" t="s">
        <v>899</v>
      </c>
      <c r="G16" s="287">
        <v>0.85</v>
      </c>
      <c r="H16" s="238" cm="1">
        <f t="array" aca="1" ref="H16" ca="1">INDIRECT(ADDRESS(MATCH('Plant Overview'!$E$7,'Cost Conversion'!$F$3:$F$22,0)+2,7))/G16</f>
        <v>1.3529411764705881</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2">
      <c r="A17" s="83"/>
      <c r="B17" s="112">
        <v>2009</v>
      </c>
      <c r="C17" s="112">
        <v>521.9</v>
      </c>
      <c r="D17" s="238" cm="1">
        <f t="array" aca="1" ref="D17" ca="1">INDIRECT(ADDRESS(MATCH('Plant Overview'!$E$8,'Cost Conversion'!$B$3:$B$48,0)+2,3))/C17</f>
        <v>1.2724659896531922</v>
      </c>
      <c r="E17" s="83"/>
      <c r="F17" s="150" t="s">
        <v>900</v>
      </c>
      <c r="G17" s="287">
        <v>0.9</v>
      </c>
      <c r="H17" s="238" cm="1">
        <f t="array" aca="1" ref="H17" ca="1">INDIRECT(ADDRESS(MATCH('Plant Overview'!$E$7,'Cost Conversion'!$F$3:$F$22,0)+2,7))/G17</f>
        <v>1.2777777777777777</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2">
      <c r="A18" s="83"/>
      <c r="B18" s="112">
        <v>2010</v>
      </c>
      <c r="C18" s="112">
        <v>550.79999999999995</v>
      </c>
      <c r="D18" s="238" cm="1">
        <f t="array" aca="1" ref="D18" ca="1">INDIRECT(ADDRESS(MATCH('Plant Overview'!$E$8,'Cost Conversion'!$B$3:$B$48,0)+2,3))/C18</f>
        <v>1.2057007988380557</v>
      </c>
      <c r="E18" s="83"/>
      <c r="F18" s="150"/>
      <c r="G18" s="303">
        <v>1</v>
      </c>
      <c r="H18" s="238" cm="1">
        <f t="array" aca="1" ref="H18" ca="1">INDIRECT(ADDRESS(MATCH('Plant Overview'!$E$7,'Cost Conversion'!$F$3:$F$22,0)+2,7))/G18</f>
        <v>1.1499999999999999</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2">
      <c r="A19" s="83"/>
      <c r="B19" s="112">
        <v>2011</v>
      </c>
      <c r="C19" s="112">
        <v>585.70000000000005</v>
      </c>
      <c r="D19" s="238" cm="1">
        <f t="array" aca="1" ref="D19" ca="1">INDIRECT(ADDRESS(MATCH('Plant Overview'!$E$8,'Cost Conversion'!$B$3:$B$48,0)+2,3))/C19</f>
        <v>1.1338569233395954</v>
      </c>
      <c r="E19" s="83"/>
      <c r="F19" s="150"/>
      <c r="G19" s="303">
        <v>1</v>
      </c>
      <c r="H19" s="238" cm="1">
        <f t="array" aca="1" ref="H19" ca="1">INDIRECT(ADDRESS(MATCH('Plant Overview'!$E$7,'Cost Conversion'!$F$3:$F$22,0)+2,7))/G19</f>
        <v>1.1499999999999999</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2">
      <c r="A20" s="83"/>
      <c r="B20" s="112">
        <v>2012</v>
      </c>
      <c r="C20" s="112">
        <v>584.6</v>
      </c>
      <c r="D20" s="238" cm="1">
        <f t="array" aca="1" ref="D20" ca="1">INDIRECT(ADDRESS(MATCH('Plant Overview'!$E$8,'Cost Conversion'!$B$3:$B$48,0)+2,3))/C20</f>
        <v>1.1359904208005491</v>
      </c>
      <c r="E20" s="83"/>
      <c r="F20" s="150"/>
      <c r="G20" s="303">
        <v>1</v>
      </c>
      <c r="H20" s="238" cm="1">
        <f t="array" aca="1" ref="H20" ca="1">INDIRECT(ADDRESS(MATCH('Plant Overview'!$E$7,'Cost Conversion'!$F$3:$F$22,0)+2,7))/G20</f>
        <v>1.1499999999999999</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2">
      <c r="A21" s="83"/>
      <c r="B21" s="112">
        <v>2013</v>
      </c>
      <c r="C21" s="112">
        <v>567.29999999999995</v>
      </c>
      <c r="D21" s="238" cm="1">
        <f t="array" aca="1" ref="D21" ca="1">INDIRECT(ADDRESS(MATCH('Plant Overview'!$E$8,'Cost Conversion'!$B$3:$B$48,0)+2,3))/C21</f>
        <v>1.1706328221399631</v>
      </c>
      <c r="E21" s="83"/>
      <c r="F21" s="150"/>
      <c r="G21" s="303">
        <v>1</v>
      </c>
      <c r="H21" s="238" cm="1">
        <f t="array" aca="1" ref="H21" ca="1">INDIRECT(ADDRESS(MATCH('Plant Overview'!$E$7,'Cost Conversion'!$F$3:$F$22,0)+2,7))/G21</f>
        <v>1.1499999999999999</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2">
      <c r="A22" s="83"/>
      <c r="B22" s="112">
        <v>2014</v>
      </c>
      <c r="C22" s="112">
        <v>576.1</v>
      </c>
      <c r="D22" s="238" cm="1">
        <f t="array" aca="1" ref="D22" ca="1">INDIRECT(ADDRESS(MATCH('Plant Overview'!$E$8,'Cost Conversion'!$B$3:$B$48,0)+2,3))/C22</f>
        <v>1.1527512584620743</v>
      </c>
      <c r="E22" s="83"/>
      <c r="F22" s="176"/>
      <c r="G22" s="288">
        <v>1</v>
      </c>
      <c r="H22" s="239" cm="1">
        <f t="array" aca="1" ref="H22" ca="1">INDIRECT(ADDRESS(MATCH('Plant Overview'!$E$7,'Cost Conversion'!$F$3:$F$22,0)+2,7))/G22</f>
        <v>1.1499999999999999</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2">
      <c r="A23" s="83"/>
      <c r="B23" s="112">
        <v>2015</v>
      </c>
      <c r="C23" s="112">
        <v>557</v>
      </c>
      <c r="D23" s="238" cm="1">
        <f t="array" aca="1" ref="D23" ca="1">INDIRECT(ADDRESS(MATCH('Plant Overview'!$E$8,'Cost Conversion'!$B$3:$B$48,0)+2,3))/C23</f>
        <v>1.1922800718132873</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2">
      <c r="A24" s="83"/>
      <c r="B24" s="112">
        <v>2016</v>
      </c>
      <c r="C24" s="112">
        <v>542</v>
      </c>
      <c r="D24" s="238" cm="1">
        <f t="array" aca="1" ref="D24" ca="1">INDIRECT(ADDRESS(MATCH('Plant Overview'!$E$8,'Cost Conversion'!$B$3:$B$48,0)+2,3))/C24</f>
        <v>1.2252767527675297</v>
      </c>
      <c r="E24" s="83"/>
      <c r="G24" s="1102" t="s">
        <v>901</v>
      </c>
      <c r="H24" s="1102"/>
      <c r="I24" s="1102"/>
      <c r="J24" s="314" t="s">
        <v>902</v>
      </c>
      <c r="K24" s="289">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2">
      <c r="A25" s="83"/>
      <c r="B25" s="112">
        <v>2017</v>
      </c>
      <c r="C25" s="112">
        <v>567.5</v>
      </c>
      <c r="D25" s="238" cm="1">
        <f t="array" aca="1" ref="D25" ca="1">INDIRECT(ADDRESS(MATCH('Plant Overview'!$E$8,'Cost Conversion'!$B$3:$B$48,0)+2,3))/C25</f>
        <v>1.1702202643171824</v>
      </c>
      <c r="E25" s="83"/>
      <c r="F25" s="309" t="s">
        <v>47</v>
      </c>
      <c r="G25" s="309" t="s">
        <v>141</v>
      </c>
      <c r="H25" s="314"/>
      <c r="I25" s="310"/>
      <c r="J25" s="316" t="s">
        <v>903</v>
      </c>
      <c r="K25" s="310" t="s">
        <v>904</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2">
      <c r="A26" s="83"/>
      <c r="B26" s="112">
        <v>2018</v>
      </c>
      <c r="C26" s="112">
        <v>603.1</v>
      </c>
      <c r="D26" s="238" cm="1">
        <f t="array" aca="1" ref="D26" ca="1">INDIRECT(ADDRESS(MATCH('Plant Overview'!$E$8,'Cost Conversion'!$B$3:$B$48,0)+2,3))/C26</f>
        <v>1.1011440888741519</v>
      </c>
      <c r="E26" s="83"/>
      <c r="F26" s="311" t="s">
        <v>905</v>
      </c>
      <c r="G26" s="303">
        <v>1</v>
      </c>
      <c r="H26" s="216">
        <v>1</v>
      </c>
      <c r="I26" s="304">
        <v>1</v>
      </c>
      <c r="J26" s="240">
        <f t="shared" ref="J26:J38" si="0">H26*I26</f>
        <v>1</v>
      </c>
      <c r="K26" s="304">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2">
      <c r="A27" s="83"/>
      <c r="B27" s="112">
        <v>2019</v>
      </c>
      <c r="C27" s="112">
        <v>607.5</v>
      </c>
      <c r="D27" s="238" cm="1">
        <f t="array" aca="1" ref="D27" ca="1">INDIRECT(ADDRESS(MATCH('Plant Overview'!$E$8,'Cost Conversion'!$B$3:$B$48,0)+2,3))/C27</f>
        <v>1.0931687242798371</v>
      </c>
      <c r="E27" s="83"/>
      <c r="F27" s="311" t="s">
        <v>906</v>
      </c>
      <c r="G27" s="303">
        <v>0.95</v>
      </c>
      <c r="H27" s="216">
        <v>1.19</v>
      </c>
      <c r="I27" s="304">
        <v>1.04</v>
      </c>
      <c r="J27" s="240">
        <f t="shared" si="0"/>
        <v>1.2376</v>
      </c>
      <c r="K27" s="304">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2">
      <c r="A28" s="83"/>
      <c r="B28" s="112">
        <v>2020</v>
      </c>
      <c r="C28" s="279">
        <v>628.9</v>
      </c>
      <c r="D28" s="238" cm="1">
        <f t="array" aca="1" ref="D28" ca="1">INDIRECT(ADDRESS(MATCH('Plant Overview'!$E$8,'Cost Conversion'!$B$3:$B$48,0)+2,3))/C28</f>
        <v>1.0559707425663873</v>
      </c>
      <c r="E28" s="83"/>
      <c r="F28" s="311" t="s">
        <v>907</v>
      </c>
      <c r="G28" s="303">
        <v>1.01</v>
      </c>
      <c r="H28" s="216">
        <v>1.54</v>
      </c>
      <c r="I28" s="304">
        <v>1.87</v>
      </c>
      <c r="J28" s="240">
        <f t="shared" si="0"/>
        <v>2.8798000000000004</v>
      </c>
      <c r="K28" s="304">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2">
      <c r="A29" s="83"/>
      <c r="B29" s="112">
        <v>2021</v>
      </c>
      <c r="C29" s="279">
        <v>637.70000000000095</v>
      </c>
      <c r="D29" s="238" cm="1">
        <f t="array" aca="1" ref="D29" ca="1">INDIRECT(ADDRESS(MATCH('Plant Overview'!$E$8,'Cost Conversion'!$B$3:$B$48,0)+2,3))/C29</f>
        <v>1.0413987768543203</v>
      </c>
      <c r="E29" s="83"/>
      <c r="F29" s="311" t="s">
        <v>908</v>
      </c>
      <c r="G29" s="303">
        <v>1.1000000000000001</v>
      </c>
      <c r="H29" s="216">
        <v>1.4</v>
      </c>
      <c r="I29" s="304">
        <v>1.3</v>
      </c>
      <c r="J29" s="240">
        <f t="shared" si="0"/>
        <v>1.8199999999999998</v>
      </c>
      <c r="K29" s="304">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2">
      <c r="A30" s="83"/>
      <c r="B30" s="112">
        <v>2022</v>
      </c>
      <c r="C30" s="279">
        <v>646.50000000000102</v>
      </c>
      <c r="D30" s="238" cm="1">
        <f t="array" aca="1" ref="D30" ca="1">INDIRECT(ADDRESS(MATCH('Plant Overview'!$E$8,'Cost Conversion'!$B$3:$B$48,0)+2,3))/C30</f>
        <v>1.0272235112142305</v>
      </c>
      <c r="E30" s="83"/>
      <c r="F30" s="311" t="s">
        <v>898</v>
      </c>
      <c r="G30" s="303">
        <v>0.87</v>
      </c>
      <c r="H30" s="216">
        <v>2.86</v>
      </c>
      <c r="I30" s="304">
        <v>0.21</v>
      </c>
      <c r="J30" s="240">
        <f t="shared" si="0"/>
        <v>0.60059999999999991</v>
      </c>
      <c r="K30" s="304">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2">
      <c r="A31" s="83"/>
      <c r="B31" s="112">
        <v>2023</v>
      </c>
      <c r="C31" s="279">
        <v>655.30000000000098</v>
      </c>
      <c r="D31" s="238" cm="1">
        <f t="array" aca="1" ref="D31" ca="1">INDIRECT(ADDRESS(MATCH('Plant Overview'!$E$8,'Cost Conversion'!$B$3:$B$48,0)+2,3))/C31</f>
        <v>1.0134289638333589</v>
      </c>
      <c r="E31" s="83"/>
      <c r="F31" s="311" t="s">
        <v>892</v>
      </c>
      <c r="G31" s="303">
        <v>0.93</v>
      </c>
      <c r="H31" s="216">
        <v>1.6</v>
      </c>
      <c r="I31" s="304">
        <v>0.55000000000000004</v>
      </c>
      <c r="J31" s="240">
        <f t="shared" si="0"/>
        <v>0.88000000000000012</v>
      </c>
      <c r="K31" s="304">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2">
      <c r="A32" s="83"/>
      <c r="B32" s="112">
        <v>2024</v>
      </c>
      <c r="C32" s="279">
        <v>664.10000000000105</v>
      </c>
      <c r="D32" s="238" cm="1">
        <f t="array" aca="1" ref="D32" ca="1">INDIRECT(ADDRESS(MATCH('Plant Overview'!$E$8,'Cost Conversion'!$B$3:$B$48,0)+2,3))/C32</f>
        <v>1</v>
      </c>
      <c r="E32" s="83"/>
      <c r="F32" s="311" t="s">
        <v>909</v>
      </c>
      <c r="G32" s="303">
        <v>1.01</v>
      </c>
      <c r="H32" s="216">
        <v>1.25</v>
      </c>
      <c r="I32" s="304">
        <v>1.36</v>
      </c>
      <c r="J32" s="240">
        <f t="shared" si="0"/>
        <v>1.7000000000000002</v>
      </c>
      <c r="K32" s="304">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2">
      <c r="A33" s="83"/>
      <c r="B33" s="112">
        <v>2025</v>
      </c>
      <c r="C33" s="279">
        <v>672.900000000001</v>
      </c>
      <c r="D33" s="238" cm="1">
        <f t="array" aca="1" ref="D33" ca="1">INDIRECT(ADDRESS(MATCH('Plant Overview'!$E$8,'Cost Conversion'!$B$3:$B$48,0)+2,3))/C33</f>
        <v>0.98692227671273602</v>
      </c>
      <c r="E33" s="83"/>
      <c r="F33" s="311" t="s">
        <v>897</v>
      </c>
      <c r="G33" s="303">
        <v>0.94</v>
      </c>
      <c r="H33" s="216">
        <v>3.03</v>
      </c>
      <c r="I33" s="304">
        <v>0.35</v>
      </c>
      <c r="J33" s="240">
        <f t="shared" si="0"/>
        <v>1.0604999999999998</v>
      </c>
      <c r="K33" s="304">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2">
      <c r="A34" s="83"/>
      <c r="B34" s="112">
        <v>2026</v>
      </c>
      <c r="C34" s="279">
        <v>681.70000000000095</v>
      </c>
      <c r="D34" s="238" cm="1">
        <f t="array" aca="1" ref="D34" ca="1">INDIRECT(ADDRESS(MATCH('Plant Overview'!$E$8,'Cost Conversion'!$B$3:$B$48,0)+2,3))/C34</f>
        <v>0.97418219157987407</v>
      </c>
      <c r="E34" s="83"/>
      <c r="F34" s="311" t="s">
        <v>895</v>
      </c>
      <c r="G34" s="303">
        <v>0.9</v>
      </c>
      <c r="H34" s="216">
        <v>1.22</v>
      </c>
      <c r="I34" s="304">
        <v>0.92</v>
      </c>
      <c r="J34" s="240">
        <f t="shared" si="0"/>
        <v>1.1224000000000001</v>
      </c>
      <c r="K34" s="304">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2">
      <c r="A35" s="83"/>
      <c r="B35" s="112">
        <v>2027</v>
      </c>
      <c r="C35" s="279">
        <v>690.50000000000102</v>
      </c>
      <c r="D35" s="238" cm="1">
        <f t="array" aca="1" ref="D35" ca="1">INDIRECT(ADDRESS(MATCH('Plant Overview'!$E$8,'Cost Conversion'!$B$3:$B$48,0)+2,3))/C35</f>
        <v>0.96176683562635779</v>
      </c>
      <c r="E35" s="83"/>
      <c r="F35" s="311" t="s">
        <v>900</v>
      </c>
      <c r="G35" s="303">
        <v>0.94</v>
      </c>
      <c r="H35" s="216">
        <v>2.2999999999999998</v>
      </c>
      <c r="I35" s="304">
        <v>0.32</v>
      </c>
      <c r="J35" s="240">
        <f t="shared" si="0"/>
        <v>0.73599999999999999</v>
      </c>
      <c r="K35" s="304">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2">
      <c r="A36" s="83"/>
      <c r="B36" s="112">
        <v>2028</v>
      </c>
      <c r="C36" s="279">
        <v>699.30000000000098</v>
      </c>
      <c r="D36" s="238" cm="1">
        <f t="array" aca="1" ref="D36" ca="1">INDIRECT(ADDRESS(MATCH('Plant Overview'!$E$8,'Cost Conversion'!$B$3:$B$48,0)+2,3))/C36</f>
        <v>0.94966394966394985</v>
      </c>
      <c r="E36" s="83"/>
      <c r="F36" s="311" t="s">
        <v>910</v>
      </c>
      <c r="G36" s="303">
        <v>1.05</v>
      </c>
      <c r="H36" s="216">
        <v>2.8</v>
      </c>
      <c r="I36" s="304">
        <v>0.95</v>
      </c>
      <c r="J36" s="240">
        <f t="shared" si="0"/>
        <v>2.6599999999999997</v>
      </c>
      <c r="K36" s="304">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2">
      <c r="A37" s="83"/>
      <c r="B37" s="112">
        <v>2029</v>
      </c>
      <c r="C37" s="279">
        <v>708.10000000000105</v>
      </c>
      <c r="D37" s="238" cm="1">
        <f t="array" aca="1" ref="D37" ca="1">INDIRECT(ADDRESS(MATCH('Plant Overview'!$E$8,'Cost Conversion'!$B$3:$B$48,0)+2,3))/C37</f>
        <v>0.93786188391470138</v>
      </c>
      <c r="E37" s="83"/>
      <c r="F37" s="311" t="s">
        <v>894</v>
      </c>
      <c r="G37" s="303">
        <v>1.01</v>
      </c>
      <c r="H37" s="216">
        <v>2</v>
      </c>
      <c r="I37" s="304">
        <v>0.38</v>
      </c>
      <c r="J37" s="240">
        <f t="shared" si="0"/>
        <v>0.76</v>
      </c>
      <c r="K37" s="304">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2">
      <c r="A38" s="83"/>
      <c r="B38" s="112">
        <v>2030</v>
      </c>
      <c r="C38" s="279">
        <v>716.900000000001</v>
      </c>
      <c r="D38" s="238" cm="1">
        <f t="array" aca="1" ref="D38" ca="1">INDIRECT(ADDRESS(MATCH('Plant Overview'!$E$8,'Cost Conversion'!$B$3:$B$48,0)+2,3))/C38</f>
        <v>0.92634956060817419</v>
      </c>
      <c r="E38" s="83"/>
      <c r="F38" s="312" t="s">
        <v>899</v>
      </c>
      <c r="G38" s="305">
        <v>0.93</v>
      </c>
      <c r="H38" s="285">
        <v>2.2200000000000002</v>
      </c>
      <c r="I38" s="306">
        <v>0.32</v>
      </c>
      <c r="J38" s="286">
        <f t="shared" si="0"/>
        <v>0.71040000000000003</v>
      </c>
      <c r="K38" s="306">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2">
      <c r="A39" s="83"/>
      <c r="B39" s="112">
        <v>2031</v>
      </c>
      <c r="C39" s="279">
        <v>725.70000000000095</v>
      </c>
      <c r="D39" s="238" cm="1">
        <f t="array" aca="1" ref="D39" ca="1">INDIRECT(ADDRESS(MATCH('Plant Overview'!$E$8,'Cost Conversion'!$B$3:$B$48,0)+2,3))/C39</f>
        <v>0.91511643929998643</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2">
      <c r="A40" s="83"/>
      <c r="B40" s="112">
        <v>2032</v>
      </c>
      <c r="C40" s="279">
        <v>734.50000000000102</v>
      </c>
      <c r="D40" s="238" cm="1">
        <f t="array" aca="1" ref="D40" ca="1">INDIRECT(ADDRESS(MATCH('Plant Overview'!$E$8,'Cost Conversion'!$B$3:$B$48,0)+2,3))/C40</f>
        <v>0.90415248468345832</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2">
      <c r="A41" s="83"/>
      <c r="B41" s="112">
        <v>2033</v>
      </c>
      <c r="C41" s="279">
        <v>743.30000000000098</v>
      </c>
      <c r="D41" s="238" cm="1">
        <f t="array" aca="1" ref="D41" ca="1">INDIRECT(ADDRESS(MATCH('Plant Overview'!$E$8,'Cost Conversion'!$B$3:$B$48,0)+2,3))/C41</f>
        <v>0.89344813668774403</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2">
      <c r="A42" s="83"/>
      <c r="B42" s="112">
        <v>2034</v>
      </c>
      <c r="C42" s="279">
        <v>752.10000000000105</v>
      </c>
      <c r="D42" s="238" cm="1">
        <f t="array" aca="1" ref="D42" ca="1">INDIRECT(ADDRESS(MATCH('Plant Overview'!$E$8,'Cost Conversion'!$B$3:$B$48,0)+2,3))/C42</f>
        <v>0.88299428267517632</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2">
      <c r="A43" s="83"/>
      <c r="B43" s="112">
        <v>2035</v>
      </c>
      <c r="C43" s="279">
        <v>760.90000000000202</v>
      </c>
      <c r="D43" s="238" cm="1">
        <f t="array" aca="1" ref="D43" ca="1">INDIRECT(ADDRESS(MATCH('Plant Overview'!$E$8,'Cost Conversion'!$B$3:$B$48,0)+2,3))/C43</f>
        <v>0.87278223156787915</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2">
      <c r="A44" s="83"/>
      <c r="B44" s="112">
        <v>2036</v>
      </c>
      <c r="C44" s="279">
        <v>769.70000000000198</v>
      </c>
      <c r="D44" s="238" cm="1">
        <f t="array" aca="1" ref="D44" ca="1">INDIRECT(ADDRESS(MATCH('Plant Overview'!$E$8,'Cost Conversion'!$B$3:$B$48,0)+2,3))/C44</f>
        <v>0.86280368974925215</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2">
      <c r="A45" s="83"/>
      <c r="B45" s="112">
        <v>2037</v>
      </c>
      <c r="C45" s="279">
        <v>778.50000000000205</v>
      </c>
      <c r="D45" s="238" cm="1">
        <f t="array" aca="1" ref="D45" ca="1">INDIRECT(ADDRESS(MATCH('Plant Overview'!$E$8,'Cost Conversion'!$B$3:$B$48,0)+2,3))/C45</f>
        <v>0.85305073859987068</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2">
      <c r="A46" s="83"/>
      <c r="B46" s="112">
        <v>2038</v>
      </c>
      <c r="C46" s="279">
        <v>787.300000000002</v>
      </c>
      <c r="D46" s="238" cm="1">
        <f t="array" aca="1" ref="D46" ca="1">INDIRECT(ADDRESS(MATCH('Plant Overview'!$E$8,'Cost Conversion'!$B$3:$B$48,0)+2,3))/C46</f>
        <v>0.84351581353994587</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2">
      <c r="A47" s="83"/>
      <c r="B47" s="112">
        <v>2039</v>
      </c>
      <c r="C47" s="279">
        <v>796.10000000000196</v>
      </c>
      <c r="D47" s="238" cm="1">
        <f t="array" aca="1" ref="D47" ca="1">INDIRECT(ADDRESS(MATCH('Plant Overview'!$E$8,'Cost Conversion'!$B$3:$B$48,0)+2,3))/C47</f>
        <v>0.83419168446175029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2">
      <c r="A48" s="83"/>
      <c r="B48" s="317">
        <v>2040</v>
      </c>
      <c r="C48" s="280">
        <v>804.90000000000202</v>
      </c>
      <c r="D48" s="239" cm="1">
        <f t="array" aca="1" ref="D48" ca="1">INDIRECT(ADDRESS(MATCH('Plant Overview'!$E$8,'Cost Conversion'!$B$3:$B$48,0)+2,3))/C48</f>
        <v>0.8250714374456446</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2">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2">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2">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2">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2">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2">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2">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2">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2">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2">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2">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2">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2">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2">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2">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2">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2">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2">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2">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2">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2">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2">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2">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2">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2">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2">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2">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2">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2">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2">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2">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2">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2">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2">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2">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2">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2">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2">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2">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2">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2">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2">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2">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2">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2">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2">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2">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2">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2">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2">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2">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2">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2">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2">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2">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2">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2">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2">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2">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2">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2">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2">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2">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2">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2">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2">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2">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2">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2">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2">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2">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2">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2">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2">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2">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2">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2">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2">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2">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2">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2">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2">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2">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2">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2">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2">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2">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2">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2">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2">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2">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2">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2">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2">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2">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2">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2">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2">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2">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2">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2">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2">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2">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2">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2">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2">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2">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2">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2">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2">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2">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2">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2">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2">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2">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2">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2">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2">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2">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2">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2">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2">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2">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2">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2">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2">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2">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2">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2">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2">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2">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2">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2">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2">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2">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2">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2">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2">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2">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2">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2">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2">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2">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2">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2">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2">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2">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2">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2">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2">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2">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2">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2">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2">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2">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2">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2">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2">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2">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2">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2">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2">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2">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2">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2">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2">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2">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2">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2">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2">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2">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2">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2">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2">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2">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2">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2">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2">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2">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2">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2">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2">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2">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2">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2">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2">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2">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2">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2">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2">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2">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2">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2">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2">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2">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2">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2">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2">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2">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2">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2">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2">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2">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2">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2">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2">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2">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2">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2">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2">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2">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2">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2">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2">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2">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2">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2">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2">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2">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2">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2">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2">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2">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2">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2">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2">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2">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2">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2">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2">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2">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2">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2">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2">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2">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2">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2">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2">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2">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2">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2">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2">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2">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2">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2">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2">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2">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2">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2">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2">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2">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2">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2">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2">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2">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2">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2">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2">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2">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2">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2">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2">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2">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2">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2">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2">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2">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2">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2">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2">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2">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2">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2">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2">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2">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2">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2">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2">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2">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2">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2">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2">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2">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2">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2">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2">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2">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2">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2">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2">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2">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2">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2">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2">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2">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2">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2">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2">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2">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2">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2">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2">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2">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2">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2">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2">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2">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2">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2">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2">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2">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2">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2">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2">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2">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2">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2">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2">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2">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2">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2">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2">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2">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2">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2">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2">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2">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2">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2">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2">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2">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2">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2">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2">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2">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2">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2">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2">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2">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2">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2">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2">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2">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2">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2">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2">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2">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2">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2">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2">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2">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2">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2">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2">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2">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2">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2">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2">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2">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2">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2">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2">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2">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2">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2">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2">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2">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2">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2">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2">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2">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2">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2">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2">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2">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2">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2">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2">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2">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2">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2">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2">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2">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2">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2">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2">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2">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2">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2">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2">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2">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2">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2">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2">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2">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2">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2">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2">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2">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2">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2">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2">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2">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2">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2">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2">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2">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2">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2">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2">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2">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2">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2">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2">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2">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2">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2">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2">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2">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2">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2">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2">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2">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2">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2">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2">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2">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2">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2">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2">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2">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2">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2">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2">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2">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2">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2">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2">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2">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2">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2">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2">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2">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2">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2">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2">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2">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2">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2">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2">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2">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2">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2">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2">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2">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2">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2">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2">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2">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2">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2">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2">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2">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2">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2">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2">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2">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2">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2">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2">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2">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2">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2">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2">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2">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2">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2">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2">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2">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2">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2">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2">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2">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2">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2">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2">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2">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2">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2">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2">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2">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2">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2">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2">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2">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2">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2">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2">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2">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2">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2">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2">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2">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2">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2">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2">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2">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2">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2">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2">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2">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2">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2">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2">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2">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2">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2">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2">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2">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2">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2">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2">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2">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2">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2">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2">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2">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2">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2">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2">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2">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2">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2">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2">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2">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2">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2">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2">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2">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2">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2">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2">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2">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2">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2">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2">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2">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2">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2">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2">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2">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2">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2">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2">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2">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2">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2">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2">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2">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2">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2">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2">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2">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2">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2">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2">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2">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2">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2">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2">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2">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2">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2">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2">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2">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2">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2">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2">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2">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2">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2">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2">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2">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2">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2">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2">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2">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2">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2">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2">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2">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2">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2">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2">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2">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2">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2">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2">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2">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2">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2">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2">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2">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2">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2">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2">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2">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2">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2">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2">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2">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2">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2">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2">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2">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2">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2">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2">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2">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2">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2">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2">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2">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2">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2">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2">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2">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2">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2">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2">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2">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2">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2">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2">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2">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2">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2">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2">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2">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2">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2">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2">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2">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2">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2">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2">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2">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2">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2">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2">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2">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2">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2">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2">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2">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2">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2">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2">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2">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2">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2">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2">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2">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2">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2">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2">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2">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2">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2">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2">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2">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2">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2">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2">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2">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2">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2">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2">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2">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2">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2">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2">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2">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2">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2">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2">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2">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2">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2">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2">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2">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2">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2">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2">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2">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2">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2">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2">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2">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2">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2">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2">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2">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2">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2">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2">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2">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2">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2">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2">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2">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2">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2">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2">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2">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2">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2">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2">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2">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2">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2">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2">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2">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2">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2">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2">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2">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2">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2">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2">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2">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2">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2">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2">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2">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2">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2">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2">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2">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2">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2">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2">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2">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2">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2">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2">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2">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2">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2">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2">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2">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2">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2">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2">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2">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2">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2">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2">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2">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2">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2">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2">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2">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2">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2">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2">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2">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2">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2">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2">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2">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2">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2">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2">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2">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2">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2">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2">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2">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2">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2">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2">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2">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2">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2">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2">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2">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2">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2">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2">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2">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2">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2">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2">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2">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2">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2">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2">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2">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2">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2">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2">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2">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2">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2">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2">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2">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2">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2">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2">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2">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2">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2">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2">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2">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2">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2">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2">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2">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2">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2">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2">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2">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2">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2">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2">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2">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2">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2">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2">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2">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2">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2">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2">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2">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2">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2">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2">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2">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2">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2">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2">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2">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2">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2">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2">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2">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2">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2">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2">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2">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2">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2">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2">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2">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2">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2">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2">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2">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2">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2">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2">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2">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2">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2">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2">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2">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2">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2">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2">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2">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2">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2">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2">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2">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2">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2">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2">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2">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2">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2">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2">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2">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2">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2">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2">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2">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2">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2">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2">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2">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2">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2">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2">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2">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2">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2">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2">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2">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2">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baseColWidth="10" defaultColWidth="11.1640625" defaultRowHeight="15" x14ac:dyDescent="0.2"/>
  <cols>
    <col min="1" max="1" width="2.5" customWidth="1"/>
    <col min="2" max="2" width="6.6640625" customWidth="1"/>
    <col min="3" max="3" width="41.6640625" bestFit="1" customWidth="1"/>
    <col min="4" max="4" width="28.33203125" bestFit="1" customWidth="1"/>
    <col min="5" max="5" width="31.5" bestFit="1" customWidth="1"/>
    <col min="6" max="6" width="25.5" bestFit="1" customWidth="1"/>
    <col min="7" max="7" width="30.6640625" bestFit="1" customWidth="1"/>
    <col min="8" max="8" width="31.6640625" customWidth="1"/>
    <col min="11" max="11" width="22" customWidth="1"/>
  </cols>
  <sheetData>
    <row r="2" spans="2:11" ht="26" customHeight="1" x14ac:dyDescent="0.2">
      <c r="B2" s="1103" t="s">
        <v>911</v>
      </c>
      <c r="C2" s="1104"/>
      <c r="D2" s="1104"/>
      <c r="E2" s="1104"/>
      <c r="F2" s="1105"/>
    </row>
    <row r="3" spans="2:11" x14ac:dyDescent="0.2">
      <c r="B3" s="96"/>
      <c r="J3" s="292"/>
      <c r="K3" s="86" t="s">
        <v>912</v>
      </c>
    </row>
    <row r="4" spans="2:11" x14ac:dyDescent="0.2">
      <c r="B4" s="96"/>
      <c r="J4" s="293"/>
      <c r="K4" s="86" t="s">
        <v>913</v>
      </c>
    </row>
    <row r="5" spans="2:11" ht="19" x14ac:dyDescent="0.2">
      <c r="B5" s="87" t="s">
        <v>126</v>
      </c>
      <c r="C5" s="119" t="s">
        <v>153</v>
      </c>
      <c r="D5" s="120" t="s">
        <v>203</v>
      </c>
      <c r="E5" s="120" t="s">
        <v>914</v>
      </c>
      <c r="F5" s="121" t="s">
        <v>915</v>
      </c>
      <c r="G5" s="122" t="s">
        <v>916</v>
      </c>
      <c r="H5" s="120" t="s">
        <v>917</v>
      </c>
    </row>
    <row r="6" spans="2:11" ht="16" x14ac:dyDescent="0.2">
      <c r="B6" s="1110">
        <v>1</v>
      </c>
      <c r="C6" s="1107" t="s">
        <v>918</v>
      </c>
      <c r="D6" s="123" t="s">
        <v>919</v>
      </c>
      <c r="E6" s="123"/>
      <c r="F6" s="124"/>
      <c r="G6" s="276"/>
      <c r="H6" s="182"/>
    </row>
    <row r="7" spans="2:11" ht="16" x14ac:dyDescent="0.2">
      <c r="B7" s="1111"/>
      <c r="C7" s="1108"/>
      <c r="D7" s="125"/>
      <c r="E7" s="125" t="s">
        <v>920</v>
      </c>
      <c r="F7" s="126" t="s">
        <v>921</v>
      </c>
      <c r="G7" s="273"/>
      <c r="H7" s="92"/>
    </row>
    <row r="8" spans="2:11" ht="16" x14ac:dyDescent="0.2">
      <c r="B8" s="1111"/>
      <c r="C8" s="1108"/>
      <c r="D8" s="125"/>
      <c r="E8" s="125"/>
      <c r="F8" s="126" t="s">
        <v>922</v>
      </c>
      <c r="G8" s="273"/>
      <c r="H8" s="99"/>
    </row>
    <row r="9" spans="2:11" ht="16" x14ac:dyDescent="0.2">
      <c r="B9" s="1111"/>
      <c r="C9" s="1108"/>
      <c r="D9" s="125"/>
      <c r="E9" s="125"/>
      <c r="F9" s="126" t="s">
        <v>923</v>
      </c>
      <c r="G9" s="273"/>
      <c r="H9" s="99"/>
    </row>
    <row r="10" spans="2:11" ht="16" x14ac:dyDescent="0.2">
      <c r="B10" s="1111"/>
      <c r="C10" s="1108"/>
      <c r="D10" s="125"/>
      <c r="E10" s="125"/>
      <c r="F10" s="126" t="s">
        <v>924</v>
      </c>
      <c r="G10" s="294"/>
      <c r="H10" s="99" t="s">
        <v>141</v>
      </c>
    </row>
    <row r="11" spans="2:11" ht="16" x14ac:dyDescent="0.2">
      <c r="B11" s="1111"/>
      <c r="C11" s="1108"/>
      <c r="D11" s="125"/>
      <c r="E11" s="125" t="s">
        <v>925</v>
      </c>
      <c r="F11" s="126"/>
      <c r="G11" s="273"/>
      <c r="H11" s="99"/>
    </row>
    <row r="12" spans="2:11" ht="16" x14ac:dyDescent="0.2">
      <c r="B12" s="1112"/>
      <c r="C12" s="1109"/>
      <c r="D12" s="127"/>
      <c r="E12" s="127" t="s">
        <v>926</v>
      </c>
      <c r="F12" s="133"/>
      <c r="G12" s="274"/>
      <c r="H12" s="173"/>
    </row>
    <row r="13" spans="2:11" ht="16" x14ac:dyDescent="0.2">
      <c r="B13" s="1111">
        <v>2</v>
      </c>
      <c r="C13" s="1107" t="s">
        <v>154</v>
      </c>
      <c r="D13" s="128" t="s">
        <v>927</v>
      </c>
      <c r="E13" s="128"/>
      <c r="F13" s="123" t="s">
        <v>928</v>
      </c>
      <c r="G13" s="277"/>
      <c r="H13" s="182"/>
    </row>
    <row r="14" spans="2:11" ht="16" x14ac:dyDescent="0.2">
      <c r="B14" s="1111"/>
      <c r="C14" s="1108"/>
      <c r="D14" s="129"/>
      <c r="E14" s="129" t="s">
        <v>929</v>
      </c>
      <c r="F14" s="125" t="s">
        <v>930</v>
      </c>
      <c r="G14" s="96"/>
      <c r="H14" s="99"/>
    </row>
    <row r="15" spans="2:11" ht="16" x14ac:dyDescent="0.2">
      <c r="B15" s="1111"/>
      <c r="C15" s="1108"/>
      <c r="D15" s="129"/>
      <c r="E15" s="129" t="s">
        <v>931</v>
      </c>
      <c r="F15" s="125" t="s">
        <v>932</v>
      </c>
      <c r="G15" s="295"/>
      <c r="H15" s="99"/>
    </row>
    <row r="16" spans="2:11" ht="16" x14ac:dyDescent="0.2">
      <c r="B16" s="1111"/>
      <c r="C16" s="1108"/>
      <c r="D16" s="129"/>
      <c r="E16" s="129" t="s">
        <v>933</v>
      </c>
      <c r="F16" s="125" t="s">
        <v>934</v>
      </c>
      <c r="G16" s="96"/>
      <c r="H16" s="99"/>
    </row>
    <row r="17" spans="2:8" ht="16" x14ac:dyDescent="0.2">
      <c r="B17" s="1111"/>
      <c r="C17" s="1108"/>
      <c r="D17" s="129"/>
      <c r="E17" s="129" t="s">
        <v>935</v>
      </c>
      <c r="F17" s="125" t="s">
        <v>936</v>
      </c>
      <c r="G17" s="96"/>
      <c r="H17" s="99"/>
    </row>
    <row r="18" spans="2:8" ht="16" x14ac:dyDescent="0.2">
      <c r="B18" s="1111"/>
      <c r="C18" s="1108"/>
      <c r="D18" s="129"/>
      <c r="E18" s="129" t="s">
        <v>937</v>
      </c>
      <c r="F18" s="125" t="s">
        <v>938</v>
      </c>
      <c r="G18" s="96"/>
      <c r="H18" s="99"/>
    </row>
    <row r="19" spans="2:8" ht="16" x14ac:dyDescent="0.2">
      <c r="B19" s="1111"/>
      <c r="C19" s="1108"/>
      <c r="D19" s="129"/>
      <c r="E19" s="129" t="s">
        <v>939</v>
      </c>
      <c r="F19" s="125" t="s">
        <v>940</v>
      </c>
      <c r="G19" s="96"/>
      <c r="H19" s="99"/>
    </row>
    <row r="20" spans="2:8" ht="16" x14ac:dyDescent="0.2">
      <c r="B20" s="1111"/>
      <c r="C20" s="1108"/>
      <c r="D20" s="129"/>
      <c r="E20" s="129"/>
      <c r="F20" s="125" t="s">
        <v>941</v>
      </c>
      <c r="G20" s="96"/>
      <c r="H20" s="99"/>
    </row>
    <row r="21" spans="2:8" ht="16" x14ac:dyDescent="0.2">
      <c r="B21" s="1111"/>
      <c r="C21" s="1108"/>
      <c r="D21" s="129"/>
      <c r="E21" s="129"/>
      <c r="F21" s="125" t="s">
        <v>942</v>
      </c>
      <c r="G21" s="96"/>
      <c r="H21" s="99"/>
    </row>
    <row r="22" spans="2:8" ht="16" x14ac:dyDescent="0.2">
      <c r="B22" s="1111"/>
      <c r="C22" s="1108"/>
      <c r="D22" s="129" t="s">
        <v>943</v>
      </c>
      <c r="E22" s="129"/>
      <c r="F22" s="125"/>
      <c r="G22" s="96"/>
      <c r="H22" s="99"/>
    </row>
    <row r="23" spans="2:8" ht="16" x14ac:dyDescent="0.2">
      <c r="B23" s="1111"/>
      <c r="C23" s="1108"/>
      <c r="D23" s="129"/>
      <c r="E23" s="129" t="s">
        <v>944</v>
      </c>
      <c r="F23" s="125"/>
      <c r="G23" s="96"/>
      <c r="H23" s="99"/>
    </row>
    <row r="24" spans="2:8" ht="16" x14ac:dyDescent="0.2">
      <c r="B24" s="1111"/>
      <c r="C24" s="1108"/>
      <c r="D24" s="129"/>
      <c r="E24" s="129" t="s">
        <v>945</v>
      </c>
      <c r="F24" s="125"/>
      <c r="G24" s="96"/>
      <c r="H24" s="99"/>
    </row>
    <row r="25" spans="2:8" ht="16" x14ac:dyDescent="0.2">
      <c r="B25" s="1111"/>
      <c r="C25" s="1108"/>
      <c r="D25" s="129"/>
      <c r="E25" s="129" t="s">
        <v>946</v>
      </c>
      <c r="F25" s="125" t="s">
        <v>947</v>
      </c>
      <c r="G25" s="96"/>
      <c r="H25" s="99"/>
    </row>
    <row r="26" spans="2:8" ht="16" x14ac:dyDescent="0.2">
      <c r="B26" s="1111"/>
      <c r="C26" s="1108"/>
      <c r="D26" s="129"/>
      <c r="E26" s="129"/>
      <c r="F26" s="125" t="s">
        <v>948</v>
      </c>
      <c r="G26" s="96"/>
      <c r="H26" s="99"/>
    </row>
    <row r="27" spans="2:8" ht="16" x14ac:dyDescent="0.2">
      <c r="B27" s="1112"/>
      <c r="C27" s="1109"/>
      <c r="D27" s="130"/>
      <c r="E27" s="130" t="s">
        <v>949</v>
      </c>
      <c r="F27" s="127"/>
      <c r="G27" s="275"/>
      <c r="H27" s="173"/>
    </row>
    <row r="28" spans="2:8" ht="16" x14ac:dyDescent="0.2">
      <c r="B28" s="1110">
        <v>3</v>
      </c>
      <c r="C28" s="911" t="s">
        <v>535</v>
      </c>
      <c r="D28" s="123" t="s">
        <v>367</v>
      </c>
      <c r="E28" s="123"/>
      <c r="F28" s="124"/>
      <c r="G28" s="276"/>
      <c r="H28" s="182"/>
    </row>
    <row r="29" spans="2:8" ht="16" x14ac:dyDescent="0.2">
      <c r="B29" s="1111"/>
      <c r="C29" s="1106"/>
      <c r="D29" s="125"/>
      <c r="E29" s="125" t="s">
        <v>950</v>
      </c>
      <c r="F29" s="126" t="s">
        <v>951</v>
      </c>
      <c r="G29" s="273"/>
      <c r="H29" s="99"/>
    </row>
    <row r="30" spans="2:8" ht="16" x14ac:dyDescent="0.2">
      <c r="B30" s="1111"/>
      <c r="C30" s="1106"/>
      <c r="D30" s="125"/>
      <c r="E30" s="125" t="s">
        <v>952</v>
      </c>
      <c r="F30" s="126" t="s">
        <v>953</v>
      </c>
      <c r="G30" s="273"/>
      <c r="H30" s="99"/>
    </row>
    <row r="31" spans="2:8" ht="16" x14ac:dyDescent="0.2">
      <c r="B31" s="1111"/>
      <c r="C31" s="1106"/>
      <c r="D31" s="125"/>
      <c r="E31" s="125" t="s">
        <v>954</v>
      </c>
      <c r="F31" s="126" t="s">
        <v>955</v>
      </c>
      <c r="G31" s="273"/>
      <c r="H31" s="99"/>
    </row>
    <row r="32" spans="2:8" ht="16" x14ac:dyDescent="0.2">
      <c r="B32" s="1111"/>
      <c r="C32" s="1106"/>
      <c r="D32" s="125"/>
      <c r="E32" s="125" t="s">
        <v>956</v>
      </c>
      <c r="F32" s="126"/>
      <c r="G32" s="273"/>
      <c r="H32" s="99"/>
    </row>
    <row r="33" spans="2:8" ht="16" x14ac:dyDescent="0.2">
      <c r="B33" s="1111"/>
      <c r="C33" s="1106"/>
      <c r="D33" s="125" t="s">
        <v>957</v>
      </c>
      <c r="E33" s="125" t="s">
        <v>73</v>
      </c>
      <c r="F33" s="126"/>
      <c r="G33" s="273"/>
      <c r="H33" s="99"/>
    </row>
    <row r="34" spans="2:8" ht="16" x14ac:dyDescent="0.2">
      <c r="B34" s="1111"/>
      <c r="C34" s="1106"/>
      <c r="D34" s="125"/>
      <c r="E34" s="125" t="s">
        <v>958</v>
      </c>
      <c r="F34" s="126" t="s">
        <v>959</v>
      </c>
      <c r="G34" s="273"/>
      <c r="H34" s="99"/>
    </row>
    <row r="35" spans="2:8" ht="16" x14ac:dyDescent="0.2">
      <c r="B35" s="1111"/>
      <c r="C35" s="1106"/>
      <c r="D35" s="125"/>
      <c r="E35" s="125"/>
      <c r="F35" s="126" t="s">
        <v>960</v>
      </c>
      <c r="G35" s="273"/>
      <c r="H35" s="99"/>
    </row>
    <row r="36" spans="2:8" ht="16" x14ac:dyDescent="0.2">
      <c r="B36" s="1111"/>
      <c r="C36" s="1106"/>
      <c r="D36" s="125"/>
      <c r="E36" s="125" t="s">
        <v>961</v>
      </c>
      <c r="F36" s="126" t="s">
        <v>962</v>
      </c>
      <c r="G36" s="273"/>
      <c r="H36" s="99"/>
    </row>
    <row r="37" spans="2:8" ht="16" x14ac:dyDescent="0.2">
      <c r="B37" s="1111"/>
      <c r="C37" s="1106"/>
      <c r="D37" s="125" t="s">
        <v>963</v>
      </c>
      <c r="E37" s="125" t="s">
        <v>544</v>
      </c>
      <c r="F37" s="126"/>
      <c r="G37" s="273"/>
      <c r="H37" s="99"/>
    </row>
    <row r="38" spans="2:8" ht="16" x14ac:dyDescent="0.2">
      <c r="B38" s="1111"/>
      <c r="C38" s="1106"/>
      <c r="D38" s="125"/>
      <c r="E38" s="125" t="s">
        <v>964</v>
      </c>
      <c r="F38" s="126"/>
      <c r="G38" s="273"/>
      <c r="H38" s="99"/>
    </row>
    <row r="39" spans="2:8" ht="16" x14ac:dyDescent="0.2">
      <c r="B39" s="1111"/>
      <c r="C39" s="1106"/>
      <c r="D39" s="125" t="s">
        <v>965</v>
      </c>
      <c r="E39" s="125" t="s">
        <v>966</v>
      </c>
      <c r="F39" s="126"/>
      <c r="G39" s="273"/>
      <c r="H39" s="99"/>
    </row>
    <row r="40" spans="2:8" ht="16" x14ac:dyDescent="0.2">
      <c r="B40" s="1111"/>
      <c r="C40" s="1106"/>
      <c r="D40" s="125" t="s">
        <v>967</v>
      </c>
      <c r="E40" s="125"/>
      <c r="F40" s="126"/>
      <c r="G40" s="273"/>
      <c r="H40" s="99"/>
    </row>
    <row r="41" spans="2:8" ht="16" x14ac:dyDescent="0.2">
      <c r="B41" s="1111"/>
      <c r="C41" s="1106"/>
      <c r="D41" s="125"/>
      <c r="E41" s="125" t="s">
        <v>968</v>
      </c>
      <c r="F41" s="126"/>
      <c r="G41" s="273"/>
      <c r="H41" s="99"/>
    </row>
    <row r="42" spans="2:8" ht="16" x14ac:dyDescent="0.2">
      <c r="B42" s="1111"/>
      <c r="C42" s="1106"/>
      <c r="D42" s="125"/>
      <c r="E42" s="125" t="s">
        <v>969</v>
      </c>
      <c r="F42" s="126"/>
      <c r="G42" s="273"/>
      <c r="H42" s="99"/>
    </row>
    <row r="43" spans="2:8" ht="16" x14ac:dyDescent="0.2">
      <c r="B43" s="1111"/>
      <c r="C43" s="1106"/>
      <c r="D43" s="125" t="s">
        <v>970</v>
      </c>
      <c r="E43" s="125"/>
      <c r="F43" s="126"/>
      <c r="G43" s="273"/>
      <c r="H43" s="99"/>
    </row>
    <row r="44" spans="2:8" ht="16" x14ac:dyDescent="0.2">
      <c r="B44" s="1111"/>
      <c r="C44" s="1106"/>
      <c r="D44" s="125" t="s">
        <v>971</v>
      </c>
      <c r="E44" s="125"/>
      <c r="F44" s="126"/>
      <c r="G44" s="273"/>
      <c r="H44" s="99"/>
    </row>
    <row r="45" spans="2:8" ht="16" x14ac:dyDescent="0.2">
      <c r="B45" s="1111"/>
      <c r="C45" s="1106"/>
      <c r="D45" s="125" t="s">
        <v>972</v>
      </c>
      <c r="E45" s="125"/>
      <c r="F45" s="126"/>
      <c r="G45" s="273"/>
      <c r="H45" s="99"/>
    </row>
    <row r="46" spans="2:8" ht="16" x14ac:dyDescent="0.2">
      <c r="B46" s="1111"/>
      <c r="C46" s="1106"/>
      <c r="D46" s="125"/>
      <c r="E46" s="125" t="s">
        <v>973</v>
      </c>
      <c r="F46" s="126"/>
      <c r="G46" s="273"/>
      <c r="H46" s="99"/>
    </row>
    <row r="47" spans="2:8" ht="16" x14ac:dyDescent="0.2">
      <c r="B47" s="1111"/>
      <c r="C47" s="1106"/>
      <c r="D47" s="125"/>
      <c r="E47" s="125" t="s">
        <v>974</v>
      </c>
      <c r="F47" s="126"/>
      <c r="G47" s="273"/>
      <c r="H47" s="99"/>
    </row>
    <row r="48" spans="2:8" ht="16" x14ac:dyDescent="0.2">
      <c r="B48" s="1111"/>
      <c r="C48" s="1106"/>
      <c r="D48" s="125" t="s">
        <v>975</v>
      </c>
      <c r="E48" s="125"/>
      <c r="F48" s="126"/>
      <c r="G48" s="273"/>
      <c r="H48" s="99"/>
    </row>
    <row r="49" spans="2:8" ht="16" x14ac:dyDescent="0.2">
      <c r="B49" s="1111"/>
      <c r="C49" s="1106"/>
      <c r="D49" s="131"/>
      <c r="E49" s="125" t="s">
        <v>976</v>
      </c>
      <c r="F49" s="126"/>
      <c r="G49" s="273"/>
      <c r="H49" s="99"/>
    </row>
    <row r="50" spans="2:8" ht="16" x14ac:dyDescent="0.2">
      <c r="B50" s="1111"/>
      <c r="C50" s="1106"/>
      <c r="D50" s="131"/>
      <c r="E50" s="125" t="s">
        <v>977</v>
      </c>
      <c r="F50" s="126"/>
      <c r="G50" s="273"/>
      <c r="H50" s="99"/>
    </row>
    <row r="51" spans="2:8" ht="16" x14ac:dyDescent="0.2">
      <c r="B51" s="1112"/>
      <c r="C51" s="912"/>
      <c r="D51" s="290"/>
      <c r="E51" s="127" t="s">
        <v>978</v>
      </c>
      <c r="F51" s="133"/>
      <c r="G51" s="274"/>
      <c r="H51" s="173"/>
    </row>
    <row r="52" spans="2:8" ht="16" x14ac:dyDescent="0.2">
      <c r="B52" s="1110">
        <v>4</v>
      </c>
      <c r="C52" s="1113" t="s">
        <v>398</v>
      </c>
      <c r="D52" s="123" t="s">
        <v>979</v>
      </c>
      <c r="E52" s="128"/>
      <c r="F52" s="123"/>
      <c r="G52" s="276"/>
      <c r="H52" s="182"/>
    </row>
    <row r="53" spans="2:8" ht="16" x14ac:dyDescent="0.2">
      <c r="B53" s="1111"/>
      <c r="C53" s="1114"/>
      <c r="D53" s="125"/>
      <c r="E53" s="129" t="s">
        <v>980</v>
      </c>
      <c r="F53" s="125" t="s">
        <v>981</v>
      </c>
      <c r="G53" s="273"/>
      <c r="H53" s="99"/>
    </row>
    <row r="54" spans="2:8" ht="16" x14ac:dyDescent="0.2">
      <c r="B54" s="1111"/>
      <c r="C54" s="1114"/>
      <c r="D54" s="125"/>
      <c r="E54" s="129" t="s">
        <v>982</v>
      </c>
      <c r="F54" s="125" t="s">
        <v>983</v>
      </c>
      <c r="G54" s="273"/>
      <c r="H54" s="99"/>
    </row>
    <row r="55" spans="2:8" ht="16" x14ac:dyDescent="0.2">
      <c r="B55" s="1111"/>
      <c r="C55" s="1114"/>
      <c r="D55" s="125"/>
      <c r="E55" s="129" t="s">
        <v>984</v>
      </c>
      <c r="F55" s="125"/>
      <c r="G55" s="273"/>
      <c r="H55" s="99"/>
    </row>
    <row r="56" spans="2:8" ht="16" x14ac:dyDescent="0.2">
      <c r="B56" s="1111"/>
      <c r="C56" s="1114"/>
      <c r="D56" s="125" t="s">
        <v>985</v>
      </c>
      <c r="E56" s="129"/>
      <c r="F56" s="125"/>
      <c r="G56" s="273"/>
      <c r="H56" s="99"/>
    </row>
    <row r="57" spans="2:8" ht="16" x14ac:dyDescent="0.2">
      <c r="B57" s="1111"/>
      <c r="C57" s="1114"/>
      <c r="D57" s="125"/>
      <c r="E57" s="129" t="s">
        <v>980</v>
      </c>
      <c r="F57" s="125"/>
      <c r="G57" s="273"/>
      <c r="H57" s="99"/>
    </row>
    <row r="58" spans="2:8" ht="16" x14ac:dyDescent="0.2">
      <c r="B58" s="1111"/>
      <c r="C58" s="1114"/>
      <c r="D58" s="125" t="s">
        <v>986</v>
      </c>
      <c r="E58" s="291"/>
      <c r="F58" s="125"/>
      <c r="G58" s="273"/>
      <c r="H58" s="99"/>
    </row>
    <row r="59" spans="2:8" ht="16" x14ac:dyDescent="0.2">
      <c r="B59" s="1111"/>
      <c r="C59" s="1114"/>
      <c r="D59" s="125"/>
      <c r="E59" s="129" t="s">
        <v>987</v>
      </c>
      <c r="F59" s="125" t="s">
        <v>988</v>
      </c>
      <c r="G59" s="273"/>
      <c r="H59" s="99"/>
    </row>
    <row r="60" spans="2:8" ht="16" x14ac:dyDescent="0.2">
      <c r="B60" s="1111"/>
      <c r="C60" s="1114"/>
      <c r="D60" s="125"/>
      <c r="E60" s="129" t="s">
        <v>989</v>
      </c>
      <c r="F60" s="125" t="s">
        <v>860</v>
      </c>
      <c r="G60" s="273"/>
      <c r="H60" s="99"/>
    </row>
    <row r="61" spans="2:8" ht="16" x14ac:dyDescent="0.2">
      <c r="B61" s="1111"/>
      <c r="C61" s="1114"/>
      <c r="D61" s="125"/>
      <c r="E61" s="129" t="s">
        <v>990</v>
      </c>
      <c r="F61" s="125" t="s">
        <v>991</v>
      </c>
      <c r="G61" s="273"/>
      <c r="H61" s="99"/>
    </row>
    <row r="62" spans="2:8" ht="16" x14ac:dyDescent="0.2">
      <c r="B62" s="1111"/>
      <c r="C62" s="1114"/>
      <c r="D62" s="125" t="s">
        <v>992</v>
      </c>
      <c r="E62" s="129"/>
      <c r="F62" s="125"/>
      <c r="G62" s="273"/>
      <c r="H62" s="99"/>
    </row>
    <row r="63" spans="2:8" ht="16" x14ac:dyDescent="0.2">
      <c r="B63" s="1112"/>
      <c r="C63" s="1115"/>
      <c r="D63" s="127"/>
      <c r="E63" s="130"/>
      <c r="F63" s="127"/>
      <c r="G63" s="274"/>
      <c r="H63" s="173"/>
    </row>
    <row r="64" spans="2:8" ht="16" x14ac:dyDescent="0.2">
      <c r="B64" s="1110">
        <v>5</v>
      </c>
      <c r="C64" s="1107" t="s">
        <v>282</v>
      </c>
      <c r="D64" s="123" t="s">
        <v>993</v>
      </c>
      <c r="E64" s="123"/>
      <c r="F64" s="124"/>
      <c r="G64" s="276"/>
      <c r="H64" s="182"/>
    </row>
    <row r="65" spans="2:8" ht="16" x14ac:dyDescent="0.2">
      <c r="B65" s="1111"/>
      <c r="C65" s="1108"/>
      <c r="D65" s="125"/>
      <c r="E65" s="125" t="s">
        <v>994</v>
      </c>
      <c r="F65" s="126" t="s">
        <v>983</v>
      </c>
      <c r="G65" s="273"/>
      <c r="H65" s="99"/>
    </row>
    <row r="66" spans="2:8" ht="16" x14ac:dyDescent="0.2">
      <c r="B66" s="1111"/>
      <c r="C66" s="1108"/>
      <c r="D66" s="125"/>
      <c r="E66" s="125"/>
      <c r="F66" s="126" t="s">
        <v>995</v>
      </c>
      <c r="G66" s="273"/>
      <c r="H66" s="99"/>
    </row>
    <row r="67" spans="2:8" ht="16" x14ac:dyDescent="0.2">
      <c r="B67" s="1111"/>
      <c r="C67" s="1108"/>
      <c r="D67" s="125"/>
      <c r="E67" s="125" t="s">
        <v>996</v>
      </c>
      <c r="F67" s="131" t="s">
        <v>997</v>
      </c>
      <c r="G67" s="273"/>
      <c r="H67" s="99"/>
    </row>
    <row r="68" spans="2:8" ht="16" x14ac:dyDescent="0.2">
      <c r="B68" s="1111"/>
      <c r="C68" s="1108"/>
      <c r="D68" s="125"/>
      <c r="E68" s="125"/>
      <c r="F68" s="126" t="s">
        <v>177</v>
      </c>
      <c r="G68" s="273"/>
      <c r="H68" s="99"/>
    </row>
    <row r="69" spans="2:8" ht="16" x14ac:dyDescent="0.2">
      <c r="B69" s="1111"/>
      <c r="C69" s="1108"/>
      <c r="D69" s="125"/>
      <c r="E69" s="125" t="s">
        <v>998</v>
      </c>
      <c r="F69" s="126"/>
      <c r="G69" s="273"/>
      <c r="H69" s="99"/>
    </row>
    <row r="70" spans="2:8" ht="16" x14ac:dyDescent="0.2">
      <c r="B70" s="1111"/>
      <c r="C70" s="1108"/>
      <c r="D70" s="125" t="s">
        <v>999</v>
      </c>
      <c r="E70" s="125"/>
      <c r="F70" s="126"/>
      <c r="G70" s="273"/>
      <c r="H70" s="99"/>
    </row>
    <row r="71" spans="2:8" ht="16" x14ac:dyDescent="0.2">
      <c r="B71" s="1111"/>
      <c r="C71" s="1108"/>
      <c r="D71" s="125"/>
      <c r="E71" s="125" t="s">
        <v>926</v>
      </c>
      <c r="F71" s="126"/>
      <c r="G71" s="273"/>
      <c r="H71" s="99"/>
    </row>
    <row r="72" spans="2:8" ht="16" x14ac:dyDescent="0.2">
      <c r="B72" s="1111"/>
      <c r="C72" s="1108"/>
      <c r="D72" s="125" t="s">
        <v>1000</v>
      </c>
      <c r="E72" s="125"/>
      <c r="F72" s="126"/>
      <c r="G72" s="273"/>
      <c r="H72" s="99"/>
    </row>
    <row r="73" spans="2:8" ht="16" x14ac:dyDescent="0.2">
      <c r="B73" s="1111"/>
      <c r="C73" s="1108"/>
      <c r="D73" s="125"/>
      <c r="E73" s="125" t="s">
        <v>1001</v>
      </c>
      <c r="F73" s="126" t="s">
        <v>947</v>
      </c>
      <c r="G73" s="273"/>
      <c r="H73" s="99"/>
    </row>
    <row r="74" spans="2:8" ht="16" x14ac:dyDescent="0.2">
      <c r="B74" s="1111"/>
      <c r="C74" s="1108"/>
      <c r="D74" s="125"/>
      <c r="E74" s="125" t="s">
        <v>1002</v>
      </c>
      <c r="F74" s="126" t="s">
        <v>1003</v>
      </c>
      <c r="G74" s="273"/>
      <c r="H74" s="99"/>
    </row>
    <row r="75" spans="2:8" ht="16" x14ac:dyDescent="0.2">
      <c r="B75" s="1111"/>
      <c r="C75" s="1108"/>
      <c r="D75" s="125" t="s">
        <v>1004</v>
      </c>
      <c r="E75" s="125"/>
      <c r="F75" s="126"/>
      <c r="G75" s="273"/>
      <c r="H75" s="99"/>
    </row>
    <row r="76" spans="2:8" ht="16" x14ac:dyDescent="0.2">
      <c r="B76" s="1111"/>
      <c r="C76" s="1108"/>
      <c r="D76" s="125"/>
      <c r="E76" s="125" t="s">
        <v>1005</v>
      </c>
      <c r="F76" s="126"/>
      <c r="G76" s="273"/>
      <c r="H76" s="99"/>
    </row>
    <row r="77" spans="2:8" ht="16" x14ac:dyDescent="0.2">
      <c r="B77" s="1111"/>
      <c r="C77" s="1108"/>
      <c r="D77" s="125"/>
      <c r="E77" s="132"/>
      <c r="F77" s="126" t="s">
        <v>1006</v>
      </c>
      <c r="G77" s="273"/>
      <c r="H77" s="99"/>
    </row>
    <row r="78" spans="2:8" ht="16" x14ac:dyDescent="0.2">
      <c r="B78" s="1111"/>
      <c r="C78" s="1108"/>
      <c r="D78" s="125"/>
      <c r="E78" s="132"/>
      <c r="F78" s="126" t="s">
        <v>1007</v>
      </c>
      <c r="G78" s="273"/>
      <c r="H78" s="99"/>
    </row>
    <row r="79" spans="2:8" ht="16" x14ac:dyDescent="0.2">
      <c r="B79" s="1111"/>
      <c r="C79" s="1108"/>
      <c r="D79" s="125"/>
      <c r="E79" s="125" t="s">
        <v>1008</v>
      </c>
      <c r="F79" s="126"/>
      <c r="G79" s="273"/>
      <c r="H79" s="99"/>
    </row>
    <row r="80" spans="2:8" ht="16" x14ac:dyDescent="0.2">
      <c r="B80" s="1111"/>
      <c r="C80" s="1108"/>
      <c r="D80" s="125"/>
      <c r="E80" s="125"/>
      <c r="F80" s="126"/>
      <c r="G80" s="273"/>
      <c r="H80" s="99"/>
    </row>
    <row r="81" spans="2:8" ht="16" x14ac:dyDescent="0.2">
      <c r="B81" s="1111"/>
      <c r="C81" s="1108"/>
      <c r="D81" s="125"/>
      <c r="E81" s="125"/>
      <c r="F81" s="126"/>
      <c r="G81" s="273"/>
      <c r="H81" s="99"/>
    </row>
    <row r="82" spans="2:8" ht="16" x14ac:dyDescent="0.2">
      <c r="B82" s="1111"/>
      <c r="C82" s="1108"/>
      <c r="D82" s="125"/>
      <c r="E82" s="125"/>
      <c r="F82" s="126"/>
      <c r="G82" s="273"/>
      <c r="H82" s="99"/>
    </row>
    <row r="83" spans="2:8" ht="16" x14ac:dyDescent="0.2">
      <c r="B83" s="1112"/>
      <c r="C83" s="1109"/>
      <c r="D83" s="127"/>
      <c r="E83" s="127"/>
      <c r="F83" s="133"/>
      <c r="G83" s="274"/>
      <c r="H83" s="173"/>
    </row>
    <row r="84" spans="2:8" ht="16" x14ac:dyDescent="0.2">
      <c r="B84" s="1110">
        <v>6</v>
      </c>
      <c r="C84" s="911" t="s">
        <v>330</v>
      </c>
      <c r="D84" s="123" t="s">
        <v>1009</v>
      </c>
      <c r="E84" s="123"/>
      <c r="F84" s="124"/>
      <c r="G84" s="276"/>
      <c r="H84" s="182"/>
    </row>
    <row r="85" spans="2:8" ht="16" x14ac:dyDescent="0.2">
      <c r="B85" s="1111"/>
      <c r="C85" s="1106"/>
      <c r="D85" s="125"/>
      <c r="E85" s="125" t="s">
        <v>1010</v>
      </c>
      <c r="F85" s="126" t="s">
        <v>1011</v>
      </c>
      <c r="G85" s="273"/>
      <c r="H85" s="99"/>
    </row>
    <row r="86" spans="2:8" ht="16" x14ac:dyDescent="0.2">
      <c r="B86" s="1111"/>
      <c r="C86" s="1106"/>
      <c r="D86" s="125"/>
      <c r="E86" s="125"/>
      <c r="F86" s="126" t="s">
        <v>1012</v>
      </c>
      <c r="G86" s="273"/>
      <c r="H86" s="99"/>
    </row>
    <row r="87" spans="2:8" ht="16" x14ac:dyDescent="0.2">
      <c r="B87" s="1111"/>
      <c r="C87" s="1106"/>
      <c r="D87" s="125" t="s">
        <v>1013</v>
      </c>
      <c r="E87" s="125"/>
      <c r="F87" s="126"/>
      <c r="G87" s="273"/>
      <c r="H87" s="99"/>
    </row>
    <row r="88" spans="2:8" ht="16" x14ac:dyDescent="0.2">
      <c r="B88" s="1111"/>
      <c r="C88" s="1106"/>
      <c r="D88" s="125"/>
      <c r="E88" s="125" t="s">
        <v>1014</v>
      </c>
      <c r="F88" s="126"/>
      <c r="G88" s="273"/>
      <c r="H88" s="99"/>
    </row>
    <row r="89" spans="2:8" ht="16" x14ac:dyDescent="0.2">
      <c r="B89" s="1111"/>
      <c r="C89" s="1106"/>
      <c r="D89" s="125"/>
      <c r="E89" s="125" t="s">
        <v>1015</v>
      </c>
      <c r="F89" s="126"/>
      <c r="G89" s="273"/>
      <c r="H89" s="99"/>
    </row>
    <row r="90" spans="2:8" ht="16" x14ac:dyDescent="0.2">
      <c r="B90" s="1111"/>
      <c r="C90" s="1106"/>
      <c r="D90" s="125"/>
      <c r="E90" s="125" t="s">
        <v>1016</v>
      </c>
      <c r="F90" s="126"/>
      <c r="G90" s="273"/>
      <c r="H90" s="99"/>
    </row>
    <row r="91" spans="2:8" ht="16" x14ac:dyDescent="0.2">
      <c r="B91" s="1111"/>
      <c r="C91" s="1106"/>
      <c r="D91" s="125"/>
      <c r="E91" s="125"/>
      <c r="F91" s="126" t="s">
        <v>1017</v>
      </c>
      <c r="G91" s="273"/>
      <c r="H91" s="99"/>
    </row>
    <row r="92" spans="2:8" ht="16" x14ac:dyDescent="0.2">
      <c r="B92" s="1111"/>
      <c r="C92" s="1106"/>
      <c r="D92" s="125" t="s">
        <v>1018</v>
      </c>
      <c r="E92" s="125"/>
      <c r="F92" s="126"/>
      <c r="G92" s="273"/>
      <c r="H92" s="99"/>
    </row>
    <row r="93" spans="2:8" ht="16" x14ac:dyDescent="0.2">
      <c r="B93" s="1111"/>
      <c r="C93" s="1106"/>
      <c r="D93" s="125"/>
      <c r="E93" s="125" t="s">
        <v>1019</v>
      </c>
      <c r="F93" s="126" t="s">
        <v>1020</v>
      </c>
      <c r="G93" s="273"/>
      <c r="H93" s="99"/>
    </row>
    <row r="94" spans="2:8" ht="16" x14ac:dyDescent="0.2">
      <c r="B94" s="1111"/>
      <c r="C94" s="1106"/>
      <c r="D94" s="125"/>
      <c r="E94" s="125"/>
      <c r="F94" s="126" t="s">
        <v>1021</v>
      </c>
      <c r="G94" s="273"/>
      <c r="H94" s="99"/>
    </row>
    <row r="95" spans="2:8" ht="16" x14ac:dyDescent="0.2">
      <c r="B95" s="1111"/>
      <c r="C95" s="1106"/>
      <c r="D95" s="125" t="s">
        <v>1022</v>
      </c>
      <c r="E95" s="125"/>
      <c r="F95" s="126"/>
      <c r="G95" s="273"/>
      <c r="H95" s="99"/>
    </row>
    <row r="96" spans="2:8" ht="16" x14ac:dyDescent="0.2">
      <c r="B96" s="1111"/>
      <c r="C96" s="1106"/>
      <c r="D96" s="125"/>
      <c r="E96" s="125" t="s">
        <v>1023</v>
      </c>
      <c r="F96" s="126" t="s">
        <v>1024</v>
      </c>
      <c r="G96" s="273"/>
      <c r="H96" s="99"/>
    </row>
    <row r="97" spans="2:8" ht="16" x14ac:dyDescent="0.2">
      <c r="B97" s="1111"/>
      <c r="C97" s="1106"/>
      <c r="D97" s="125"/>
      <c r="E97" s="125" t="s">
        <v>1025</v>
      </c>
      <c r="F97" s="126" t="s">
        <v>1026</v>
      </c>
      <c r="G97" s="273"/>
      <c r="H97" s="99"/>
    </row>
    <row r="98" spans="2:8" ht="16" x14ac:dyDescent="0.2">
      <c r="B98" s="1111"/>
      <c r="C98" s="1106"/>
      <c r="D98" s="125"/>
      <c r="E98" s="125"/>
      <c r="F98" s="126" t="s">
        <v>1027</v>
      </c>
      <c r="G98" s="273"/>
      <c r="H98" s="99"/>
    </row>
    <row r="99" spans="2:8" ht="16" x14ac:dyDescent="0.2">
      <c r="B99" s="1112"/>
      <c r="C99" s="912"/>
      <c r="D99" s="127"/>
      <c r="E99" s="127" t="s">
        <v>1028</v>
      </c>
      <c r="F99" s="133"/>
      <c r="G99" s="274"/>
      <c r="H99" s="173"/>
    </row>
    <row r="100" spans="2:8" ht="16" x14ac:dyDescent="0.2">
      <c r="B100" s="924">
        <v>7</v>
      </c>
      <c r="C100" s="1106" t="s">
        <v>1029</v>
      </c>
      <c r="D100" s="125"/>
      <c r="E100" s="125"/>
      <c r="F100" s="126"/>
      <c r="G100" s="273"/>
      <c r="H100" s="99"/>
    </row>
    <row r="101" spans="2:8" ht="16" x14ac:dyDescent="0.2">
      <c r="B101" s="1084"/>
      <c r="C101" s="1106"/>
      <c r="D101" s="125" t="s">
        <v>1030</v>
      </c>
      <c r="E101" s="125" t="s">
        <v>1031</v>
      </c>
      <c r="F101" s="126"/>
      <c r="G101" s="273"/>
      <c r="H101" s="99"/>
    </row>
    <row r="102" spans="2:8" ht="16" x14ac:dyDescent="0.2">
      <c r="B102" s="1084"/>
      <c r="C102" s="1106"/>
      <c r="D102" s="125"/>
      <c r="E102" s="125" t="s">
        <v>1032</v>
      </c>
      <c r="F102" s="126" t="s">
        <v>1033</v>
      </c>
      <c r="G102" s="273"/>
      <c r="H102" s="99"/>
    </row>
    <row r="103" spans="2:8" ht="16" x14ac:dyDescent="0.2">
      <c r="B103" s="1084"/>
      <c r="C103" s="1106"/>
      <c r="D103" s="125" t="s">
        <v>1034</v>
      </c>
      <c r="E103" s="125"/>
      <c r="F103" s="126"/>
      <c r="G103" s="273"/>
      <c r="H103" s="99"/>
    </row>
    <row r="104" spans="2:8" ht="16" x14ac:dyDescent="0.2">
      <c r="B104" s="1084"/>
      <c r="C104" s="1106"/>
      <c r="D104" s="125"/>
      <c r="E104" s="125" t="s">
        <v>1035</v>
      </c>
      <c r="F104" s="126" t="s">
        <v>1036</v>
      </c>
      <c r="G104" s="273"/>
      <c r="H104" s="99"/>
    </row>
    <row r="105" spans="2:8" ht="16" x14ac:dyDescent="0.2">
      <c r="B105" s="1084"/>
      <c r="C105" s="1106"/>
      <c r="D105" s="125"/>
      <c r="E105" s="125" t="s">
        <v>1037</v>
      </c>
      <c r="F105" s="126" t="s">
        <v>1038</v>
      </c>
      <c r="G105" s="273"/>
      <c r="H105" s="99"/>
    </row>
    <row r="106" spans="2:8" ht="16" x14ac:dyDescent="0.2">
      <c r="B106" s="1084"/>
      <c r="C106" s="1106"/>
      <c r="D106" s="125"/>
      <c r="E106" s="125" t="s">
        <v>1039</v>
      </c>
      <c r="F106" s="126"/>
      <c r="G106" s="273"/>
      <c r="H106" s="99"/>
    </row>
    <row r="107" spans="2:8" ht="16" x14ac:dyDescent="0.2">
      <c r="B107" s="1084"/>
      <c r="C107" s="1106"/>
      <c r="D107" s="125" t="s">
        <v>1040</v>
      </c>
      <c r="E107" s="125"/>
      <c r="F107" s="126"/>
      <c r="G107" s="273"/>
      <c r="H107" s="99"/>
    </row>
    <row r="108" spans="2:8" ht="16" x14ac:dyDescent="0.2">
      <c r="B108" s="1084"/>
      <c r="C108" s="1106"/>
      <c r="D108" s="125"/>
      <c r="E108" s="125" t="s">
        <v>1041</v>
      </c>
      <c r="F108" s="126"/>
      <c r="G108" s="273"/>
      <c r="H108" s="99"/>
    </row>
    <row r="109" spans="2:8" ht="16" x14ac:dyDescent="0.2">
      <c r="B109" s="1084"/>
      <c r="C109" s="1106"/>
      <c r="D109" s="125"/>
      <c r="E109" s="125" t="s">
        <v>1042</v>
      </c>
      <c r="F109" s="126"/>
      <c r="G109" s="273"/>
      <c r="H109" s="99"/>
    </row>
    <row r="110" spans="2:8" ht="16" x14ac:dyDescent="0.2">
      <c r="B110" s="1084"/>
      <c r="C110" s="1106"/>
      <c r="D110" s="125" t="s">
        <v>1043</v>
      </c>
      <c r="E110" s="132"/>
      <c r="F110" s="126"/>
      <c r="G110" s="273"/>
      <c r="H110" s="99"/>
    </row>
    <row r="111" spans="2:8" ht="16" x14ac:dyDescent="0.2">
      <c r="B111" s="1084"/>
      <c r="C111" s="1106"/>
      <c r="D111" s="125"/>
      <c r="E111" s="125" t="s">
        <v>1044</v>
      </c>
      <c r="F111" s="126"/>
      <c r="G111" s="273"/>
      <c r="H111" s="99"/>
    </row>
    <row r="112" spans="2:8" ht="16" x14ac:dyDescent="0.2">
      <c r="B112" s="1084"/>
      <c r="C112" s="1106"/>
      <c r="D112" s="125"/>
      <c r="E112" s="125" t="s">
        <v>1045</v>
      </c>
      <c r="F112" s="126"/>
      <c r="G112" s="273"/>
      <c r="H112" s="99"/>
    </row>
    <row r="113" spans="2:8" ht="16" x14ac:dyDescent="0.2">
      <c r="B113" s="927"/>
      <c r="C113" s="912"/>
      <c r="D113" s="127"/>
      <c r="E113" s="127" t="s">
        <v>1046</v>
      </c>
      <c r="F113" s="133"/>
      <c r="G113" s="274"/>
      <c r="H113" s="173"/>
    </row>
    <row r="117" spans="2:8" x14ac:dyDescent="0.2">
      <c r="C117" t="s">
        <v>153</v>
      </c>
      <c r="D117" t="s">
        <v>226</v>
      </c>
      <c r="E117" s="223" t="s">
        <v>47</v>
      </c>
      <c r="F117" s="118" t="s">
        <v>50</v>
      </c>
      <c r="G117" s="96" t="s">
        <v>1047</v>
      </c>
      <c r="H117" s="96" t="s">
        <v>1048</v>
      </c>
    </row>
    <row r="118" spans="2:8" x14ac:dyDescent="0.2">
      <c r="C118" s="96" t="str">
        <f>+C6</f>
        <v>Oxidant Stream</v>
      </c>
      <c r="D118" s="96" t="s">
        <v>236</v>
      </c>
      <c r="E118" s="96" t="s">
        <v>237</v>
      </c>
      <c r="F118" s="278">
        <v>1995</v>
      </c>
      <c r="G118" s="96">
        <v>1</v>
      </c>
      <c r="H118" s="96">
        <v>1</v>
      </c>
    </row>
    <row r="119" spans="2:8" x14ac:dyDescent="0.2">
      <c r="C119" s="96" t="str">
        <f>+C13</f>
        <v>Primary Conversion</v>
      </c>
      <c r="D119" s="224" t="s">
        <v>53</v>
      </c>
      <c r="E119" s="96" t="s">
        <v>889</v>
      </c>
      <c r="F119" s="112">
        <v>1996</v>
      </c>
      <c r="G119" s="96">
        <v>2</v>
      </c>
      <c r="H119" s="96">
        <v>2</v>
      </c>
    </row>
    <row r="120" spans="2:8" x14ac:dyDescent="0.2">
      <c r="C120" s="96" t="str">
        <f>+C28</f>
        <v>Power Generation</v>
      </c>
      <c r="D120" s="96"/>
      <c r="E120" s="96" t="s">
        <v>890</v>
      </c>
      <c r="F120" s="112">
        <v>1997</v>
      </c>
      <c r="G120" s="96">
        <v>3</v>
      </c>
      <c r="H120" s="96">
        <v>3</v>
      </c>
    </row>
    <row r="121" spans="2:8" x14ac:dyDescent="0.2">
      <c r="C121" s="96" t="str">
        <f>+C64</f>
        <v>Secondary Conversion</v>
      </c>
      <c r="D121" s="96"/>
      <c r="E121" s="96" t="s">
        <v>546</v>
      </c>
      <c r="F121" s="112">
        <v>1998</v>
      </c>
      <c r="G121" s="96">
        <v>4</v>
      </c>
      <c r="H121" s="96">
        <v>4</v>
      </c>
    </row>
    <row r="122" spans="2:8" x14ac:dyDescent="0.2">
      <c r="C122" s="96" t="str">
        <f>+C84</f>
        <v>Contaminant Removal</v>
      </c>
      <c r="D122" s="96"/>
      <c r="E122" s="96" t="s">
        <v>891</v>
      </c>
      <c r="F122" s="112">
        <v>1999</v>
      </c>
      <c r="G122" s="96"/>
      <c r="H122" s="96">
        <v>5</v>
      </c>
    </row>
    <row r="123" spans="2:8" x14ac:dyDescent="0.2">
      <c r="C123" s="96" t="str">
        <f>+C100</f>
        <v>Energy Storage</v>
      </c>
      <c r="D123" s="96"/>
      <c r="E123" s="96" t="s">
        <v>48</v>
      </c>
      <c r="F123" s="112">
        <v>2000</v>
      </c>
      <c r="G123" s="96"/>
      <c r="H123" s="96">
        <v>6</v>
      </c>
    </row>
    <row r="124" spans="2:8" x14ac:dyDescent="0.2">
      <c r="C124" s="96" t="s">
        <v>398</v>
      </c>
      <c r="D124" s="96"/>
      <c r="E124" s="96" t="s">
        <v>892</v>
      </c>
      <c r="F124" s="112">
        <v>2001</v>
      </c>
      <c r="G124" s="96"/>
      <c r="H124" s="96">
        <v>7</v>
      </c>
    </row>
    <row r="125" spans="2:8" x14ac:dyDescent="0.2">
      <c r="C125" s="96"/>
      <c r="D125" s="96"/>
      <c r="E125" s="96" t="s">
        <v>893</v>
      </c>
      <c r="F125" s="112">
        <v>2002</v>
      </c>
      <c r="G125" s="96"/>
      <c r="H125" s="96">
        <v>8</v>
      </c>
    </row>
    <row r="126" spans="2:8" x14ac:dyDescent="0.2">
      <c r="C126" s="96"/>
      <c r="D126" s="96"/>
      <c r="E126" s="96" t="s">
        <v>894</v>
      </c>
      <c r="F126" s="112">
        <v>2003</v>
      </c>
      <c r="G126" s="96"/>
      <c r="H126" s="96">
        <v>9</v>
      </c>
    </row>
    <row r="127" spans="2:8" x14ac:dyDescent="0.2">
      <c r="C127" s="96"/>
      <c r="D127" s="96"/>
      <c r="E127" s="96" t="s">
        <v>895</v>
      </c>
      <c r="F127" s="112">
        <v>2004</v>
      </c>
      <c r="G127" s="96"/>
      <c r="H127" s="96">
        <v>10</v>
      </c>
    </row>
    <row r="128" spans="2:8" x14ac:dyDescent="0.2">
      <c r="E128" s="96" t="s">
        <v>896</v>
      </c>
      <c r="F128" s="112">
        <v>2005</v>
      </c>
      <c r="G128" s="96"/>
      <c r="H128" s="96">
        <v>11</v>
      </c>
    </row>
    <row r="129" spans="5:8" x14ac:dyDescent="0.2">
      <c r="E129" s="96" t="s">
        <v>1049</v>
      </c>
      <c r="F129" s="112">
        <v>2006</v>
      </c>
      <c r="G129" s="96"/>
      <c r="H129" s="96">
        <v>12</v>
      </c>
    </row>
    <row r="130" spans="5:8" x14ac:dyDescent="0.2">
      <c r="E130" s="96" t="s">
        <v>898</v>
      </c>
      <c r="F130" s="112">
        <v>2007</v>
      </c>
      <c r="G130" s="96"/>
      <c r="H130" s="96">
        <v>13</v>
      </c>
    </row>
    <row r="131" spans="5:8" x14ac:dyDescent="0.2">
      <c r="E131" s="96" t="s">
        <v>899</v>
      </c>
      <c r="F131" s="112">
        <v>2008</v>
      </c>
      <c r="G131" s="96"/>
      <c r="H131" s="96">
        <v>14</v>
      </c>
    </row>
    <row r="132" spans="5:8" x14ac:dyDescent="0.2">
      <c r="E132" s="96" t="s">
        <v>900</v>
      </c>
      <c r="F132" s="112">
        <v>2009</v>
      </c>
      <c r="G132" s="96"/>
      <c r="H132" s="96">
        <v>15</v>
      </c>
    </row>
    <row r="133" spans="5:8" x14ac:dyDescent="0.2">
      <c r="F133" s="112">
        <v>2010</v>
      </c>
      <c r="G133" s="96"/>
      <c r="H133" s="96">
        <v>16</v>
      </c>
    </row>
    <row r="134" spans="5:8" x14ac:dyDescent="0.2">
      <c r="F134" s="112">
        <v>2011</v>
      </c>
      <c r="G134" s="96"/>
      <c r="H134" s="96">
        <v>17</v>
      </c>
    </row>
    <row r="135" spans="5:8" x14ac:dyDescent="0.2">
      <c r="F135" s="112">
        <v>2012</v>
      </c>
      <c r="G135" s="96"/>
      <c r="H135" s="96">
        <v>18</v>
      </c>
    </row>
    <row r="136" spans="5:8" x14ac:dyDescent="0.2">
      <c r="F136" s="112">
        <v>2013</v>
      </c>
      <c r="G136" s="96"/>
      <c r="H136" s="96">
        <v>19</v>
      </c>
    </row>
    <row r="137" spans="5:8" x14ac:dyDescent="0.2">
      <c r="F137" s="112">
        <v>2014</v>
      </c>
      <c r="G137" s="96"/>
      <c r="H137" s="96">
        <v>20</v>
      </c>
    </row>
    <row r="138" spans="5:8" x14ac:dyDescent="0.2">
      <c r="F138" s="112">
        <v>2015</v>
      </c>
      <c r="G138" s="96"/>
      <c r="H138" s="96">
        <v>21</v>
      </c>
    </row>
    <row r="139" spans="5:8" x14ac:dyDescent="0.2">
      <c r="F139" s="112">
        <v>2016</v>
      </c>
      <c r="G139" s="96"/>
      <c r="H139" s="96">
        <v>22</v>
      </c>
    </row>
    <row r="140" spans="5:8" x14ac:dyDescent="0.2">
      <c r="F140" s="112">
        <v>2017</v>
      </c>
      <c r="G140" s="96"/>
      <c r="H140" s="96">
        <v>23</v>
      </c>
    </row>
    <row r="141" spans="5:8" x14ac:dyDescent="0.2">
      <c r="F141" s="112">
        <v>2018</v>
      </c>
      <c r="G141" s="96"/>
      <c r="H141" s="96">
        <v>24</v>
      </c>
    </row>
    <row r="142" spans="5:8" x14ac:dyDescent="0.2">
      <c r="F142" s="112">
        <v>2019</v>
      </c>
      <c r="G142" s="96"/>
      <c r="H142" s="96">
        <v>25</v>
      </c>
    </row>
    <row r="143" spans="5:8" x14ac:dyDescent="0.2">
      <c r="F143" s="112">
        <v>2020</v>
      </c>
      <c r="G143" s="96"/>
      <c r="H143" s="96">
        <v>26</v>
      </c>
    </row>
    <row r="144" spans="5:8" x14ac:dyDescent="0.2">
      <c r="F144" s="112">
        <v>2021</v>
      </c>
      <c r="G144" s="96"/>
      <c r="H144" s="96">
        <v>27</v>
      </c>
    </row>
    <row r="145" spans="6:8" x14ac:dyDescent="0.2">
      <c r="F145" s="112">
        <v>2022</v>
      </c>
      <c r="G145" s="96"/>
      <c r="H145" s="96">
        <v>28</v>
      </c>
    </row>
    <row r="146" spans="6:8" x14ac:dyDescent="0.2">
      <c r="F146" s="112">
        <v>2023</v>
      </c>
      <c r="G146" s="96"/>
      <c r="H146" s="96">
        <v>29</v>
      </c>
    </row>
    <row r="147" spans="6:8" x14ac:dyDescent="0.2">
      <c r="F147" s="112">
        <v>2024</v>
      </c>
      <c r="G147" s="96"/>
      <c r="H147" s="96">
        <v>30</v>
      </c>
    </row>
    <row r="148" spans="6:8" x14ac:dyDescent="0.2">
      <c r="F148" s="112">
        <v>2025</v>
      </c>
      <c r="G148" s="96"/>
      <c r="H148" s="96">
        <v>31</v>
      </c>
    </row>
    <row r="149" spans="6:8" x14ac:dyDescent="0.2">
      <c r="F149" s="112">
        <v>2026</v>
      </c>
      <c r="G149" s="96"/>
      <c r="H149" s="96">
        <v>32</v>
      </c>
    </row>
    <row r="150" spans="6:8" x14ac:dyDescent="0.2">
      <c r="F150" s="112">
        <v>2027</v>
      </c>
      <c r="G150" s="96"/>
      <c r="H150" s="96">
        <v>33</v>
      </c>
    </row>
    <row r="151" spans="6:8" x14ac:dyDescent="0.2">
      <c r="F151" s="112">
        <v>2028</v>
      </c>
      <c r="G151" s="96"/>
      <c r="H151" s="96">
        <v>34</v>
      </c>
    </row>
    <row r="152" spans="6:8" x14ac:dyDescent="0.2">
      <c r="F152" s="112">
        <v>2029</v>
      </c>
      <c r="G152" s="96"/>
      <c r="H152" s="96">
        <v>35</v>
      </c>
    </row>
    <row r="153" spans="6:8" x14ac:dyDescent="0.2">
      <c r="F153" s="112">
        <v>2030</v>
      </c>
      <c r="G153" s="96"/>
      <c r="H153" s="96">
        <v>36</v>
      </c>
    </row>
    <row r="154" spans="6:8" x14ac:dyDescent="0.2">
      <c r="F154" s="112">
        <v>2031</v>
      </c>
      <c r="G154" s="96"/>
      <c r="H154" s="96">
        <v>37</v>
      </c>
    </row>
    <row r="155" spans="6:8" x14ac:dyDescent="0.2">
      <c r="F155" s="112">
        <v>2032</v>
      </c>
      <c r="G155" s="96"/>
      <c r="H155" s="96">
        <v>38</v>
      </c>
    </row>
    <row r="156" spans="6:8" x14ac:dyDescent="0.2">
      <c r="F156" s="112">
        <v>2033</v>
      </c>
      <c r="G156" s="96"/>
      <c r="H156" s="96">
        <v>39</v>
      </c>
    </row>
    <row r="157" spans="6:8" x14ac:dyDescent="0.2">
      <c r="F157" s="112">
        <v>2034</v>
      </c>
      <c r="G157" s="96"/>
      <c r="H157" s="96">
        <v>40</v>
      </c>
    </row>
    <row r="158" spans="6:8" x14ac:dyDescent="0.2">
      <c r="F158" s="112">
        <v>2035</v>
      </c>
    </row>
    <row r="159" spans="6:8" x14ac:dyDescent="0.2">
      <c r="F159" s="112">
        <v>2036</v>
      </c>
    </row>
    <row r="160" spans="6:8" x14ac:dyDescent="0.2">
      <c r="F160" s="112">
        <v>2037</v>
      </c>
    </row>
    <row r="161" spans="6:6" x14ac:dyDescent="0.2">
      <c r="F161" s="112">
        <v>2038</v>
      </c>
    </row>
    <row r="162" spans="6:6" x14ac:dyDescent="0.2">
      <c r="F162" s="112">
        <v>2039</v>
      </c>
    </row>
    <row r="163" spans="6:6" x14ac:dyDescent="0.2">
      <c r="F163" s="112">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baseColWidth="10" defaultColWidth="11.1640625" defaultRowHeight="15" x14ac:dyDescent="0.2"/>
  <cols>
    <col min="2" max="2" width="52.1640625" bestFit="1" customWidth="1"/>
  </cols>
  <sheetData>
    <row r="1" spans="1:241" x14ac:dyDescent="0.2">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2">
      <c r="A2" s="83"/>
      <c r="B2" s="2" t="s">
        <v>691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 x14ac:dyDescent="0.2">
      <c r="A3" s="83"/>
      <c r="B3" s="3" t="s">
        <v>1050</v>
      </c>
      <c r="C3" s="4" t="s">
        <v>1051</v>
      </c>
      <c r="D3" s="4" t="s">
        <v>1052</v>
      </c>
      <c r="E3" s="4" t="s">
        <v>1053</v>
      </c>
      <c r="F3" s="4" t="s">
        <v>1054</v>
      </c>
      <c r="G3" s="5" t="s">
        <v>1055</v>
      </c>
      <c r="H3" s="6" t="s">
        <v>1056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2">
      <c r="A4" s="83"/>
      <c r="B4" s="7" t="s">
        <v>776</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2">
      <c r="A5" s="83"/>
      <c r="B5" s="12" t="s">
        <v>777</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2">
      <c r="A6" s="83"/>
      <c r="B6" s="17" t="s">
        <v>1057</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2">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2">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2">
      <c r="A9" s="83"/>
      <c r="B9" s="2" t="s">
        <v>692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x14ac:dyDescent="0.2">
      <c r="A10" s="83"/>
      <c r="B10" s="23" t="s">
        <v>1058</v>
      </c>
      <c r="C10" s="8" t="s">
        <v>1051</v>
      </c>
      <c r="D10" s="8" t="s">
        <v>1052</v>
      </c>
      <c r="E10" s="8" t="s">
        <v>1053</v>
      </c>
      <c r="F10" s="8" t="s">
        <v>1059</v>
      </c>
      <c r="G10" s="24" t="s">
        <v>1060</v>
      </c>
      <c r="H10" s="6" t="s">
        <v>1056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2">
      <c r="A11" s="83"/>
      <c r="B11" s="7" t="s">
        <v>1061</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2">
      <c r="A12" s="83"/>
      <c r="B12" s="12" t="s">
        <v>1062</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2">
      <c r="A13" s="83"/>
      <c r="B13" s="12" t="s">
        <v>782</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2">
      <c r="A14" s="83"/>
      <c r="B14" s="17" t="s">
        <v>783</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2">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2">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2">
      <c r="A17" s="83"/>
      <c r="B17" s="2" t="s">
        <v>189</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x14ac:dyDescent="0.2">
      <c r="A18" s="83"/>
      <c r="B18" s="23" t="s">
        <v>1063</v>
      </c>
      <c r="C18" s="8" t="s">
        <v>1051</v>
      </c>
      <c r="D18" s="8" t="s">
        <v>1052</v>
      </c>
      <c r="E18" s="8" t="s">
        <v>1053</v>
      </c>
      <c r="F18" s="8" t="s">
        <v>1064</v>
      </c>
      <c r="G18" s="8" t="s">
        <v>1065</v>
      </c>
      <c r="H18" s="8" t="s">
        <v>1066</v>
      </c>
      <c r="I18" s="8" t="s">
        <v>1067</v>
      </c>
      <c r="J18" s="9" t="s">
        <v>1068</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2">
      <c r="A19" s="83"/>
      <c r="B19" s="7" t="s">
        <v>190</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2">
      <c r="A20" s="83"/>
      <c r="B20" s="12" t="s">
        <v>363</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2">
      <c r="A21" s="83"/>
      <c r="B21" s="12" t="s">
        <v>1057</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2">
      <c r="A22" s="83"/>
      <c r="B22" s="17" t="s">
        <v>784</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2">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2">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2">
      <c r="A25" s="83"/>
      <c r="B25" s="2" t="s">
        <v>693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 x14ac:dyDescent="0.2">
      <c r="A26" s="83"/>
      <c r="B26" s="3" t="s">
        <v>1069</v>
      </c>
      <c r="C26" s="4" t="s">
        <v>1051</v>
      </c>
      <c r="D26" s="4" t="s">
        <v>1052</v>
      </c>
      <c r="E26" s="4" t="s">
        <v>1053</v>
      </c>
      <c r="F26" s="4" t="s">
        <v>1070</v>
      </c>
      <c r="G26" s="5" t="s">
        <v>1071</v>
      </c>
      <c r="H26" s="6" t="s">
        <v>1056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2">
      <c r="A27" s="83"/>
      <c r="B27" s="7" t="s">
        <v>785</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2">
      <c r="A28" s="83"/>
      <c r="B28" s="12" t="s">
        <v>786</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2">
      <c r="A29" s="83"/>
      <c r="B29" s="12" t="s">
        <v>787</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2">
      <c r="A30" s="83"/>
      <c r="B30" s="17" t="s">
        <v>788</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2">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2">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2">
      <c r="A33" s="83"/>
      <c r="B33" s="2" t="s">
        <v>694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 x14ac:dyDescent="0.2">
      <c r="A34" s="83"/>
      <c r="B34" s="3" t="s">
        <v>1072</v>
      </c>
      <c r="C34" s="4" t="s">
        <v>1051</v>
      </c>
      <c r="D34" s="4" t="s">
        <v>1052</v>
      </c>
      <c r="E34" s="4" t="s">
        <v>1053</v>
      </c>
      <c r="F34" s="4" t="s">
        <v>1054</v>
      </c>
      <c r="G34" s="5" t="s">
        <v>1055</v>
      </c>
      <c r="H34" s="6" t="s">
        <v>1056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2">
      <c r="A35" s="83"/>
      <c r="B35" s="33" t="s">
        <v>790</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2">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2">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2">
      <c r="A38" s="83"/>
      <c r="B38" s="2" t="s">
        <v>695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x14ac:dyDescent="0.2">
      <c r="A39" s="83"/>
      <c r="B39" s="3" t="s">
        <v>1073</v>
      </c>
      <c r="C39" s="4" t="s">
        <v>1051</v>
      </c>
      <c r="D39" s="4" t="s">
        <v>1052</v>
      </c>
      <c r="E39" s="4" t="s">
        <v>1053</v>
      </c>
      <c r="F39" s="4" t="s">
        <v>1056</v>
      </c>
      <c r="G39" s="4" t="s">
        <v>1067</v>
      </c>
      <c r="H39" s="37" t="s">
        <v>1068</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2">
      <c r="A40" s="83"/>
      <c r="B40" s="12" t="s">
        <v>193</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2">
      <c r="A41" s="83"/>
      <c r="B41" s="12" t="s">
        <v>791</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2">
      <c r="A42" s="83"/>
      <c r="B42" s="17" t="s">
        <v>792</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2">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x14ac:dyDescent="0.2">
      <c r="A44" s="83"/>
      <c r="B44" s="3" t="s">
        <v>1074</v>
      </c>
      <c r="C44" s="4" t="s">
        <v>1051</v>
      </c>
      <c r="D44" s="4" t="s">
        <v>1052</v>
      </c>
      <c r="E44" s="4" t="s">
        <v>1053</v>
      </c>
      <c r="F44" s="4" t="s">
        <v>1056</v>
      </c>
      <c r="G44" s="4" t="s">
        <v>1067</v>
      </c>
      <c r="H44" s="37" t="s">
        <v>1068</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2">
      <c r="A45" s="83"/>
      <c r="B45" s="12" t="s">
        <v>367</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2">
      <c r="A46" s="83"/>
      <c r="B46" s="12" t="s">
        <v>73</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2">
      <c r="A47" s="83"/>
      <c r="B47" s="17" t="s">
        <v>793</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2">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2">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2">
      <c r="A50" s="83"/>
      <c r="B50" s="2" t="s">
        <v>696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 x14ac:dyDescent="0.2">
      <c r="A51" s="83"/>
      <c r="B51" s="3" t="s">
        <v>1075</v>
      </c>
      <c r="C51" s="4" t="s">
        <v>1051</v>
      </c>
      <c r="D51" s="4" t="s">
        <v>1052</v>
      </c>
      <c r="E51" s="4" t="s">
        <v>1053</v>
      </c>
      <c r="F51" s="4" t="s">
        <v>1070</v>
      </c>
      <c r="G51" s="5" t="s">
        <v>1071</v>
      </c>
      <c r="H51" s="6" t="s">
        <v>1056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2">
      <c r="A52" s="83"/>
      <c r="B52" s="7" t="s">
        <v>794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2">
      <c r="A53" s="83"/>
      <c r="B53" s="12" t="s">
        <v>1076</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2">
      <c r="A54" s="83"/>
      <c r="B54" s="17" t="s">
        <v>796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2">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2">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2">
      <c r="A57" s="83"/>
      <c r="B57" s="2" t="s">
        <v>697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 x14ac:dyDescent="0.2">
      <c r="A58" s="83"/>
      <c r="B58" s="3" t="s">
        <v>1077</v>
      </c>
      <c r="C58" s="4" t="s">
        <v>1051</v>
      </c>
      <c r="D58" s="4" t="s">
        <v>1052</v>
      </c>
      <c r="E58" s="4" t="s">
        <v>1053</v>
      </c>
      <c r="F58" s="4" t="s">
        <v>1078</v>
      </c>
      <c r="G58" s="5" t="s">
        <v>1079</v>
      </c>
      <c r="H58" s="6" t="s">
        <v>1056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2">
      <c r="A59" s="83"/>
      <c r="B59" s="7" t="s">
        <v>798</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2">
      <c r="A60" s="83"/>
      <c r="B60" s="12" t="s">
        <v>1080</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2">
      <c r="A61" s="83"/>
      <c r="B61" s="39" t="s">
        <v>1081</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2">
      <c r="A62" s="83"/>
      <c r="B62" s="39" t="s">
        <v>1082</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2">
      <c r="A63" s="83"/>
      <c r="B63" s="39" t="s">
        <v>1083</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2">
      <c r="A64" s="83"/>
      <c r="B64" s="12" t="s">
        <v>799</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2">
      <c r="A65" s="83"/>
      <c r="B65" s="17" t="s">
        <v>800</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2">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2">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2">
      <c r="A68" s="83"/>
      <c r="B68" s="2" t="s">
        <v>698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x14ac:dyDescent="0.2">
      <c r="A69" s="83"/>
      <c r="B69" s="3" t="s">
        <v>1084</v>
      </c>
      <c r="C69" s="4" t="s">
        <v>1051</v>
      </c>
      <c r="D69" s="4" t="s">
        <v>1052</v>
      </c>
      <c r="E69" s="4" t="s">
        <v>1053</v>
      </c>
      <c r="F69" s="4" t="s">
        <v>1064</v>
      </c>
      <c r="G69" s="4" t="s">
        <v>1085</v>
      </c>
      <c r="H69" s="4" t="s">
        <v>1065</v>
      </c>
      <c r="I69" s="4" t="s">
        <v>1066</v>
      </c>
      <c r="J69" s="4" t="s">
        <v>1086</v>
      </c>
      <c r="K69" s="4" t="s">
        <v>1087</v>
      </c>
      <c r="L69" s="4" t="s">
        <v>1088</v>
      </c>
      <c r="M69" s="4" t="s">
        <v>1089</v>
      </c>
      <c r="N69" s="4" t="s">
        <v>1090</v>
      </c>
      <c r="O69" s="4" t="s">
        <v>1091</v>
      </c>
      <c r="P69" s="37" t="s">
        <v>1092</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2">
      <c r="A70" s="83"/>
      <c r="B70" s="7" t="s">
        <v>801</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2">
      <c r="A71" s="83"/>
      <c r="B71" s="12" t="s">
        <v>802</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2">
      <c r="A72" s="83"/>
      <c r="B72" s="12" t="s">
        <v>803</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2">
      <c r="A73" s="83"/>
      <c r="B73" s="17" t="s">
        <v>804</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2">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2">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2">
      <c r="A76" s="83"/>
      <c r="B76" s="2" t="s">
        <v>699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 x14ac:dyDescent="0.2">
      <c r="A77" s="83"/>
      <c r="B77" s="3" t="s">
        <v>1093</v>
      </c>
      <c r="C77" s="4" t="s">
        <v>1051</v>
      </c>
      <c r="D77" s="4" t="s">
        <v>1052</v>
      </c>
      <c r="E77" s="4" t="s">
        <v>1053</v>
      </c>
      <c r="F77" s="4" t="s">
        <v>1070</v>
      </c>
      <c r="G77" s="5" t="s">
        <v>1071</v>
      </c>
      <c r="H77" s="6" t="s">
        <v>1056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2">
      <c r="A78" s="83"/>
      <c r="B78" s="7" t="s">
        <v>806</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2">
      <c r="A79" s="83"/>
      <c r="B79" s="12" t="s">
        <v>807</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2">
      <c r="A80" s="83"/>
      <c r="B80" s="12" t="s">
        <v>808</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2">
      <c r="A81" s="83"/>
      <c r="B81" s="12" t="s">
        <v>809</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2">
      <c r="A82" s="83"/>
      <c r="B82" s="12" t="s">
        <v>810</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2">
      <c r="A83" s="83"/>
      <c r="B83" s="12" t="s">
        <v>811</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2">
      <c r="A84" s="83"/>
      <c r="B84" s="12" t="s">
        <v>812</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2">
      <c r="A85" s="83"/>
      <c r="B85" s="12" t="s">
        <v>813</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2">
      <c r="A86" s="83"/>
      <c r="B86" s="17" t="s">
        <v>814</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2">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2">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2">
      <c r="A89" s="83"/>
      <c r="B89" s="48" t="s">
        <v>700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2">
      <c r="A90" s="83"/>
      <c r="B90" s="7"/>
      <c r="C90" s="49"/>
      <c r="D90" s="49"/>
      <c r="E90" s="49"/>
      <c r="F90" s="49"/>
      <c r="G90" s="49"/>
      <c r="H90" s="49"/>
      <c r="I90" s="49"/>
      <c r="J90" s="49"/>
      <c r="K90" s="49"/>
      <c r="L90" s="50" t="s">
        <v>1094</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x14ac:dyDescent="0.2">
      <c r="A91" s="83"/>
      <c r="B91" s="53" t="s">
        <v>1095</v>
      </c>
      <c r="C91" s="18" t="s">
        <v>1051</v>
      </c>
      <c r="D91" s="18" t="s">
        <v>1052</v>
      </c>
      <c r="E91" s="18" t="s">
        <v>1053</v>
      </c>
      <c r="F91" s="18" t="s">
        <v>1096</v>
      </c>
      <c r="G91" s="18" t="s">
        <v>1097</v>
      </c>
      <c r="H91" s="18" t="s">
        <v>1098</v>
      </c>
      <c r="I91" s="18" t="s">
        <v>1087</v>
      </c>
      <c r="J91" s="18" t="s">
        <v>1088</v>
      </c>
      <c r="K91" s="18" t="s">
        <v>1089</v>
      </c>
      <c r="L91" s="18" t="s">
        <v>182</v>
      </c>
      <c r="M91" s="18" t="s">
        <v>748</v>
      </c>
      <c r="N91" s="21" t="s">
        <v>410</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2">
      <c r="A92" s="83"/>
      <c r="B92" s="12" t="s">
        <v>816</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2">
      <c r="A93" s="83"/>
      <c r="B93" s="54" t="s">
        <v>1099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2">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2">
      <c r="A95" s="83"/>
      <c r="B95" s="56"/>
      <c r="C95" s="8"/>
      <c r="D95" s="8"/>
      <c r="E95" s="49"/>
      <c r="F95" s="49"/>
      <c r="G95" s="49"/>
      <c r="H95" s="49"/>
      <c r="I95" s="49"/>
      <c r="J95" s="49"/>
      <c r="K95" s="49"/>
      <c r="L95" s="50" t="s">
        <v>1094</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x14ac:dyDescent="0.2">
      <c r="A96" s="83"/>
      <c r="B96" s="53" t="s">
        <v>1100</v>
      </c>
      <c r="C96" s="18" t="s">
        <v>1051</v>
      </c>
      <c r="D96" s="18" t="s">
        <v>1052</v>
      </c>
      <c r="E96" s="18" t="s">
        <v>1053</v>
      </c>
      <c r="F96" s="18" t="s">
        <v>1096</v>
      </c>
      <c r="G96" s="18" t="s">
        <v>1097</v>
      </c>
      <c r="H96" s="18" t="s">
        <v>1098</v>
      </c>
      <c r="I96" s="18" t="s">
        <v>1087</v>
      </c>
      <c r="J96" s="18" t="s">
        <v>1088</v>
      </c>
      <c r="K96" s="18" t="s">
        <v>1089</v>
      </c>
      <c r="L96" s="18" t="s">
        <v>182</v>
      </c>
      <c r="M96" s="18" t="s">
        <v>748</v>
      </c>
      <c r="N96" s="21" t="s">
        <v>410</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2">
      <c r="A97" s="83"/>
      <c r="B97" s="54" t="s">
        <v>818</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2">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2">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2">
      <c r="A100" s="83"/>
      <c r="B100" s="56"/>
      <c r="C100" s="8"/>
      <c r="D100" s="8"/>
      <c r="E100" s="49"/>
      <c r="F100" s="49"/>
      <c r="G100" s="49"/>
      <c r="H100" s="49"/>
      <c r="I100" s="49"/>
      <c r="J100" s="49"/>
      <c r="K100" s="8"/>
      <c r="L100" s="30"/>
      <c r="M100" s="49" t="s">
        <v>1101</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x14ac:dyDescent="0.2">
      <c r="A101" s="83"/>
      <c r="B101" s="53" t="s">
        <v>1102</v>
      </c>
      <c r="C101" s="18" t="s">
        <v>1051</v>
      </c>
      <c r="D101" s="18" t="s">
        <v>1052</v>
      </c>
      <c r="E101" s="18" t="s">
        <v>1053</v>
      </c>
      <c r="F101" s="18" t="s">
        <v>1096</v>
      </c>
      <c r="G101" s="18" t="s">
        <v>1097</v>
      </c>
      <c r="H101" s="18" t="s">
        <v>1098</v>
      </c>
      <c r="I101" s="18" t="s">
        <v>1087</v>
      </c>
      <c r="J101" s="18" t="s">
        <v>1088</v>
      </c>
      <c r="K101" s="18" t="s">
        <v>1089</v>
      </c>
      <c r="L101" s="18" t="s">
        <v>1103</v>
      </c>
      <c r="M101" s="18" t="s">
        <v>1104</v>
      </c>
      <c r="N101" s="18" t="s">
        <v>1105</v>
      </c>
      <c r="O101" s="21" t="s">
        <v>1106</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2">
      <c r="A102" s="83"/>
      <c r="B102" s="57" t="s">
        <v>819</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2">
      <c r="A103" s="83"/>
      <c r="B103" s="58" t="s">
        <v>820</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2">
      <c r="A104" s="83"/>
      <c r="B104" s="58" t="s">
        <v>821</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2">
      <c r="A105" s="83"/>
      <c r="B105" s="73" t="s">
        <v>822</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2">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2">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2">
      <c r="A108" s="83"/>
      <c r="B108" s="2" t="s">
        <v>701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2">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x14ac:dyDescent="0.2">
      <c r="A110" s="83"/>
      <c r="B110" s="53" t="s">
        <v>1107</v>
      </c>
      <c r="C110" s="18" t="s">
        <v>1051</v>
      </c>
      <c r="D110" s="18" t="s">
        <v>1052</v>
      </c>
      <c r="E110" s="18" t="s">
        <v>1053</v>
      </c>
      <c r="F110" s="18" t="s">
        <v>1108</v>
      </c>
      <c r="G110" s="18" t="s">
        <v>1109</v>
      </c>
      <c r="H110" s="18" t="s">
        <v>1092</v>
      </c>
      <c r="I110" s="18" t="s">
        <v>1087</v>
      </c>
      <c r="J110" s="18" t="s">
        <v>1088</v>
      </c>
      <c r="K110" s="21" t="s">
        <v>1089</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2">
      <c r="A111" s="83"/>
      <c r="B111" s="7" t="s">
        <v>824</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2">
      <c r="A112" s="83"/>
      <c r="B112" s="12" t="s">
        <v>825</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2">
      <c r="A113" s="83"/>
      <c r="B113" s="12" t="s">
        <v>826</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2">
      <c r="A114" s="83"/>
      <c r="B114" s="12" t="s">
        <v>827</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2">
      <c r="A115" s="83"/>
      <c r="B115" s="17" t="s">
        <v>828</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2">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2">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2">
      <c r="A118" s="83"/>
      <c r="B118" s="2" t="s">
        <v>194</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x14ac:dyDescent="0.2">
      <c r="A119" s="83"/>
      <c r="B119" s="23" t="s">
        <v>1110</v>
      </c>
      <c r="C119" s="8" t="s">
        <v>1051</v>
      </c>
      <c r="D119" s="8" t="s">
        <v>1052</v>
      </c>
      <c r="E119" s="8" t="s">
        <v>1053</v>
      </c>
      <c r="F119" s="8" t="s">
        <v>1087</v>
      </c>
      <c r="G119" s="8" t="s">
        <v>1088</v>
      </c>
      <c r="H119" s="8" t="s">
        <v>1089</v>
      </c>
      <c r="I119" s="8" t="s">
        <v>1111</v>
      </c>
      <c r="J119" s="8" t="s">
        <v>1112</v>
      </c>
      <c r="K119" s="8" t="s">
        <v>1108</v>
      </c>
      <c r="L119" s="8" t="s">
        <v>1109</v>
      </c>
      <c r="M119" s="9" t="s">
        <v>1092</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2">
      <c r="A120" s="83"/>
      <c r="B120" s="7" t="s">
        <v>829</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2">
      <c r="A121" s="83"/>
      <c r="B121" s="64" t="s">
        <v>1113</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2">
      <c r="A122" s="83"/>
      <c r="B122" s="64" t="s">
        <v>1114</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2">
      <c r="A123" s="83"/>
      <c r="B123" s="12" t="s">
        <v>830</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2">
      <c r="A124" s="83"/>
      <c r="B124" s="64" t="s">
        <v>1113</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2">
      <c r="A125" s="83"/>
      <c r="B125" s="64" t="s">
        <v>1114</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2">
      <c r="A126" s="83"/>
      <c r="B126" s="12" t="s">
        <v>195</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2">
      <c r="A127" s="83"/>
      <c r="B127" s="64" t="s">
        <v>1115</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2">
      <c r="A128" s="83"/>
      <c r="B128" s="12" t="s">
        <v>831</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2">
      <c r="A129" s="83"/>
      <c r="B129" s="64" t="s">
        <v>1116</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2">
      <c r="A130" s="83"/>
      <c r="B130" s="12" t="s">
        <v>832</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2">
      <c r="A131" s="83"/>
      <c r="B131" s="64" t="s">
        <v>1115</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2">
      <c r="A132" s="83"/>
      <c r="B132" s="12" t="s">
        <v>833</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2">
      <c r="A133" s="83"/>
      <c r="B133" s="64" t="s">
        <v>1115</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2">
      <c r="A134" s="83"/>
      <c r="B134" s="12" t="s">
        <v>834</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2">
      <c r="A135" s="83"/>
      <c r="B135" s="64" t="s">
        <v>1113</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2">
      <c r="A136" s="83"/>
      <c r="B136" s="64" t="s">
        <v>1114</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2">
      <c r="A137" s="83"/>
      <c r="B137" s="12" t="s">
        <v>835</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2">
      <c r="A138" s="83"/>
      <c r="B138" s="12" t="s">
        <v>836</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2">
      <c r="A139" s="83"/>
      <c r="B139" s="12" t="s">
        <v>1117</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2">
      <c r="A140" s="83"/>
      <c r="B140" s="12" t="s">
        <v>289</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2">
      <c r="A141" s="83"/>
      <c r="B141" s="12" t="s">
        <v>837</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2">
      <c r="A142" s="83"/>
      <c r="B142" s="17" t="s">
        <v>838</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2">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x14ac:dyDescent="0.2">
      <c r="A144" s="83"/>
      <c r="B144" s="1" t="s">
        <v>1118</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2">
      <c r="A145" s="83"/>
      <c r="B145" s="7"/>
      <c r="C145" s="8" t="s">
        <v>1119</v>
      </c>
      <c r="D145" s="8" t="s">
        <v>182</v>
      </c>
      <c r="E145" s="8" t="s">
        <v>751</v>
      </c>
      <c r="F145" s="8" t="s">
        <v>182</v>
      </c>
      <c r="G145" s="8" t="s">
        <v>410</v>
      </c>
      <c r="H145" s="8" t="s">
        <v>182</v>
      </c>
      <c r="I145" s="8" t="s">
        <v>180</v>
      </c>
      <c r="J145" s="8" t="s">
        <v>182</v>
      </c>
      <c r="K145" s="9" t="s">
        <v>763</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2">
      <c r="A146" s="83"/>
      <c r="B146" s="66" t="s">
        <v>1120</v>
      </c>
      <c r="C146" s="13" t="s">
        <v>1121</v>
      </c>
      <c r="D146" s="13" t="s">
        <v>751</v>
      </c>
      <c r="E146" s="13" t="s">
        <v>751</v>
      </c>
      <c r="F146" s="13" t="s">
        <v>410</v>
      </c>
      <c r="G146" s="13" t="s">
        <v>410</v>
      </c>
      <c r="H146" s="13" t="s">
        <v>180</v>
      </c>
      <c r="I146" s="13" t="s">
        <v>180</v>
      </c>
      <c r="J146" s="13" t="s">
        <v>763</v>
      </c>
      <c r="K146" s="16" t="s">
        <v>763</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2">
      <c r="A147" s="83"/>
      <c r="B147" s="7" t="s">
        <v>829</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2">
      <c r="A148" s="83"/>
      <c r="B148" s="12" t="s">
        <v>830</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2">
      <c r="A149" s="83"/>
      <c r="B149" s="12" t="s">
        <v>195</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2">
      <c r="A150" s="83"/>
      <c r="B150" s="12" t="s">
        <v>831</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2">
      <c r="A151" s="83"/>
      <c r="B151" s="12" t="s">
        <v>832</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2">
      <c r="A152" s="83"/>
      <c r="B152" s="12" t="s">
        <v>833</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2">
      <c r="A153" s="83"/>
      <c r="B153" s="12" t="s">
        <v>834</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2">
      <c r="A154" s="83"/>
      <c r="B154" s="17" t="s">
        <v>774</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2">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2">
      <c r="A156" s="83"/>
      <c r="B156" s="7"/>
      <c r="C156" s="67" t="s">
        <v>1122</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2">
      <c r="A157" s="83"/>
      <c r="B157" s="66" t="s">
        <v>1120</v>
      </c>
      <c r="C157" s="18" t="s">
        <v>182</v>
      </c>
      <c r="D157" s="18" t="s">
        <v>751</v>
      </c>
      <c r="E157" s="18" t="s">
        <v>410</v>
      </c>
      <c r="F157" s="18" t="s">
        <v>180</v>
      </c>
      <c r="G157" s="21" t="s">
        <v>763</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2">
      <c r="A158" s="83"/>
      <c r="B158" s="33" t="s">
        <v>1123</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2">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2">
      <c r="A160" s="83"/>
      <c r="B160" s="7"/>
      <c r="C160" s="67" t="s">
        <v>1124</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2">
      <c r="A161" s="83"/>
      <c r="B161" s="66" t="s">
        <v>1120</v>
      </c>
      <c r="C161" s="13" t="s">
        <v>182</v>
      </c>
      <c r="D161" s="13" t="s">
        <v>751</v>
      </c>
      <c r="E161" s="13" t="s">
        <v>410</v>
      </c>
      <c r="F161" s="13" t="s">
        <v>180</v>
      </c>
      <c r="G161" s="16" t="s">
        <v>763</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2">
      <c r="A162" s="83"/>
      <c r="B162" s="7" t="s">
        <v>837</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2">
      <c r="A163" s="83"/>
      <c r="B163" s="17" t="s">
        <v>838</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2">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2">
      <c r="A165" s="83"/>
      <c r="B165" s="7"/>
      <c r="C165" s="67" t="s">
        <v>1125</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2">
      <c r="A166" s="83"/>
      <c r="B166" s="66" t="s">
        <v>1120</v>
      </c>
      <c r="C166" s="18" t="s">
        <v>182</v>
      </c>
      <c r="D166" s="18" t="s">
        <v>753</v>
      </c>
      <c r="E166" s="21" t="s">
        <v>410</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2">
      <c r="A167" s="83"/>
      <c r="B167" s="33" t="s">
        <v>836</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2">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2">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2">
      <c r="A170" s="83"/>
      <c r="B170" s="2" t="s">
        <v>702</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x14ac:dyDescent="0.2">
      <c r="A171" s="83"/>
      <c r="B171" s="3" t="s">
        <v>1126</v>
      </c>
      <c r="C171" s="4" t="s">
        <v>1051</v>
      </c>
      <c r="D171" s="4" t="s">
        <v>1052</v>
      </c>
      <c r="E171" s="4" t="s">
        <v>1053</v>
      </c>
      <c r="F171" s="4" t="s">
        <v>1127</v>
      </c>
      <c r="G171" s="5" t="s">
        <v>1128</v>
      </c>
      <c r="H171" s="6" t="s">
        <v>1056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2">
      <c r="A172" s="83"/>
      <c r="B172" s="7" t="s">
        <v>840</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2">
      <c r="A173" s="83"/>
      <c r="B173" s="12" t="s">
        <v>841</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2">
      <c r="A174" s="83"/>
      <c r="B174" s="17" t="s">
        <v>420</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2">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2">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2">
      <c r="A177" s="83"/>
      <c r="B177" s="2" t="s">
        <v>703</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x14ac:dyDescent="0.2">
      <c r="A178" s="83"/>
      <c r="B178" s="3" t="s">
        <v>1129</v>
      </c>
      <c r="C178" s="4" t="s">
        <v>1051</v>
      </c>
      <c r="D178" s="4" t="s">
        <v>1052</v>
      </c>
      <c r="E178" s="4" t="s">
        <v>1053</v>
      </c>
      <c r="F178" s="4" t="s">
        <v>1087</v>
      </c>
      <c r="G178" s="4" t="s">
        <v>1088</v>
      </c>
      <c r="H178" s="4" t="s">
        <v>1089</v>
      </c>
      <c r="I178" s="4" t="s">
        <v>1111</v>
      </c>
      <c r="J178" s="4" t="s">
        <v>1112</v>
      </c>
      <c r="K178" s="4" t="s">
        <v>1130</v>
      </c>
      <c r="L178" s="4" t="s">
        <v>1131</v>
      </c>
      <c r="M178" s="4" t="s">
        <v>1132</v>
      </c>
      <c r="N178" s="4" t="s">
        <v>1133</v>
      </c>
      <c r="O178" s="4" t="s">
        <v>1134</v>
      </c>
      <c r="P178" s="4" t="s">
        <v>1135</v>
      </c>
      <c r="Q178" s="4" t="s">
        <v>1092</v>
      </c>
      <c r="R178" s="4" t="s">
        <v>1067</v>
      </c>
      <c r="S178" s="202" t="s">
        <v>1068</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2">
      <c r="A179" s="83"/>
      <c r="B179" s="7" t="s">
        <v>185</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1136</v>
      </c>
      <c r="N179" s="30">
        <v>2.2799999999999998</v>
      </c>
      <c r="O179" s="30">
        <v>4.3600000000000003</v>
      </c>
      <c r="P179" s="13" t="s">
        <v>1136</v>
      </c>
      <c r="Q179" s="13">
        <v>100</v>
      </c>
      <c r="R179" s="13">
        <v>1</v>
      </c>
      <c r="S179" s="203">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2">
      <c r="A180" s="83"/>
      <c r="B180" s="12" t="s">
        <v>842</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03">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2">
      <c r="A181" s="83"/>
      <c r="B181" s="17" t="s">
        <v>843</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04">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2">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2">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2">
      <c r="A184" s="83"/>
      <c r="B184" s="2" t="s">
        <v>266</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 x14ac:dyDescent="0.2">
      <c r="A185" s="83"/>
      <c r="B185" s="3" t="s">
        <v>1137</v>
      </c>
      <c r="C185" s="4" t="s">
        <v>1051</v>
      </c>
      <c r="D185" s="4" t="s">
        <v>1052</v>
      </c>
      <c r="E185" s="4" t="s">
        <v>1053</v>
      </c>
      <c r="F185" s="4" t="s">
        <v>1054</v>
      </c>
      <c r="G185" s="5" t="s">
        <v>1055</v>
      </c>
      <c r="H185" s="6" t="s">
        <v>1056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2">
      <c r="A186" s="83"/>
      <c r="B186" s="7" t="s">
        <v>845</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2">
      <c r="A187" s="83"/>
      <c r="B187" s="12" t="s">
        <v>846</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2">
      <c r="A188" s="83"/>
      <c r="B188" s="12" t="s">
        <v>847</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2">
      <c r="A189" s="83"/>
      <c r="B189" s="12" t="s">
        <v>848</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2">
      <c r="A190" s="83"/>
      <c r="B190" s="12" t="s">
        <v>849</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2">
      <c r="A191" s="83"/>
      <c r="B191" s="17" t="s">
        <v>850</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2">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2">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2">
      <c r="A194" s="83"/>
      <c r="B194" s="2" t="s">
        <v>704</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 x14ac:dyDescent="0.2">
      <c r="A195" s="83"/>
      <c r="B195" s="3" t="s">
        <v>1138</v>
      </c>
      <c r="C195" s="4" t="s">
        <v>1051</v>
      </c>
      <c r="D195" s="4" t="s">
        <v>1052</v>
      </c>
      <c r="E195" s="4" t="s">
        <v>1053</v>
      </c>
      <c r="F195" s="4" t="s">
        <v>1070</v>
      </c>
      <c r="G195" s="5" t="s">
        <v>1071</v>
      </c>
      <c r="H195" s="6" t="s">
        <v>1056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2">
      <c r="A196" s="83"/>
      <c r="B196" s="7" t="s">
        <v>852</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2">
      <c r="A197" s="83"/>
      <c r="B197" s="12" t="s">
        <v>1057</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2">
      <c r="A198" s="83"/>
      <c r="B198" s="12" t="s">
        <v>853</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2">
      <c r="A199" s="83"/>
      <c r="B199" s="17" t="s">
        <v>854</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2">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2">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2">
      <c r="A202" s="83"/>
      <c r="B202" s="2" t="s">
        <v>705</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x14ac:dyDescent="0.2">
      <c r="A203" s="83"/>
      <c r="B203" s="3" t="s">
        <v>1139</v>
      </c>
      <c r="C203" s="4" t="s">
        <v>1051</v>
      </c>
      <c r="D203" s="4" t="s">
        <v>1052</v>
      </c>
      <c r="E203" s="4" t="s">
        <v>1053</v>
      </c>
      <c r="F203" s="4" t="s">
        <v>1111</v>
      </c>
      <c r="G203" s="4" t="s">
        <v>1112</v>
      </c>
      <c r="H203" s="4" t="s">
        <v>1090</v>
      </c>
      <c r="I203" s="37" t="s">
        <v>1091</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2">
      <c r="A204" s="83"/>
      <c r="B204" s="7" t="s">
        <v>855</v>
      </c>
      <c r="C204" s="8">
        <v>4.8509000000000002</v>
      </c>
      <c r="D204" s="8">
        <v>-0.39729999999999999</v>
      </c>
      <c r="E204" s="8">
        <v>0.14449999999999999</v>
      </c>
      <c r="F204" s="26">
        <v>1.1000000000000001</v>
      </c>
      <c r="G204" s="205">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2">
      <c r="A205" s="83"/>
      <c r="B205" s="17" t="s">
        <v>856</v>
      </c>
      <c r="C205" s="18">
        <v>5.9566999999999997</v>
      </c>
      <c r="D205" s="18">
        <v>-0.75849999999999995</v>
      </c>
      <c r="E205" s="18">
        <v>0.1749</v>
      </c>
      <c r="F205" s="20">
        <v>1.1000000000000001</v>
      </c>
      <c r="G205" s="206">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2">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2">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2">
      <c r="A208" s="83"/>
      <c r="B208" s="2" t="s">
        <v>1140</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x14ac:dyDescent="0.2">
      <c r="A209" s="83"/>
      <c r="B209" s="3" t="s">
        <v>1141</v>
      </c>
      <c r="C209" s="4" t="s">
        <v>1051</v>
      </c>
      <c r="D209" s="4" t="s">
        <v>1052</v>
      </c>
      <c r="E209" s="4" t="s">
        <v>1053</v>
      </c>
      <c r="F209" s="4" t="s">
        <v>1142</v>
      </c>
      <c r="G209" s="4" t="s">
        <v>1064</v>
      </c>
      <c r="H209" s="4" t="s">
        <v>1143</v>
      </c>
      <c r="I209" s="4" t="s">
        <v>1065</v>
      </c>
      <c r="J209" s="4" t="s">
        <v>1066</v>
      </c>
      <c r="K209" s="4" t="s">
        <v>1144</v>
      </c>
      <c r="L209" s="4" t="s">
        <v>1067</v>
      </c>
      <c r="M209" s="37" t="s">
        <v>1068</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2">
      <c r="A210" s="83"/>
      <c r="B210" s="12" t="s">
        <v>363</v>
      </c>
      <c r="C210" s="13">
        <v>2.7050999999999998</v>
      </c>
      <c r="D210" s="13">
        <v>1.4398</v>
      </c>
      <c r="E210" s="14">
        <v>-0.17760000000000001</v>
      </c>
      <c r="F210" s="13" t="s">
        <v>1136</v>
      </c>
      <c r="G210" s="13">
        <v>3.5</v>
      </c>
      <c r="H210" s="13" t="s">
        <v>1136</v>
      </c>
      <c r="I210" s="31">
        <v>6.13</v>
      </c>
      <c r="J210" s="31">
        <v>11.66</v>
      </c>
      <c r="K210" s="13" t="s">
        <v>1136</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2">
      <c r="A211" s="83"/>
      <c r="B211" s="17" t="s">
        <v>421</v>
      </c>
      <c r="C211" s="18">
        <v>2.2475999999999998</v>
      </c>
      <c r="D211" s="18">
        <v>1.4964999999999999</v>
      </c>
      <c r="E211" s="19">
        <v>-0.1618</v>
      </c>
      <c r="F211" s="18" t="s">
        <v>1136</v>
      </c>
      <c r="G211" s="32">
        <v>3.5</v>
      </c>
      <c r="H211" s="18" t="s">
        <v>1136</v>
      </c>
      <c r="I211" s="32">
        <v>6.13</v>
      </c>
      <c r="J211" s="32">
        <v>11.66</v>
      </c>
      <c r="K211" s="18" t="s">
        <v>1136</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2">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2">
      <c r="A213" s="83"/>
      <c r="B213" s="2" t="s">
        <v>706</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2">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x14ac:dyDescent="0.2">
      <c r="A215" s="83"/>
      <c r="B215" s="53" t="s">
        <v>1145</v>
      </c>
      <c r="C215" s="18" t="s">
        <v>1051</v>
      </c>
      <c r="D215" s="18" t="s">
        <v>1052</v>
      </c>
      <c r="E215" s="18" t="s">
        <v>1053</v>
      </c>
      <c r="F215" s="18" t="s">
        <v>1146</v>
      </c>
      <c r="G215" s="18" t="s">
        <v>1147</v>
      </c>
      <c r="H215" s="18" t="s">
        <v>1092</v>
      </c>
      <c r="I215" s="18" t="s">
        <v>1087</v>
      </c>
      <c r="J215" s="18" t="s">
        <v>1088</v>
      </c>
      <c r="K215" s="21" t="s">
        <v>1089</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2">
      <c r="A216" s="83"/>
      <c r="B216" s="7" t="s">
        <v>857</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2">
      <c r="A217" s="83"/>
      <c r="B217" s="12" t="s">
        <v>858</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2">
      <c r="A218" s="83"/>
      <c r="B218" s="17" t="s">
        <v>859</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2">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x14ac:dyDescent="0.2">
      <c r="A220" s="83"/>
      <c r="B220" s="7"/>
      <c r="C220" s="49"/>
      <c r="D220" s="49" t="s">
        <v>1148</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2">
      <c r="A221" s="83"/>
      <c r="B221" s="53" t="s">
        <v>1145</v>
      </c>
      <c r="C221" s="18" t="s">
        <v>182</v>
      </c>
      <c r="D221" s="18" t="s">
        <v>751</v>
      </c>
      <c r="E221" s="18" t="s">
        <v>757</v>
      </c>
      <c r="F221" s="18" t="s">
        <v>762</v>
      </c>
      <c r="G221" s="18" t="s">
        <v>410</v>
      </c>
      <c r="H221" s="18" t="s">
        <v>426</v>
      </c>
      <c r="I221" s="18" t="s">
        <v>761</v>
      </c>
      <c r="J221" s="18" t="s">
        <v>768</v>
      </c>
      <c r="K221" s="18" t="s">
        <v>763</v>
      </c>
      <c r="L221" s="21" t="s">
        <v>764</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2">
      <c r="A222" s="83"/>
      <c r="B222" s="12" t="s">
        <v>857</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2">
      <c r="A223" s="83"/>
      <c r="B223" s="12" t="s">
        <v>858</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2">
      <c r="A224" s="83"/>
      <c r="B224" s="17" t="s">
        <v>859</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2">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2">
      <c r="A226" s="83"/>
      <c r="B226" s="2" t="s">
        <v>701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x14ac:dyDescent="0.2">
      <c r="A227" s="83"/>
      <c r="B227" s="7"/>
      <c r="C227" s="49"/>
      <c r="D227" s="49" t="s">
        <v>1148</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2">
      <c r="A228" s="83"/>
      <c r="B228" s="53" t="s">
        <v>1107</v>
      </c>
      <c r="C228" s="18" t="s">
        <v>182</v>
      </c>
      <c r="D228" s="18" t="s">
        <v>749</v>
      </c>
      <c r="E228" s="18" t="s">
        <v>410</v>
      </c>
      <c r="F228" s="18" t="s">
        <v>761</v>
      </c>
      <c r="G228" s="21" t="s">
        <v>763</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2">
      <c r="A229" s="83"/>
      <c r="B229" s="7" t="s">
        <v>824</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2">
      <c r="A230" s="83"/>
      <c r="B230" s="12" t="s">
        <v>825</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2">
      <c r="A231" s="83"/>
      <c r="B231" s="12" t="s">
        <v>826</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2">
      <c r="A232" s="83"/>
      <c r="B232" s="12" t="s">
        <v>827</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2">
      <c r="A233" s="83"/>
      <c r="B233" s="17" t="s">
        <v>828</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2">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2">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2">
      <c r="A236" s="83"/>
      <c r="B236" s="2" t="s">
        <v>177</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2">
      <c r="A237" s="83"/>
      <c r="B237" s="23" t="s">
        <v>1149</v>
      </c>
      <c r="C237" s="49"/>
      <c r="D237" s="8"/>
      <c r="E237" s="49"/>
      <c r="F237" s="49"/>
      <c r="G237" s="72" t="s">
        <v>1150</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x14ac:dyDescent="0.2">
      <c r="A238" s="83"/>
      <c r="B238" s="73" t="s">
        <v>1051</v>
      </c>
      <c r="C238" s="18" t="s">
        <v>1052</v>
      </c>
      <c r="D238" s="18" t="s">
        <v>1053</v>
      </c>
      <c r="E238" s="18" t="s">
        <v>1151</v>
      </c>
      <c r="F238" s="18" t="s">
        <v>1152</v>
      </c>
      <c r="G238" s="18" t="s">
        <v>1051</v>
      </c>
      <c r="H238" s="18" t="s">
        <v>1052</v>
      </c>
      <c r="I238" s="18" t="s">
        <v>1053</v>
      </c>
      <c r="J238" s="18" t="s">
        <v>1151</v>
      </c>
      <c r="K238" s="18" t="s">
        <v>1152</v>
      </c>
      <c r="L238" s="21" t="s">
        <v>1092</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2">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2">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2">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2">
      <c r="A242" s="83"/>
      <c r="B242" s="23" t="s">
        <v>1153</v>
      </c>
      <c r="C242" s="8" t="s">
        <v>1154</v>
      </c>
      <c r="D242" s="9" t="s">
        <v>1155</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2">
      <c r="A243" s="83"/>
      <c r="B243" s="7" t="s">
        <v>860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2">
      <c r="A244" s="83"/>
      <c r="B244" s="17" t="s">
        <v>178</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2">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2">
      <c r="A246" s="83"/>
      <c r="B246" s="1" t="s">
        <v>1156</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x14ac:dyDescent="0.2">
      <c r="A247" s="83"/>
      <c r="B247" s="7" t="s">
        <v>1157</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x14ac:dyDescent="0.2">
      <c r="A248" s="83"/>
      <c r="B248" s="12" t="s">
        <v>1158</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x14ac:dyDescent="0.2">
      <c r="A249" s="83"/>
      <c r="B249" s="12" t="s">
        <v>1159</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x14ac:dyDescent="0.2">
      <c r="A250" s="83"/>
      <c r="B250" s="12" t="s">
        <v>1160</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x14ac:dyDescent="0.2">
      <c r="A251" s="83"/>
      <c r="B251" s="12" t="s">
        <v>1161</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x14ac:dyDescent="0.2">
      <c r="A252" s="83"/>
      <c r="B252" s="12" t="s">
        <v>1162</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x14ac:dyDescent="0.2">
      <c r="A253" s="83"/>
      <c r="B253" s="17" t="s">
        <v>1163</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2">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2">
      <c r="A255" s="83"/>
      <c r="B255" s="2" t="s">
        <v>428</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 x14ac:dyDescent="0.2">
      <c r="A256" s="83"/>
      <c r="B256" s="3" t="s">
        <v>1164</v>
      </c>
      <c r="C256" s="4" t="s">
        <v>1051</v>
      </c>
      <c r="D256" s="4" t="s">
        <v>1052</v>
      </c>
      <c r="E256" s="4" t="s">
        <v>1053</v>
      </c>
      <c r="F256" s="4" t="s">
        <v>1165</v>
      </c>
      <c r="G256" s="37" t="s">
        <v>1166</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2">
      <c r="A257" s="83"/>
      <c r="B257" s="58" t="s">
        <v>429</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2">
      <c r="A258" s="83"/>
      <c r="B258" s="58" t="s">
        <v>861</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2">
      <c r="A259" s="83"/>
      <c r="B259" s="73" t="s">
        <v>862</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x14ac:dyDescent="0.2">
      <c r="A260" s="83"/>
      <c r="B260" s="1" t="s">
        <v>1056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2">
      <c r="A261" s="83"/>
      <c r="B261" s="7" t="s">
        <v>1167</v>
      </c>
      <c r="C261" s="49"/>
      <c r="D261" s="8" t="s">
        <v>429</v>
      </c>
      <c r="E261" s="8" t="s">
        <v>861</v>
      </c>
      <c r="F261" s="9" t="s">
        <v>862</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2">
      <c r="A262" s="83"/>
      <c r="B262" s="12" t="s">
        <v>182</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2">
      <c r="A263" s="83"/>
      <c r="B263" s="12" t="s">
        <v>410</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2">
      <c r="A264" s="83"/>
      <c r="B264" s="12" t="s">
        <v>1168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2">
      <c r="A265" s="83"/>
      <c r="B265" s="17" t="s">
        <v>1169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2">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2">
      <c r="A267" s="83"/>
      <c r="B267" s="1" t="s">
        <v>1170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2">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2">
      <c r="A269" s="83"/>
      <c r="B269" s="80" t="s">
        <v>1171</v>
      </c>
      <c r="C269" s="80" t="s">
        <v>1172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2">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2">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2">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2">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2">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2">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2">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2">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2">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2">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2">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2">
      <c r="A281" s="83"/>
      <c r="B281" s="2" t="s">
        <v>707</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 x14ac:dyDescent="0.2">
      <c r="A282" s="83"/>
      <c r="B282" s="3" t="s">
        <v>1156</v>
      </c>
      <c r="C282" s="8" t="s">
        <v>1051</v>
      </c>
      <c r="D282" s="4" t="s">
        <v>1052</v>
      </c>
      <c r="E282" s="4" t="s">
        <v>1053</v>
      </c>
      <c r="F282" s="4" t="s">
        <v>1173</v>
      </c>
      <c r="G282" s="37" t="s">
        <v>1174</v>
      </c>
      <c r="H282" s="13" t="s">
        <v>172</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2">
      <c r="A283" s="83"/>
      <c r="B283" s="12" t="s">
        <v>745</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2">
      <c r="A284" s="83"/>
      <c r="B284" s="12" t="s">
        <v>752</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2">
      <c r="A285" s="83"/>
      <c r="B285" s="17" t="s">
        <v>759</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2">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2">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2">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2">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2">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2">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2">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2">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2">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2">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2">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2">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2">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2">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2">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2">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2">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2">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2">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2">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2">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2">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2">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2">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2">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2">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2">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2">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2">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2">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2">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2">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2">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2">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2">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2">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2">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2">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2">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2">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2">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2">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2">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2">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2">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2">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2">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2">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2">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2">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2">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2">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2">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2">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2">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2">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2">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2">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2">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2">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2">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2">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2">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2">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2">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2">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2">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2">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2">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2">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2">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2">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2">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2">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2">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2">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2">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2">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2">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2">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2">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2">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2">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2">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2">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2">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2">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2">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2">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2">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2">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2">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2">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2">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2">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2">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2">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2">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2">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2">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2">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2">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2">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2">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2">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2">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2">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2">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2">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2">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2">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2">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2">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2">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2">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2">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2">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2">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2">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2">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2">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2">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2">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2">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2">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2">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2">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2">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2">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2">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2">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2">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2">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2">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2">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2">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2">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2">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2">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2">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2">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2">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2">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2">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2">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2">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2">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2">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2">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2">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2">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2">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2">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2">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2">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2">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2">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2">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2">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2">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2">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2">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2">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2">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2">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2">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2">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2">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2">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2">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2">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2">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2">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2">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2">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2">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2">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2">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2">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2">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2">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2">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2">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2">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2">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2">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2">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2">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2">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2">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2">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2">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2">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2">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2">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2">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2">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2">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2">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2">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2">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2">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2">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2">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2">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2">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2">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2">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2">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2">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2">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2">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2">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2">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2">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2">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2">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2">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2">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2">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2">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2">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baseColWidth="10" defaultColWidth="11.5" defaultRowHeight="15" x14ac:dyDescent="0.2"/>
  <cols>
    <col min="2" max="2" width="24" customWidth="1"/>
    <col min="3" max="8" width="24.83203125" customWidth="1"/>
    <col min="9" max="9" width="17.33203125" customWidth="1"/>
    <col min="10" max="10" width="13.6640625" bestFit="1" customWidth="1"/>
    <col min="18" max="18" width="14.5" bestFit="1" customWidth="1"/>
  </cols>
  <sheetData>
    <row r="2" spans="2:21" ht="19" x14ac:dyDescent="0.2">
      <c r="B2" s="169" t="s">
        <v>868</v>
      </c>
      <c r="C2" s="920"/>
      <c r="D2" s="1074"/>
      <c r="E2" s="1074"/>
      <c r="F2" s="1074"/>
      <c r="G2" s="1074"/>
      <c r="H2" s="1074"/>
      <c r="I2" s="1074"/>
      <c r="J2" s="1074"/>
      <c r="K2" s="1074"/>
      <c r="L2" s="1074"/>
      <c r="M2" s="1074"/>
      <c r="N2" s="1074"/>
      <c r="O2" s="1074"/>
      <c r="P2" s="1074"/>
      <c r="Q2" s="1074"/>
      <c r="R2" s="1074"/>
      <c r="S2" s="1074"/>
      <c r="T2" s="1074"/>
      <c r="U2" s="921"/>
    </row>
    <row r="3" spans="2:21" ht="19" x14ac:dyDescent="0.2">
      <c r="B3" s="917" t="s">
        <v>1175</v>
      </c>
      <c r="C3" s="918"/>
      <c r="D3" s="918"/>
      <c r="E3" s="918"/>
      <c r="F3" s="918"/>
      <c r="G3" s="918"/>
      <c r="H3" s="918"/>
      <c r="I3" s="919"/>
      <c r="J3" s="917" t="s">
        <v>1176</v>
      </c>
      <c r="K3" s="918"/>
      <c r="L3" s="918"/>
      <c r="M3" s="918"/>
      <c r="N3" s="918"/>
      <c r="O3" s="918"/>
      <c r="P3" s="918"/>
      <c r="Q3" s="918"/>
      <c r="R3" s="919"/>
      <c r="S3" s="917" t="s">
        <v>600</v>
      </c>
      <c r="T3" s="918"/>
      <c r="U3" s="919"/>
    </row>
    <row r="4" spans="2:21" ht="19" x14ac:dyDescent="0.2">
      <c r="B4" s="88" t="s">
        <v>569</v>
      </c>
      <c r="C4" s="88" t="s">
        <v>871</v>
      </c>
      <c r="D4" s="88" t="s">
        <v>225</v>
      </c>
      <c r="E4" s="89" t="s">
        <v>226</v>
      </c>
      <c r="F4" s="89" t="s">
        <v>50</v>
      </c>
      <c r="G4" s="89" t="s">
        <v>227</v>
      </c>
      <c r="H4" s="88" t="s">
        <v>228</v>
      </c>
      <c r="I4" s="322" t="s">
        <v>75</v>
      </c>
      <c r="J4" s="230" t="s">
        <v>155</v>
      </c>
      <c r="K4" s="230" t="s">
        <v>157</v>
      </c>
      <c r="L4" s="229" t="s">
        <v>229</v>
      </c>
      <c r="M4" s="231" t="s">
        <v>230</v>
      </c>
      <c r="N4" s="232" t="s">
        <v>231</v>
      </c>
      <c r="O4" s="231" t="s">
        <v>872</v>
      </c>
      <c r="P4" s="231" t="s">
        <v>873</v>
      </c>
      <c r="Q4" s="231" t="s">
        <v>151</v>
      </c>
      <c r="R4" s="90" t="s">
        <v>274</v>
      </c>
      <c r="S4" s="323" t="s">
        <v>874</v>
      </c>
      <c r="T4" s="1116" t="s">
        <v>1177</v>
      </c>
      <c r="U4" s="1117"/>
    </row>
    <row r="5" spans="2:21" x14ac:dyDescent="0.2">
      <c r="B5" s="276"/>
      <c r="C5" s="277"/>
      <c r="D5" s="277"/>
      <c r="E5" s="277"/>
      <c r="F5" s="277"/>
      <c r="G5" s="277"/>
      <c r="H5" s="277"/>
      <c r="I5" s="277"/>
      <c r="J5" s="276"/>
      <c r="K5" s="277"/>
      <c r="L5" s="277"/>
      <c r="M5" s="195"/>
      <c r="N5" s="195"/>
      <c r="O5" s="195"/>
      <c r="P5" s="195"/>
      <c r="Q5" s="277"/>
      <c r="R5" s="175" t="str" cm="1">
        <f t="array" aca="1" ref="R5" ca="1">+IF(N5&gt;0,N5*INDIRECT(ADDRESS(MATCH(F5,'Cost Conversion'!$B$3:$B$48,0)+2,4,1,1,"Cost conversion"))*INDIRECT(ADDRESS(MATCH(G5,'Cost Conversion'!$F$3:$F$22,0)+2,8,1,1,"Cost conversion"))/IF(E5="$",'Cost Conversion'!$L$2,1),"")</f>
        <v/>
      </c>
      <c r="S5" s="339"/>
      <c r="T5" s="281"/>
      <c r="U5" s="113"/>
    </row>
    <row r="6" spans="2:21" x14ac:dyDescent="0.2">
      <c r="B6" s="273"/>
      <c r="C6" s="96"/>
      <c r="D6" s="96"/>
      <c r="E6" s="96"/>
      <c r="F6" s="96"/>
      <c r="G6" s="96"/>
      <c r="H6" s="96"/>
      <c r="I6" s="96"/>
      <c r="J6" s="273"/>
      <c r="K6" s="96"/>
      <c r="L6" s="96"/>
      <c r="M6" s="158"/>
      <c r="N6" s="158"/>
      <c r="O6" s="96"/>
      <c r="P6" s="96"/>
      <c r="Q6" s="96"/>
      <c r="R6" s="175" t="str" cm="1">
        <f t="array" aca="1" ref="R6" ca="1">+IF(N6&gt;0,N6*INDIRECT(ADDRESS(MATCH(F6,'Cost Conversion'!$B$3:$B$48,0)+2,4,1,1,"Cost conversion"))*INDIRECT(ADDRESS(MATCH(G6,'Cost Conversion'!$F$3:$F$22,0)+2,8,1,1,"Cost conversion"))/IF(E6="$",'Cost Conversion'!$L$2,1),"")</f>
        <v/>
      </c>
      <c r="S6" s="273"/>
      <c r="U6" s="84"/>
    </row>
    <row r="7" spans="2:21" x14ac:dyDescent="0.2">
      <c r="B7" s="273"/>
      <c r="C7" s="96"/>
      <c r="D7" s="96"/>
      <c r="E7" s="96"/>
      <c r="F7" s="96"/>
      <c r="G7" s="96"/>
      <c r="H7" s="96"/>
      <c r="I7" s="96"/>
      <c r="J7" s="273"/>
      <c r="K7" s="96"/>
      <c r="L7" s="96"/>
      <c r="M7" s="158"/>
      <c r="N7" s="158"/>
      <c r="O7" s="158"/>
      <c r="P7" s="158"/>
      <c r="Q7" s="96"/>
      <c r="R7" s="175" t="str" cm="1">
        <f t="array" aca="1" ref="R7" ca="1">+IF(N7&gt;0,N7*INDIRECT(ADDRESS(MATCH(F7,'Cost Conversion'!$B$3:$B$48,0)+2,4,1,1,"Cost conversion"))*INDIRECT(ADDRESS(MATCH(G7,'Cost Conversion'!$F$3:$F$22,0)+2,8,1,1,"Cost conversion"))/IF(E7="$",'Cost Conversion'!$L$2,1),"")</f>
        <v/>
      </c>
      <c r="S7" s="273"/>
      <c r="U7" s="84"/>
    </row>
    <row r="8" spans="2:21" x14ac:dyDescent="0.2">
      <c r="B8" s="273"/>
      <c r="C8" s="96"/>
      <c r="D8" s="96"/>
      <c r="E8" s="96"/>
      <c r="F8" s="96"/>
      <c r="G8" s="96"/>
      <c r="H8" s="96"/>
      <c r="I8" s="343"/>
      <c r="J8" s="273"/>
      <c r="K8" s="96"/>
      <c r="L8" s="96"/>
      <c r="M8" s="158"/>
      <c r="N8" s="96"/>
      <c r="O8" s="96"/>
      <c r="P8" s="96"/>
      <c r="Q8" s="96"/>
      <c r="R8" s="175" t="str" cm="1">
        <f t="array" aca="1" ref="R8" ca="1">+IF(N8&gt;0,N8*INDIRECT(ADDRESS(MATCH(F8,'Cost Conversion'!$B$3:$B$48,0)+2,4,1,1,"Cost conversion"))*INDIRECT(ADDRESS(MATCH(G8,'Cost Conversion'!$F$3:$F$22,0)+2,8,1,1,"Cost conversion"))/IF(E8="$",'Cost Conversion'!$L$2,1),"")</f>
        <v/>
      </c>
      <c r="S8" s="273"/>
      <c r="U8" s="84"/>
    </row>
    <row r="9" spans="2:21" x14ac:dyDescent="0.2">
      <c r="B9" s="273"/>
      <c r="C9" s="96"/>
      <c r="D9" s="96"/>
      <c r="E9" s="96"/>
      <c r="F9" s="96"/>
      <c r="G9" s="96"/>
      <c r="H9" s="96"/>
      <c r="I9" s="96"/>
      <c r="J9" s="273"/>
      <c r="K9" s="96"/>
      <c r="L9" s="96"/>
      <c r="M9" s="96"/>
      <c r="N9" s="96"/>
      <c r="O9" s="96"/>
      <c r="P9" s="96"/>
      <c r="Q9" s="96"/>
      <c r="R9" s="175" t="str" cm="1">
        <f t="array" aca="1" ref="R9" ca="1">+IF(N9&gt;0,N9*INDIRECT(ADDRESS(MATCH(F9,'Cost Conversion'!$B$3:$B$48,0)+2,4,1,1,"Cost conversion"))*INDIRECT(ADDRESS(MATCH(G9,'Cost Conversion'!$F$3:$F$22,0)+2,8,1,1,"Cost conversion"))/IF(E9="$",'Cost Conversion'!$L$2,1),"")</f>
        <v/>
      </c>
      <c r="S9" s="273"/>
      <c r="U9" s="84"/>
    </row>
    <row r="10" spans="2:21" x14ac:dyDescent="0.2">
      <c r="B10" s="274"/>
      <c r="C10" s="275"/>
      <c r="D10" s="275"/>
      <c r="E10" s="275"/>
      <c r="F10" s="275"/>
      <c r="G10" s="275"/>
      <c r="H10" s="275"/>
      <c r="I10" s="275"/>
      <c r="J10" s="274"/>
      <c r="K10" s="275"/>
      <c r="L10" s="275"/>
      <c r="M10" s="275"/>
      <c r="N10" s="275"/>
      <c r="O10" s="275"/>
      <c r="P10" s="275"/>
      <c r="Q10" s="275"/>
      <c r="R10" s="175" t="str" cm="1">
        <f t="array" aca="1" ref="R10" ca="1">+IF(N10&gt;0,N10*INDIRECT(ADDRESS(MATCH(F10,'Cost Conversion'!$B$3:$B$48,0)+2,4,1,1,"Cost conversion"))*INDIRECT(ADDRESS(MATCH(G10,'Cost Conversion'!$F$3:$F$22,0)+2,8,1,1,"Cost conversion"))/IF(E10="$",'Cost Conversion'!$L$2,1),"")</f>
        <v/>
      </c>
      <c r="S10" s="274"/>
      <c r="T10" s="326"/>
      <c r="U10" s="328"/>
    </row>
    <row r="11" spans="2:21" x14ac:dyDescent="0.2">
      <c r="B11" s="276"/>
      <c r="C11" s="277"/>
      <c r="D11" s="277"/>
      <c r="E11" s="277"/>
      <c r="F11" s="277"/>
      <c r="G11" s="277"/>
      <c r="H11" s="277"/>
      <c r="I11" s="277"/>
      <c r="J11" s="277"/>
      <c r="K11" s="277"/>
      <c r="L11" s="277"/>
      <c r="M11" s="277"/>
      <c r="N11" s="277"/>
      <c r="O11" s="277"/>
      <c r="P11" s="277"/>
      <c r="Q11" s="277"/>
      <c r="R11" s="277"/>
      <c r="S11" s="277"/>
      <c r="T11" s="281"/>
      <c r="U11" s="113"/>
    </row>
    <row r="12" spans="2:21" x14ac:dyDescent="0.2">
      <c r="B12" s="273"/>
      <c r="C12" s="96"/>
      <c r="D12" s="96"/>
      <c r="E12" s="96"/>
      <c r="F12" s="96"/>
      <c r="G12" s="96"/>
      <c r="H12" s="96"/>
      <c r="I12" s="96"/>
      <c r="J12" s="96"/>
      <c r="K12" s="96"/>
      <c r="L12" s="96"/>
      <c r="M12" s="96"/>
      <c r="N12" s="96"/>
      <c r="O12" s="96"/>
      <c r="P12" s="96"/>
      <c r="Q12" s="96"/>
      <c r="R12" s="96"/>
      <c r="S12" s="96"/>
      <c r="U12" s="84"/>
    </row>
    <row r="13" spans="2:21" x14ac:dyDescent="0.2">
      <c r="B13" s="273"/>
      <c r="C13" s="96"/>
      <c r="D13" s="96"/>
      <c r="E13" s="96"/>
      <c r="F13" s="96"/>
      <c r="G13" s="96"/>
      <c r="H13" s="96"/>
      <c r="I13" s="96"/>
      <c r="J13" s="96"/>
      <c r="K13" s="96"/>
      <c r="L13" s="96"/>
      <c r="M13" s="96"/>
      <c r="N13" s="96"/>
      <c r="O13" s="96"/>
      <c r="P13" s="96"/>
      <c r="Q13" s="96"/>
      <c r="R13" s="96"/>
      <c r="S13" s="96"/>
      <c r="U13" s="84"/>
    </row>
    <row r="14" spans="2:21" x14ac:dyDescent="0.2">
      <c r="B14" s="273"/>
      <c r="C14" s="96"/>
      <c r="D14" s="96"/>
      <c r="E14" s="96"/>
      <c r="F14" s="96"/>
      <c r="G14" s="96"/>
      <c r="H14" s="96"/>
      <c r="I14" s="96"/>
      <c r="J14" s="877" t="str">
        <f>TEXT(C2,0)</f>
        <v>0</v>
      </c>
      <c r="K14" s="878"/>
      <c r="L14" s="878"/>
      <c r="M14" s="878"/>
      <c r="N14" s="878"/>
      <c r="O14" s="878"/>
      <c r="P14" s="878"/>
      <c r="Q14" s="878"/>
      <c r="R14" s="878"/>
      <c r="S14" s="878"/>
      <c r="T14" s="879"/>
      <c r="U14" s="84"/>
    </row>
    <row r="15" spans="2:21" x14ac:dyDescent="0.2">
      <c r="B15" s="273"/>
      <c r="C15" s="96"/>
      <c r="D15" s="96"/>
      <c r="E15" s="96"/>
      <c r="F15" s="96"/>
      <c r="G15" s="96"/>
      <c r="H15" s="96"/>
      <c r="I15" s="96"/>
      <c r="J15" s="346" t="s">
        <v>880</v>
      </c>
      <c r="K15" s="347">
        <v>1</v>
      </c>
      <c r="L15" s="347">
        <v>2</v>
      </c>
      <c r="M15" s="347">
        <v>3</v>
      </c>
      <c r="N15" s="347">
        <v>4</v>
      </c>
      <c r="O15" s="347">
        <v>5</v>
      </c>
      <c r="P15" s="347">
        <v>6</v>
      </c>
      <c r="Q15" s="347">
        <v>7</v>
      </c>
      <c r="R15" s="347">
        <v>8</v>
      </c>
      <c r="S15" s="347">
        <v>9</v>
      </c>
      <c r="T15" s="348">
        <v>10</v>
      </c>
      <c r="U15" s="84"/>
    </row>
    <row r="16" spans="2:21" x14ac:dyDescent="0.2">
      <c r="B16" s="273"/>
      <c r="C16" s="96"/>
      <c r="D16" s="96"/>
      <c r="E16" s="96"/>
      <c r="F16" s="96"/>
      <c r="G16" s="96"/>
      <c r="H16" s="96"/>
      <c r="I16" s="96"/>
      <c r="J16" s="86" t="str">
        <f>+TEXT(H5,0)&amp;" "&amp;"("&amp;TEXT(I5,0)&amp;")"</f>
        <v>0 (0)</v>
      </c>
      <c r="K16" s="368">
        <f>+P5</f>
        <v>0</v>
      </c>
      <c r="L16" s="349">
        <f>+K16+(O5-P5)/(T15-1)</f>
        <v>0</v>
      </c>
      <c r="M16" s="349">
        <f>+L16+(O5-P5)/(T15-1)</f>
        <v>0</v>
      </c>
      <c r="N16" s="349">
        <f>+M16+(O5-P5)/(T15-1)</f>
        <v>0</v>
      </c>
      <c r="O16" s="349">
        <f>+N16+(O5-P5)/(T15-1)</f>
        <v>0</v>
      </c>
      <c r="P16" s="349">
        <f>+O16+(O5-P5)/(T15-1)</f>
        <v>0</v>
      </c>
      <c r="Q16" s="349">
        <f>+P16+(O5-P5)/(T15-1)</f>
        <v>0</v>
      </c>
      <c r="R16" s="349">
        <f>+Q16+(O5-P5)/(T15-1)</f>
        <v>0</v>
      </c>
      <c r="S16" s="349">
        <f>+R16+(O5-P5)/(T15-1)</f>
        <v>0</v>
      </c>
      <c r="T16" s="350">
        <f>+S16+(O5-P5)/(T15-1)</f>
        <v>0</v>
      </c>
      <c r="U16" s="84"/>
    </row>
    <row r="17" spans="2:21" x14ac:dyDescent="0.2">
      <c r="B17" s="273"/>
      <c r="C17" s="96"/>
      <c r="D17" s="96"/>
      <c r="E17" s="96"/>
      <c r="F17" s="96"/>
      <c r="G17" s="96"/>
      <c r="H17" s="96"/>
      <c r="I17" s="96"/>
      <c r="J17" s="99" t="str">
        <f>+TEXT(B5,0)&amp;" - Scaling"</f>
        <v>0 - Scaling</v>
      </c>
      <c r="K17" s="302" t="e">
        <f ca="1">+(Q5/L5)^J5*R5*((K16/Q5)/(M5/L5))^K5</f>
        <v>#DIV/0!</v>
      </c>
      <c r="L17" s="195" t="e">
        <f ca="1">+(Q5/L5)^J5*R5*((L16/Q5)/(M5/L5))^K5</f>
        <v>#DIV/0!</v>
      </c>
      <c r="M17" s="195" t="e">
        <f ca="1">+(Q5/L5)^J5*R5*((M16/Q5)/(M5/L5))^K5</f>
        <v>#DIV/0!</v>
      </c>
      <c r="N17" s="195" t="e">
        <f ca="1">+(Q5/L5)^J5*R5*((N16/Q5)/(M5/L5))^K5</f>
        <v>#DIV/0!</v>
      </c>
      <c r="O17" s="195" t="e">
        <f ca="1">+(Q5/L5)^J5*R5*((O16/Q5)/(M5/L5))^K5</f>
        <v>#DIV/0!</v>
      </c>
      <c r="P17" s="195" t="e">
        <f ca="1">+(Q5/L5)^J5*R5*((P16/Q5)/(M5/L5))^K5</f>
        <v>#DIV/0!</v>
      </c>
      <c r="Q17" s="195" t="e">
        <f ca="1">+(Q5/L5)^J5*R5*((Q16/Q5)/(M5/L5))^K5</f>
        <v>#DIV/0!</v>
      </c>
      <c r="R17" s="195" t="e">
        <f ca="1">+(Q5/L5)^J5*R5*((R16/Q5)/(M5/L5))^K5</f>
        <v>#DIV/0!</v>
      </c>
      <c r="S17" s="195" t="e">
        <f ca="1">+(Q5/L5)^J5*R5*((S16/Q5)/(M5/L5))^K5</f>
        <v>#DIV/0!</v>
      </c>
      <c r="T17" s="243" t="e">
        <f ca="1">+(Q5/L5)^J5*R5*((T16/Q5)/(M5/L5))^K5</f>
        <v>#DIV/0!</v>
      </c>
      <c r="U17" s="84"/>
    </row>
    <row r="18" spans="2:21" x14ac:dyDescent="0.2">
      <c r="B18" s="273"/>
      <c r="C18" s="96"/>
      <c r="D18" s="96"/>
      <c r="E18" s="96"/>
      <c r="F18" s="96"/>
      <c r="G18" s="96"/>
      <c r="H18" s="96"/>
      <c r="I18" s="96"/>
      <c r="J18" s="99" t="str">
        <f>+TEXT(B6,0)&amp;" - Scaling"</f>
        <v>0 - Scaling</v>
      </c>
      <c r="K18" s="234" t="e">
        <f ca="1">+(Q6/L6)^J6*R6*((K16/Q6)/(M6/L6))^K6</f>
        <v>#DIV/0!</v>
      </c>
      <c r="L18" s="158" t="e">
        <f ca="1">+(Q6/L6)^J6*R6*((L16/Q6)/(M6/L6))^K6</f>
        <v>#DIV/0!</v>
      </c>
      <c r="M18" s="158" t="e">
        <f ca="1">+(Q6/L6)^J6*R6*((M16/Q6)/(M6/L6))^K6</f>
        <v>#DIV/0!</v>
      </c>
      <c r="N18" s="158" t="e">
        <f ca="1">+(Q6/L6)^J6*R6*((N16/Q6)/(M6/L6))^K6</f>
        <v>#DIV/0!</v>
      </c>
      <c r="O18" s="158" t="e">
        <f ca="1">+(Q6/L6)^J6*R6*((O16/Q6)/(M6/L6))^K6</f>
        <v>#DIV/0!</v>
      </c>
      <c r="P18" s="158" t="e">
        <f ca="1">+(Q6/L6)^J6*R6*((P16/Q6)/(M6/L6))^K6</f>
        <v>#DIV/0!</v>
      </c>
      <c r="Q18" s="158" t="e">
        <f ca="1">+(Q6/L6)^J6*R6*((Q16/Q6)/(M6/L6))^K6</f>
        <v>#DIV/0!</v>
      </c>
      <c r="R18" s="158" t="e">
        <f ca="1">+(Q6/L6)^J6*R6*((R16/Q6)/(M6/L6))^K6</f>
        <v>#DIV/0!</v>
      </c>
      <c r="S18" s="158" t="e">
        <f ca="1">+(Q6/L6)^J6*R6*((S16/Q6)/(M6/L6))^K6</f>
        <v>#DIV/0!</v>
      </c>
      <c r="T18" s="233" t="e">
        <f ca="1">+(Q6/L6)^J6*R6*((T16/Q6)/(M6/L6))^K6</f>
        <v>#DIV/0!</v>
      </c>
      <c r="U18" s="84"/>
    </row>
    <row r="19" spans="2:21" x14ac:dyDescent="0.2">
      <c r="B19" s="273"/>
      <c r="C19" s="96"/>
      <c r="D19" s="96"/>
      <c r="E19" s="96"/>
      <c r="F19" s="96"/>
      <c r="G19" s="96"/>
      <c r="H19" s="96"/>
      <c r="I19" s="96"/>
      <c r="J19" s="99" t="str">
        <f>+TEXT(B7,0)&amp;" - Scaling"</f>
        <v>0 - Scaling</v>
      </c>
      <c r="K19" s="234" t="e">
        <f ca="1">+(Q7/L7)^J7*R7*((K16/Q7)/(M7/L7))^K7</f>
        <v>#DIV/0!</v>
      </c>
      <c r="L19" s="158" t="e">
        <f ca="1">+(Q7/L7)^J7*R7*((L16/Q7)/(M7/L7))^K7</f>
        <v>#DIV/0!</v>
      </c>
      <c r="M19" s="158" t="e">
        <f ca="1">+(Q7/L7)^J7*R7*((M16/Q7)/(M7/L7))^K7</f>
        <v>#DIV/0!</v>
      </c>
      <c r="N19" s="158" t="e">
        <f ca="1">+(Q7/L7)^J7*R7*((N16/Q7)/(M7/L7))^K7</f>
        <v>#DIV/0!</v>
      </c>
      <c r="O19" s="158" t="e">
        <f ca="1">+(Q7/L7)^J7*R7*((O16/Q7)/(M7/L7))^K7</f>
        <v>#DIV/0!</v>
      </c>
      <c r="P19" s="158" t="e">
        <f ca="1">+(Q7/L7)^J7*R7*((P16/Q7)/(M7/L7))^K7</f>
        <v>#DIV/0!</v>
      </c>
      <c r="Q19" s="158" t="e">
        <f ca="1">+(Q7/L7)^J7*R7*((Q16/Q7)/(M7/L7))^K7</f>
        <v>#DIV/0!</v>
      </c>
      <c r="R19" s="158" t="e">
        <f ca="1">+(Q7/L7)^J7*R7*((R16/Q7)/(M7/L7))^K7</f>
        <v>#DIV/0!</v>
      </c>
      <c r="S19" s="158" t="e">
        <f ca="1">+(Q7/L7)^J7*R7*((S16/Q7)/(M7/L7))^K7</f>
        <v>#DIV/0!</v>
      </c>
      <c r="T19" s="233" t="e">
        <f ca="1">+(Q7/L7)^J7*R7*((T16/Q7)/(M7/L7))^K7</f>
        <v>#DIV/0!</v>
      </c>
      <c r="U19" s="84"/>
    </row>
    <row r="20" spans="2:21" x14ac:dyDescent="0.2">
      <c r="B20" s="273"/>
      <c r="C20" s="96"/>
      <c r="D20" s="96"/>
      <c r="E20" s="96"/>
      <c r="F20" s="96"/>
      <c r="G20" s="96"/>
      <c r="H20" s="96"/>
      <c r="I20" s="96"/>
      <c r="J20" s="99" t="str">
        <f>+TEXT(B8,0)&amp;" - Scaling"</f>
        <v>0 - Scaling</v>
      </c>
      <c r="K20" s="234" t="e">
        <f ca="1">+(Q8/L8)^J8*R8*((K16/Q8)/(M8/L8))^K8</f>
        <v>#DIV/0!</v>
      </c>
      <c r="L20" s="158" t="e">
        <f ca="1">+(Q8/L8)^J8*R8*((L16/Q8)/(M8/L8))^K8</f>
        <v>#DIV/0!</v>
      </c>
      <c r="M20" s="158" t="e">
        <f ca="1">+(Q8/L8)^J8*R8*((M16/Q8)/(M8/L8))^K8</f>
        <v>#DIV/0!</v>
      </c>
      <c r="N20" s="158" t="e">
        <f ca="1">+(Q8/L8)^J8*R8*((N16/Q8)/(M8/L8))^K8</f>
        <v>#DIV/0!</v>
      </c>
      <c r="O20" s="158" t="e">
        <f ca="1">+(Q8/L8)^J8*R8*((O16/Q8)/(M8/L8))^K8</f>
        <v>#DIV/0!</v>
      </c>
      <c r="P20" s="158" t="e">
        <f ca="1">+(Q8/L8)^J8*R8*((P16/Q8)/(M8/L8))^K8</f>
        <v>#DIV/0!</v>
      </c>
      <c r="Q20" s="158" t="e">
        <f ca="1">+(Q8/L8)^J8*R8*((Q16/Q8)/(M8/L8))^K8</f>
        <v>#DIV/0!</v>
      </c>
      <c r="R20" s="158" t="e">
        <f ca="1">+(Q8/L8)^J8*R8*((R16/Q8)/(M8/L8))^K8</f>
        <v>#DIV/0!</v>
      </c>
      <c r="S20" s="158" t="e">
        <f ca="1">+(Q8/L8)^J8*R8*((S16/Q8)/(M8/L8))^K8</f>
        <v>#DIV/0!</v>
      </c>
      <c r="T20" s="233" t="e">
        <f ca="1">+(Q8/L8)^J8*R8*((T16/Q8)/(M8/L8))^K8</f>
        <v>#DIV/0!</v>
      </c>
      <c r="U20" s="84"/>
    </row>
    <row r="21" spans="2:21" x14ac:dyDescent="0.2">
      <c r="B21" s="273"/>
      <c r="C21" s="96"/>
      <c r="D21" s="96"/>
      <c r="E21" s="96"/>
      <c r="F21" s="96"/>
      <c r="G21" s="96"/>
      <c r="H21" s="96"/>
      <c r="I21" s="96"/>
      <c r="J21" s="99" t="str">
        <f t="shared" ref="J21:J22" si="0">+TEXT(B9,0)&amp;" - Scaling"</f>
        <v>0 - Scaling</v>
      </c>
      <c r="K21" s="273" t="e">
        <f ca="1">+(Q9/L9)^J9*R9*((K17/Q9)/(M9/L9))^K9</f>
        <v>#DIV/0!</v>
      </c>
      <c r="L21" s="158" t="e">
        <f ca="1">+(Q9/L9)^J9*R9*((L16/Q9)/(M9/L9))^K9</f>
        <v>#DIV/0!</v>
      </c>
      <c r="M21" s="158" t="e">
        <f ca="1">+(Q9/L9)^J9*R9*((M16/Q9)/(M9/L9))^K9</f>
        <v>#DIV/0!</v>
      </c>
      <c r="N21" s="158" t="e">
        <f ca="1">+(Q9/L9)^J9*R9*((N16/Q9)/(M9/L9))^K9</f>
        <v>#DIV/0!</v>
      </c>
      <c r="O21" s="158" t="e">
        <f ca="1">+(Q9/L9)^J9*R9*((O16/Q9)/(M9/L9))^K9</f>
        <v>#DIV/0!</v>
      </c>
      <c r="P21" s="158" t="e">
        <f ca="1">+(Q9/L9)^J9*R9*((P16/Q9)/(M9/L9))^K9</f>
        <v>#DIV/0!</v>
      </c>
      <c r="Q21" s="158" t="e">
        <f ca="1">+(Q9/L9)^J9*R9*((Q16/Q9)/(M9/L9))^K9</f>
        <v>#DIV/0!</v>
      </c>
      <c r="R21" s="158" t="e">
        <f ca="1">+(Q9/L9)^J9*R9*((R16/Q9)/(M9/L9))^K9</f>
        <v>#DIV/0!</v>
      </c>
      <c r="S21" s="158" t="e">
        <f ca="1">+(Q9/L9)^J9*R9*((S16/Q9)/(M9/L9))^K9</f>
        <v>#DIV/0!</v>
      </c>
      <c r="T21" s="233" t="e">
        <f ca="1">+(Q9/L9)^J9*R9*((T16/Q9)/(M9/L9))^K9</f>
        <v>#DIV/0!</v>
      </c>
      <c r="U21" s="84"/>
    </row>
    <row r="22" spans="2:21" x14ac:dyDescent="0.2">
      <c r="B22" s="273"/>
      <c r="C22" s="96"/>
      <c r="D22" s="96"/>
      <c r="E22" s="96"/>
      <c r="F22" s="96"/>
      <c r="G22" s="96"/>
      <c r="H22" s="96"/>
      <c r="I22" s="96"/>
      <c r="J22" s="99" t="str">
        <f t="shared" si="0"/>
        <v>0 - Scaling</v>
      </c>
      <c r="K22" s="274" t="e">
        <f ca="1">+(Q10/L10)^J10*R10*((K16/Q10)/(M10/L10))^K10</f>
        <v>#DIV/0!</v>
      </c>
      <c r="L22" s="370" t="e">
        <f ca="1">+(Q10/L10)^J10*R10*((L16/Q10)/(M10/L10))^K10</f>
        <v>#DIV/0!</v>
      </c>
      <c r="M22" s="370" t="e">
        <f ca="1">+(Q10/L10)^J10*R10*((M16/Q10)/(M10/L10))^K10</f>
        <v>#DIV/0!</v>
      </c>
      <c r="N22" s="370" t="e">
        <f ca="1">+(Q10/L10)^J10*R10*((N16/Q10)/(M10/L10))^K10</f>
        <v>#DIV/0!</v>
      </c>
      <c r="O22" s="370" t="e">
        <f ca="1">+(Q10/L10)^J10*R10*((O16/Q10)/(M10/L10))^K10</f>
        <v>#DIV/0!</v>
      </c>
      <c r="P22" s="370" t="e" cm="1">
        <f t="array" aca="1" ref="P22" ca="1">+(Q10/L10)^J10*R10*((P16/Q10)/(M10/P26L17))^K10</f>
        <v>#DIV/0!</v>
      </c>
      <c r="Q22" s="370" t="e">
        <f ca="1">+(Q10/L10)^J10*R10*((Q16/Q10)/(M10/L10))^K10</f>
        <v>#DIV/0!</v>
      </c>
      <c r="R22" s="370" t="e">
        <f ca="1">+(Q10/L10)^J10*R10*((R16/Q10)/(M10/L10))^K10</f>
        <v>#DIV/0!</v>
      </c>
      <c r="S22" s="370" t="e">
        <f ca="1">+(Q10/L10)^J10*R10*((S16/Q10)/(M10/L10))^K10</f>
        <v>#DIV/0!</v>
      </c>
      <c r="T22" s="321" t="e">
        <f ca="1">+(Q10/L10)^J10*R10*((T16/Q10)/(M10/L10))^K10</f>
        <v>#DIV/0!</v>
      </c>
      <c r="U22" s="84"/>
    </row>
    <row r="23" spans="2:21" x14ac:dyDescent="0.2">
      <c r="B23" s="273"/>
      <c r="C23" s="96"/>
      <c r="D23" s="96"/>
      <c r="E23" s="96"/>
      <c r="F23" s="96"/>
      <c r="G23" s="96"/>
      <c r="H23" s="96"/>
      <c r="I23" s="96"/>
      <c r="J23" s="86" t="s">
        <v>613</v>
      </c>
      <c r="K23" s="86" t="s">
        <v>881</v>
      </c>
      <c r="L23" s="96"/>
      <c r="M23" s="96"/>
      <c r="N23" s="96"/>
      <c r="O23" s="96"/>
      <c r="P23" s="96"/>
      <c r="Q23" s="96"/>
      <c r="R23" s="96"/>
      <c r="S23" s="96"/>
      <c r="U23" s="84"/>
    </row>
    <row r="24" spans="2:21" x14ac:dyDescent="0.2">
      <c r="B24" s="273"/>
      <c r="C24" s="96"/>
      <c r="D24" s="96"/>
      <c r="E24" s="96"/>
      <c r="F24" s="96"/>
      <c r="G24" s="96"/>
      <c r="H24" s="96"/>
      <c r="I24" s="96"/>
      <c r="J24" s="182">
        <f>+B5</f>
        <v>0</v>
      </c>
      <c r="K24" s="331" t="e">
        <f ca="1">+R5/(M5/Q5)</f>
        <v>#VALUE!</v>
      </c>
      <c r="L24" s="96"/>
      <c r="M24" s="96"/>
      <c r="N24" s="96"/>
      <c r="O24" s="96"/>
      <c r="P24" s="96"/>
      <c r="Q24" s="96"/>
      <c r="R24" s="96"/>
      <c r="S24" s="96"/>
      <c r="U24" s="84"/>
    </row>
    <row r="25" spans="2:21" x14ac:dyDescent="0.2">
      <c r="B25" s="273"/>
      <c r="C25" s="96"/>
      <c r="D25" s="96"/>
      <c r="E25" s="96"/>
      <c r="F25" s="96"/>
      <c r="G25" s="96"/>
      <c r="H25" s="96"/>
      <c r="I25" s="96"/>
      <c r="J25" s="99">
        <f>+B6</f>
        <v>0</v>
      </c>
      <c r="K25" s="344" t="e">
        <f ca="1">+R6/(M6/Q6)</f>
        <v>#VALUE!</v>
      </c>
      <c r="L25" s="96"/>
      <c r="M25" s="96"/>
      <c r="N25" s="96"/>
      <c r="O25" s="96"/>
      <c r="P25" s="96"/>
      <c r="Q25" s="96"/>
      <c r="R25" s="96"/>
      <c r="S25" s="96"/>
      <c r="U25" s="84"/>
    </row>
    <row r="26" spans="2:21" x14ac:dyDescent="0.2">
      <c r="B26" s="91"/>
      <c r="F26" s="96"/>
      <c r="G26" s="96"/>
      <c r="J26" s="99">
        <f>+B7</f>
        <v>0</v>
      </c>
      <c r="K26" s="344" t="e">
        <f ca="1">+R7/(M7/Q7)</f>
        <v>#VALUE!</v>
      </c>
      <c r="U26" s="84"/>
    </row>
    <row r="27" spans="2:21" x14ac:dyDescent="0.2">
      <c r="B27" s="91"/>
      <c r="F27" s="96"/>
      <c r="G27" s="96"/>
      <c r="J27" s="173">
        <f>+B8</f>
        <v>0</v>
      </c>
      <c r="K27" s="351" t="e">
        <f ca="1">+R8/(M8/Q8)</f>
        <v>#VALUE!</v>
      </c>
      <c r="U27" s="84"/>
    </row>
    <row r="28" spans="2:21" x14ac:dyDescent="0.2">
      <c r="B28" s="91"/>
      <c r="F28" s="96"/>
      <c r="G28" s="96"/>
      <c r="J28" s="96"/>
      <c r="U28" s="84"/>
    </row>
    <row r="29" spans="2:21" x14ac:dyDescent="0.2">
      <c r="B29" s="91"/>
      <c r="F29" s="96"/>
      <c r="G29" s="96"/>
      <c r="U29" s="84"/>
    </row>
    <row r="30" spans="2:21" x14ac:dyDescent="0.2">
      <c r="B30" s="91"/>
      <c r="F30" s="96"/>
      <c r="G30" s="96"/>
      <c r="U30" s="84"/>
    </row>
    <row r="31" spans="2:21" x14ac:dyDescent="0.2">
      <c r="B31" s="91"/>
      <c r="F31" s="96"/>
      <c r="G31" s="96"/>
      <c r="U31" s="84"/>
    </row>
    <row r="32" spans="2:21" x14ac:dyDescent="0.2">
      <c r="B32" s="91"/>
      <c r="F32" s="96"/>
      <c r="G32" s="96"/>
      <c r="U32" s="84"/>
    </row>
    <row r="33" spans="2:21" x14ac:dyDescent="0.2">
      <c r="B33" s="91"/>
      <c r="F33" s="96"/>
      <c r="G33" s="96"/>
      <c r="U33" s="84"/>
    </row>
    <row r="34" spans="2:21" x14ac:dyDescent="0.2">
      <c r="B34" s="91"/>
      <c r="F34" s="96"/>
      <c r="G34" s="96"/>
      <c r="U34" s="84"/>
    </row>
    <row r="35" spans="2:21" x14ac:dyDescent="0.2">
      <c r="B35" s="91"/>
      <c r="F35" s="96"/>
      <c r="G35" s="96"/>
      <c r="U35" s="84"/>
    </row>
    <row r="36" spans="2:21" x14ac:dyDescent="0.2">
      <c r="B36" s="325"/>
      <c r="C36" s="326"/>
      <c r="D36" s="326"/>
      <c r="E36" s="326"/>
      <c r="F36" s="275"/>
      <c r="G36" s="275"/>
      <c r="H36" s="326"/>
      <c r="I36" s="326"/>
      <c r="J36" s="326"/>
      <c r="K36" s="326"/>
      <c r="L36" s="326"/>
      <c r="M36" s="326"/>
      <c r="N36" s="326"/>
      <c r="O36" s="326"/>
      <c r="P36" s="326"/>
      <c r="Q36" s="326"/>
      <c r="R36" s="326"/>
      <c r="S36" s="326"/>
      <c r="T36" s="326"/>
      <c r="U36" s="328"/>
    </row>
    <row r="37" spans="2:21" x14ac:dyDescent="0.2">
      <c r="B37" s="174">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88D7C2A10C36B14BA84F081365F410E1" ma:contentTypeVersion="41" ma:contentTypeDescription="Create a new document." ma:contentTypeScope="" ma:versionID="a75edf28313dff56fb20ea31afc7ba26">
  <xsd:schema xmlns:xsd="http://www.w3.org/2001/XMLSchema" xmlns:xs="http://www.w3.org/2001/XMLSchema" xmlns:p="http://schemas.microsoft.com/office/2006/metadata/properties" xmlns:ns2="8bbd4995-53b7-43e2-b62f-10947586ac31" xmlns:ns3="ef543858-95b8-4259-b966-0518547eb519" xmlns:ns4="eb606911-8bc6-4612-97d8-cce89af4f861" targetNamespace="http://schemas.microsoft.com/office/2006/metadata/properties" ma:root="true" ma:fieldsID="87982e90f4b7fa8942e08d373aa1533a" ns2:_="" ns3:_="" ns4:_="">
    <xsd:import namespace="8bbd4995-53b7-43e2-b62f-10947586ac31"/>
    <xsd:import namespace="ef543858-95b8-4259-b966-0518547eb519"/>
    <xsd:import namespace="eb606911-8bc6-4612-97d8-cce89af4f861"/>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4:SharedWithUsers" minOccurs="0"/>
                <xsd:element ref="ns4:SharedWithDetails"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f543858-95b8-4259-b966-0518547eb519"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ObjectDetectorVersions" ma:index="4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b606911-8bc6-4612-97d8-cce89af4f861" elementFormDefault="qualified">
    <xsd:import namespace="http://schemas.microsoft.com/office/2006/documentManagement/types"/>
    <xsd:import namespace="http://schemas.microsoft.com/office/infopath/2007/PartnerControls"/>
    <xsd:element name="SharedWithUsers" ma:index="4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4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F656670-244E-483F-B5CB-BC345A6ACC84}">
  <ds:schemaRefs>
    <ds:schemaRef ds:uri="http://schemas.microsoft.com/office/2006/metadata/properties"/>
    <ds:schemaRef ds:uri="http://schemas.microsoft.com/office/infopath/2007/PartnerControls"/>
    <ds:schemaRef ds:uri="8bbd4995-53b7-43e2-b62f-10947586ac31"/>
  </ds:schemaRefs>
</ds:datastoreItem>
</file>

<file path=customXml/itemProps2.xml><?xml version="1.0" encoding="utf-8"?>
<ds:datastoreItem xmlns:ds="http://schemas.openxmlformats.org/officeDocument/2006/customXml" ds:itemID="{35CF7AD8-694B-44AC-8776-7C928E0A8AE3}">
  <ds:schemaRefs>
    <ds:schemaRef ds:uri="http://schemas.microsoft.com/DataMashup"/>
  </ds:schemaRefs>
</ds:datastoreItem>
</file>

<file path=customXml/itemProps3.xml><?xml version="1.0" encoding="utf-8"?>
<ds:datastoreItem xmlns:ds="http://schemas.openxmlformats.org/officeDocument/2006/customXml" ds:itemID="{4A0C3C74-6E78-44DD-B4D0-A8B8363CAB6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ef543858-95b8-4259-b966-0518547eb519"/>
    <ds:schemaRef ds:uri="eb606911-8bc6-4612-97d8-cce89af4f86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3218219-2A84-47A6-9FAA-ABB369901E2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24</vt:i4>
      </vt:variant>
      <vt:variant>
        <vt:lpstr>Named Ranges</vt:lpstr>
      </vt:variant>
      <vt:variant>
        <vt:i4>754</vt:i4>
      </vt:variant>
    </vt:vector>
  </HeadingPairs>
  <TitlesOfParts>
    <vt:vector size="778" baseType="lpstr">
      <vt:lpstr>SEA Tool</vt:lpstr>
      <vt:lpstr>Plant Overview</vt:lpstr>
      <vt:lpstr>Unit-100 - GSR Island</vt:lpstr>
      <vt:lpstr>Unit-200 WGS</vt:lpstr>
      <vt:lpstr>Unit-300 N2 Purification</vt:lpstr>
      <vt:lpstr>Unit-100 Reformer Island</vt:lpstr>
      <vt:lpstr>Unit-400 PSA</vt:lpstr>
      <vt:lpstr>Unit-500 - CO2 CPU</vt:lpstr>
      <vt:lpstr>Unit-300 MDEA Absorption</vt:lpstr>
      <vt:lpstr>Unit-600 Synthesis loop</vt:lpstr>
      <vt:lpstr>Unit-700 Refrigeration-Storage</vt:lpstr>
      <vt:lpstr>Unit-800 Steam Cycle &amp; CWT cor</vt:lpstr>
      <vt:lpstr>Unit-800 Steam Cycle &amp; CWT</vt:lpstr>
      <vt:lpstr>Plant CAPEX</vt:lpstr>
      <vt:lpstr>Plant OPEX</vt:lpstr>
      <vt:lpstr>Cash Flow Analysis</vt:lpstr>
      <vt:lpstr>Input to SSM</vt:lpstr>
      <vt:lpstr>Estimate Benchmark</vt:lpstr>
      <vt:lpstr>Unit-X00 Equipment</vt:lpstr>
      <vt:lpstr>Bibliography</vt:lpstr>
      <vt:lpstr>Cost Conversion</vt:lpstr>
      <vt:lpstr>Technology Block Data</vt:lpstr>
      <vt:lpstr>Equipment Data</vt:lpstr>
      <vt:lpstr>Unit X00 - Benchmark</vt:lpstr>
      <vt:lpstr>'Unit-100 - GSR Island'!Axial</vt:lpstr>
      <vt:lpstr>'Unit-100 Reformer Island'!Axial</vt:lpstr>
      <vt:lpstr>'Unit-200 WGS'!Axial</vt:lpstr>
      <vt:lpstr>'Unit-300 MDEA Absorption'!Axial</vt:lpstr>
      <vt:lpstr>'Unit-300 N2 Purification'!Axial</vt:lpstr>
      <vt:lpstr>'Unit-400 PSA'!Axial</vt:lpstr>
      <vt:lpstr>'Unit-500 - CO2 CPU'!Axial</vt:lpstr>
      <vt:lpstr>'Unit-600 Synthesis loop'!Axial</vt:lpstr>
      <vt:lpstr>'Unit-700 Refrigeration-Storage'!Axial</vt:lpstr>
      <vt:lpstr>'Unit-800 Steam Cycle &amp; CWT'!Axial</vt:lpstr>
      <vt:lpstr>'Unit-800 Steam Cycle &amp; CWT cor'!Axial</vt:lpstr>
      <vt:lpstr>'Unit-100 - GSR Island'!Blender</vt:lpstr>
      <vt:lpstr>'Unit-100 Reformer Island'!Blender</vt:lpstr>
      <vt:lpstr>'Unit-200 WGS'!Blender</vt:lpstr>
      <vt:lpstr>'Unit-300 MDEA Absorption'!Blender</vt:lpstr>
      <vt:lpstr>'Unit-300 N2 Purification'!Blender</vt:lpstr>
      <vt:lpstr>'Unit-400 PSA'!Blender</vt:lpstr>
      <vt:lpstr>'Unit-500 - CO2 CPU'!Blender</vt:lpstr>
      <vt:lpstr>'Unit-600 Synthesis loop'!Blender</vt:lpstr>
      <vt:lpstr>'Unit-700 Refrigeration-Storage'!Blender</vt:lpstr>
      <vt:lpstr>'Unit-800 Steam Cycle &amp; CWT'!Blender</vt:lpstr>
      <vt:lpstr>'Unit-800 Steam Cycle &amp; CWT cor'!Blender</vt:lpstr>
      <vt:lpstr>'Unit-100 - GSR Island'!Blender_Material</vt:lpstr>
      <vt:lpstr>'Unit-100 Reformer Island'!Blender_Material</vt:lpstr>
      <vt:lpstr>'Unit-200 WGS'!Blender_Material</vt:lpstr>
      <vt:lpstr>'Unit-300 MDEA Absorption'!Blender_Material</vt:lpstr>
      <vt:lpstr>'Unit-300 N2 Purification'!Blender_Material</vt:lpstr>
      <vt:lpstr>'Unit-400 PSA'!Blender_Material</vt:lpstr>
      <vt:lpstr>'Unit-500 - CO2 CPU'!Blender_Material</vt:lpstr>
      <vt:lpstr>'Unit-600 Synthesis loop'!Blender_Material</vt:lpstr>
      <vt:lpstr>'Unit-700 Refrigeration-Storage'!Blender_Material</vt:lpstr>
      <vt:lpstr>'Unit-800 Steam Cycle &amp; CWT'!Blender_Material</vt:lpstr>
      <vt:lpstr>'Unit-800 Steam Cycle &amp; CWT cor'!Blender_Material</vt:lpstr>
      <vt:lpstr>'Cash Flow Analysis'!Case</vt:lpstr>
      <vt:lpstr>'Estimate Benchmark'!Case</vt:lpstr>
      <vt:lpstr>'Plant Overview'!Case</vt:lpstr>
      <vt:lpstr>'Unit-100 - GSR Island'!Case</vt:lpstr>
      <vt:lpstr>'Unit-100 Reformer Island'!Case</vt:lpstr>
      <vt:lpstr>'Unit-200 WGS'!Case</vt:lpstr>
      <vt:lpstr>'Unit-300 MDEA Absorption'!Case</vt:lpstr>
      <vt:lpstr>'Unit-300 N2 Purification'!Case</vt:lpstr>
      <vt:lpstr>'Unit-400 PSA'!Case</vt:lpstr>
      <vt:lpstr>'Unit-500 - CO2 CPU'!Case</vt:lpstr>
      <vt:lpstr>'Unit-600 Synthesis loop'!Case</vt:lpstr>
      <vt:lpstr>'Unit-700 Refrigeration-Storage'!Case</vt:lpstr>
      <vt:lpstr>'Unit-800 Steam Cycle &amp; CWT'!Case</vt:lpstr>
      <vt:lpstr>'Unit-800 Steam Cycle &amp; CWT cor'!Case</vt:lpstr>
      <vt:lpstr>'Unit-100 - GSR Island'!Centrifuge</vt:lpstr>
      <vt:lpstr>'Unit-100 Reformer Island'!Centrifuge</vt:lpstr>
      <vt:lpstr>'Unit-200 WGS'!Centrifuge</vt:lpstr>
      <vt:lpstr>'Unit-300 MDEA Absorption'!Centrifuge</vt:lpstr>
      <vt:lpstr>'Unit-300 N2 Purification'!Centrifuge</vt:lpstr>
      <vt:lpstr>'Unit-400 PSA'!Centrifuge</vt:lpstr>
      <vt:lpstr>'Unit-500 - CO2 CPU'!Centrifuge</vt:lpstr>
      <vt:lpstr>'Unit-600 Synthesis loop'!Centrifuge</vt:lpstr>
      <vt:lpstr>'Unit-700 Refrigeration-Storage'!Centrifuge</vt:lpstr>
      <vt:lpstr>'Unit-800 Steam Cycle &amp; CWT'!Centrifuge</vt:lpstr>
      <vt:lpstr>'Unit-800 Steam Cycle &amp; CWT cor'!Centrifuge</vt:lpstr>
      <vt:lpstr>'Unit-100 - GSR Island'!Centrifuge_Material</vt:lpstr>
      <vt:lpstr>'Unit-100 Reformer Island'!Centrifuge_Material</vt:lpstr>
      <vt:lpstr>'Unit-200 WGS'!Centrifuge_Material</vt:lpstr>
      <vt:lpstr>'Unit-300 MDEA Absorption'!Centrifuge_Material</vt:lpstr>
      <vt:lpstr>'Unit-300 N2 Purification'!Centrifuge_Material</vt:lpstr>
      <vt:lpstr>'Unit-400 PSA'!Centrifuge_Material</vt:lpstr>
      <vt:lpstr>'Unit-500 - CO2 CPU'!Centrifuge_Material</vt:lpstr>
      <vt:lpstr>'Unit-600 Synthesis loop'!Centrifuge_Material</vt:lpstr>
      <vt:lpstr>'Unit-700 Refrigeration-Storage'!Centrifuge_Material</vt:lpstr>
      <vt:lpstr>'Unit-800 Steam Cycle &amp; CWT'!Centrifuge_Material</vt:lpstr>
      <vt:lpstr>'Unit-800 Steam Cycle &amp; CWT cor'!Centrifuge_Material</vt:lpstr>
      <vt:lpstr>'Unit-100 - GSR Island'!Compressor</vt:lpstr>
      <vt:lpstr>'Unit-100 Reformer Island'!Compressor</vt:lpstr>
      <vt:lpstr>'Unit-200 WGS'!Compressor</vt:lpstr>
      <vt:lpstr>'Unit-300 MDEA Absorption'!Compressor</vt:lpstr>
      <vt:lpstr>'Unit-300 N2 Purification'!Compressor</vt:lpstr>
      <vt:lpstr>'Unit-400 PSA'!Compressor</vt:lpstr>
      <vt:lpstr>'Unit-500 - CO2 CPU'!Compressor</vt:lpstr>
      <vt:lpstr>'Unit-600 Synthesis loop'!Compressor</vt:lpstr>
      <vt:lpstr>'Unit-700 Refrigeration-Storage'!Compressor</vt:lpstr>
      <vt:lpstr>'Unit-800 Steam Cycle &amp; CWT'!Compressor</vt:lpstr>
      <vt:lpstr>'Unit-800 Steam Cycle &amp; CWT cor'!Compressor</vt:lpstr>
      <vt:lpstr>'Unit-100 - GSR Island'!Compressor_Material</vt:lpstr>
      <vt:lpstr>'Unit-100 Reformer Island'!Compressor_Material</vt:lpstr>
      <vt:lpstr>'Unit-200 WGS'!Compressor_Material</vt:lpstr>
      <vt:lpstr>'Unit-300 MDEA Absorption'!Compressor_Material</vt:lpstr>
      <vt:lpstr>'Unit-300 N2 Purification'!Compressor_Material</vt:lpstr>
      <vt:lpstr>'Unit-400 PSA'!Compressor_Material</vt:lpstr>
      <vt:lpstr>'Unit-500 - CO2 CPU'!Compressor_Material</vt:lpstr>
      <vt:lpstr>'Unit-600 Synthesis loop'!Compressor_Material</vt:lpstr>
      <vt:lpstr>'Unit-700 Refrigeration-Storage'!Compressor_Material</vt:lpstr>
      <vt:lpstr>'Unit-800 Steam Cycle &amp; CWT'!Compressor_Material</vt:lpstr>
      <vt:lpstr>'Unit-800 Steam Cycle &amp; CWT cor'!Compressor_Material</vt:lpstr>
      <vt:lpstr>'Cash Flow Analysis'!Construction</vt:lpstr>
      <vt:lpstr>'Estimate Benchmark'!Construction</vt:lpstr>
      <vt:lpstr>'Plant Overview'!Construction</vt:lpstr>
      <vt:lpstr>'Unit-100 - GSR Island'!Construction</vt:lpstr>
      <vt:lpstr>'Unit-100 Reformer Island'!Construction</vt:lpstr>
      <vt:lpstr>'Unit-200 WGS'!Construction</vt:lpstr>
      <vt:lpstr>'Unit-300 MDEA Absorption'!Construction</vt:lpstr>
      <vt:lpstr>'Unit-300 N2 Purification'!Construction</vt:lpstr>
      <vt:lpstr>'Unit-400 PSA'!Construction</vt:lpstr>
      <vt:lpstr>'Unit-500 - CO2 CPU'!Construction</vt:lpstr>
      <vt:lpstr>'Unit-600 Synthesis loop'!Construction</vt:lpstr>
      <vt:lpstr>'Unit-700 Refrigeration-Storage'!Construction</vt:lpstr>
      <vt:lpstr>'Unit-800 Steam Cycle &amp; CWT'!Construction</vt:lpstr>
      <vt:lpstr>'Unit-800 Steam Cycle &amp; CWT cor'!Construction</vt:lpstr>
      <vt:lpstr>'Unit-100 - GSR Island'!Conveyor</vt:lpstr>
      <vt:lpstr>'Unit-100 Reformer Island'!Conveyor</vt:lpstr>
      <vt:lpstr>'Unit-200 WGS'!Conveyor</vt:lpstr>
      <vt:lpstr>'Unit-300 MDEA Absorption'!Conveyor</vt:lpstr>
      <vt:lpstr>'Unit-300 N2 Purification'!Conveyor</vt:lpstr>
      <vt:lpstr>'Unit-400 PSA'!Conveyor</vt:lpstr>
      <vt:lpstr>'Unit-500 - CO2 CPU'!Conveyor</vt:lpstr>
      <vt:lpstr>'Unit-600 Synthesis loop'!Conveyor</vt:lpstr>
      <vt:lpstr>'Unit-700 Refrigeration-Storage'!Conveyor</vt:lpstr>
      <vt:lpstr>'Unit-800 Steam Cycle &amp; CWT'!Conveyor</vt:lpstr>
      <vt:lpstr>'Unit-800 Steam Cycle &amp; CWT cor'!Conveyor</vt:lpstr>
      <vt:lpstr>'Unit-100 - GSR Island'!Conveyor_Material</vt:lpstr>
      <vt:lpstr>'Unit-100 Reformer Island'!Conveyor_Material</vt:lpstr>
      <vt:lpstr>'Unit-200 WGS'!Conveyor_Material</vt:lpstr>
      <vt:lpstr>'Unit-300 MDEA Absorption'!Conveyor_Material</vt:lpstr>
      <vt:lpstr>'Unit-300 N2 Purification'!Conveyor_Material</vt:lpstr>
      <vt:lpstr>'Unit-400 PSA'!Conveyor_Material</vt:lpstr>
      <vt:lpstr>'Unit-500 - CO2 CPU'!Conveyor_Material</vt:lpstr>
      <vt:lpstr>'Unit-600 Synthesis loop'!Conveyor_Material</vt:lpstr>
      <vt:lpstr>'Unit-700 Refrigeration-Storage'!Conveyor_Material</vt:lpstr>
      <vt:lpstr>'Unit-800 Steam Cycle &amp; CWT'!Conveyor_Material</vt:lpstr>
      <vt:lpstr>'Unit-800 Steam Cycle &amp; CWT cor'!Conveyor_Material</vt:lpstr>
      <vt:lpstr>'Unit-100 - GSR Island'!Crystallizer</vt:lpstr>
      <vt:lpstr>'Unit-100 Reformer Island'!Crystallizer</vt:lpstr>
      <vt:lpstr>'Unit-200 WGS'!Crystallizer</vt:lpstr>
      <vt:lpstr>'Unit-300 MDEA Absorption'!Crystallizer</vt:lpstr>
      <vt:lpstr>'Unit-300 N2 Purification'!Crystallizer</vt:lpstr>
      <vt:lpstr>'Unit-400 PSA'!Crystallizer</vt:lpstr>
      <vt:lpstr>'Unit-500 - CO2 CPU'!Crystallizer</vt:lpstr>
      <vt:lpstr>'Unit-600 Synthesis loop'!Crystallizer</vt:lpstr>
      <vt:lpstr>'Unit-700 Refrigeration-Storage'!Crystallizer</vt:lpstr>
      <vt:lpstr>'Unit-800 Steam Cycle &amp; CWT'!Crystallizer</vt:lpstr>
      <vt:lpstr>'Unit-800 Steam Cycle &amp; CWT cor'!Crystallizer</vt:lpstr>
      <vt:lpstr>'Unit-100 - GSR Island'!Crystallizer_Material</vt:lpstr>
      <vt:lpstr>'Unit-100 Reformer Island'!Crystallizer_Material</vt:lpstr>
      <vt:lpstr>'Unit-200 WGS'!Crystallizer_Material</vt:lpstr>
      <vt:lpstr>'Unit-300 MDEA Absorption'!Crystallizer_Material</vt:lpstr>
      <vt:lpstr>'Unit-300 N2 Purification'!Crystallizer_Material</vt:lpstr>
      <vt:lpstr>'Unit-400 PSA'!Crystallizer_Material</vt:lpstr>
      <vt:lpstr>'Unit-500 - CO2 CPU'!Crystallizer_Material</vt:lpstr>
      <vt:lpstr>'Unit-600 Synthesis loop'!Crystallizer_Material</vt:lpstr>
      <vt:lpstr>'Unit-700 Refrigeration-Storage'!Crystallizer_Material</vt:lpstr>
      <vt:lpstr>'Unit-800 Steam Cycle &amp; CWT'!Crystallizer_Material</vt:lpstr>
      <vt:lpstr>'Unit-800 Steam Cycle &amp; CWT cor'!Crystallizer_Material</vt:lpstr>
      <vt:lpstr>'Cash Flow Analysis'!Currency</vt:lpstr>
      <vt:lpstr>'Estimate Benchmark'!Currency</vt:lpstr>
      <vt:lpstr>'Plant Overview'!Currency</vt:lpstr>
      <vt:lpstr>'Unit-100 - GSR Island'!Currency</vt:lpstr>
      <vt:lpstr>'Unit-100 Reformer Island'!Currency</vt:lpstr>
      <vt:lpstr>'Unit-200 WGS'!Currency</vt:lpstr>
      <vt:lpstr>'Unit-300 MDEA Absorption'!Currency</vt:lpstr>
      <vt:lpstr>'Unit-300 N2 Purification'!Currency</vt:lpstr>
      <vt:lpstr>'Unit-400 PSA'!Currency</vt:lpstr>
      <vt:lpstr>'Unit-500 - CO2 CPU'!Currency</vt:lpstr>
      <vt:lpstr>'Unit-600 Synthesis loop'!Currency</vt:lpstr>
      <vt:lpstr>'Unit-700 Refrigeration-Storage'!Currency</vt:lpstr>
      <vt:lpstr>'Unit-800 Steam Cycle &amp; CWT'!Currency</vt:lpstr>
      <vt:lpstr>'Unit-800 Steam Cycle &amp; CWT cor'!Currency</vt:lpstr>
      <vt:lpstr>'Unit-100 - GSR Island'!Dirve_Material</vt:lpstr>
      <vt:lpstr>'Unit-100 Reformer Island'!Dirve_Material</vt:lpstr>
      <vt:lpstr>'Unit-200 WGS'!Dirve_Material</vt:lpstr>
      <vt:lpstr>'Unit-300 MDEA Absorption'!Dirve_Material</vt:lpstr>
      <vt:lpstr>'Unit-300 N2 Purification'!Dirve_Material</vt:lpstr>
      <vt:lpstr>'Unit-400 PSA'!Dirve_Material</vt:lpstr>
      <vt:lpstr>'Unit-500 - CO2 CPU'!Dirve_Material</vt:lpstr>
      <vt:lpstr>'Unit-600 Synthesis loop'!Dirve_Material</vt:lpstr>
      <vt:lpstr>'Unit-700 Refrigeration-Storage'!Dirve_Material</vt:lpstr>
      <vt:lpstr>'Unit-800 Steam Cycle &amp; CWT'!Dirve_Material</vt:lpstr>
      <vt:lpstr>'Unit-800 Steam Cycle &amp; CWT cor'!Dirve_Material</vt:lpstr>
      <vt:lpstr>'Unit-100 - GSR Island'!Drive</vt:lpstr>
      <vt:lpstr>'Unit-100 Reformer Island'!Drive</vt:lpstr>
      <vt:lpstr>'Unit-200 WGS'!Drive</vt:lpstr>
      <vt:lpstr>'Unit-300 MDEA Absorption'!Drive</vt:lpstr>
      <vt:lpstr>'Unit-300 N2 Purification'!Drive</vt:lpstr>
      <vt:lpstr>'Unit-400 PSA'!Drive</vt:lpstr>
      <vt:lpstr>'Unit-500 - CO2 CPU'!Drive</vt:lpstr>
      <vt:lpstr>'Unit-600 Synthesis loop'!Drive</vt:lpstr>
      <vt:lpstr>'Unit-700 Refrigeration-Storage'!Drive</vt:lpstr>
      <vt:lpstr>'Unit-800 Steam Cycle &amp; CWT'!Drive</vt:lpstr>
      <vt:lpstr>'Unit-800 Steam Cycle &amp; CWT cor'!Drive</vt:lpstr>
      <vt:lpstr>'Unit-100 - GSR Island'!Drive_Material</vt:lpstr>
      <vt:lpstr>'Unit-100 Reformer Island'!Drive_Material</vt:lpstr>
      <vt:lpstr>'Unit-200 WGS'!Drive_Material</vt:lpstr>
      <vt:lpstr>'Unit-300 MDEA Absorption'!Drive_Material</vt:lpstr>
      <vt:lpstr>'Unit-300 N2 Purification'!Drive_Material</vt:lpstr>
      <vt:lpstr>'Unit-400 PSA'!Drive_Material</vt:lpstr>
      <vt:lpstr>'Unit-500 - CO2 CPU'!Drive_Material</vt:lpstr>
      <vt:lpstr>'Unit-600 Synthesis loop'!Drive_Material</vt:lpstr>
      <vt:lpstr>'Unit-700 Refrigeration-Storage'!Drive_Material</vt:lpstr>
      <vt:lpstr>'Unit-800 Steam Cycle &amp; CWT'!Drive_Material</vt:lpstr>
      <vt:lpstr>'Unit-800 Steam Cycle &amp; CWT cor'!Drive_Material</vt:lpstr>
      <vt:lpstr>'Unit-100 - GSR Island'!Dryer</vt:lpstr>
      <vt:lpstr>'Unit-100 Reformer Island'!Dryer</vt:lpstr>
      <vt:lpstr>'Unit-200 WGS'!Dryer</vt:lpstr>
      <vt:lpstr>'Unit-300 MDEA Absorption'!Dryer</vt:lpstr>
      <vt:lpstr>'Unit-300 N2 Purification'!Dryer</vt:lpstr>
      <vt:lpstr>'Unit-400 PSA'!Dryer</vt:lpstr>
      <vt:lpstr>'Unit-500 - CO2 CPU'!Dryer</vt:lpstr>
      <vt:lpstr>'Unit-600 Synthesis loop'!Dryer</vt:lpstr>
      <vt:lpstr>'Unit-700 Refrigeration-Storage'!Dryer</vt:lpstr>
      <vt:lpstr>'Unit-800 Steam Cycle &amp; CWT'!Dryer</vt:lpstr>
      <vt:lpstr>'Unit-800 Steam Cycle &amp; CWT cor'!Dryer</vt:lpstr>
      <vt:lpstr>'Unit-100 - GSR Island'!Dryer_Material</vt:lpstr>
      <vt:lpstr>'Unit-100 Reformer Island'!Dryer_Material</vt:lpstr>
      <vt:lpstr>'Unit-200 WGS'!Dryer_Material</vt:lpstr>
      <vt:lpstr>'Unit-300 MDEA Absorption'!Dryer_Material</vt:lpstr>
      <vt:lpstr>'Unit-300 N2 Purification'!Dryer_Material</vt:lpstr>
      <vt:lpstr>'Unit-400 PSA'!Dryer_Material</vt:lpstr>
      <vt:lpstr>'Unit-500 - CO2 CPU'!Dryer_Material</vt:lpstr>
      <vt:lpstr>'Unit-600 Synthesis loop'!Dryer_Material</vt:lpstr>
      <vt:lpstr>'Unit-700 Refrigeration-Storage'!Dryer_Material</vt:lpstr>
      <vt:lpstr>'Unit-800 Steam Cycle &amp; CWT'!Dryer_Material</vt:lpstr>
      <vt:lpstr>'Unit-800 Steam Cycle &amp; CWT cor'!Dryer_Material</vt:lpstr>
      <vt:lpstr>'Unit-100 - GSR Island'!DustCollectors</vt:lpstr>
      <vt:lpstr>'Unit-100 Reformer Island'!DustCollectors</vt:lpstr>
      <vt:lpstr>'Unit-200 WGS'!DustCollectors</vt:lpstr>
      <vt:lpstr>'Unit-300 MDEA Absorption'!DustCollectors</vt:lpstr>
      <vt:lpstr>'Unit-300 N2 Purification'!DustCollectors</vt:lpstr>
      <vt:lpstr>'Unit-400 PSA'!DustCollectors</vt:lpstr>
      <vt:lpstr>'Unit-500 - CO2 CPU'!DustCollectors</vt:lpstr>
      <vt:lpstr>'Unit-600 Synthesis loop'!DustCollectors</vt:lpstr>
      <vt:lpstr>'Unit-700 Refrigeration-Storage'!DustCollectors</vt:lpstr>
      <vt:lpstr>'Unit-800 Steam Cycle &amp; CWT'!DustCollectors</vt:lpstr>
      <vt:lpstr>'Unit-800 Steam Cycle &amp; CWT cor'!DustCollectors</vt:lpstr>
      <vt:lpstr>'Unit-100 - GSR Island'!DustCollectors_Material</vt:lpstr>
      <vt:lpstr>'Unit-100 Reformer Island'!DustCollectors_Material</vt:lpstr>
      <vt:lpstr>'Unit-200 WGS'!DustCollectors_Material</vt:lpstr>
      <vt:lpstr>'Unit-300 MDEA Absorption'!DustCollectors_Material</vt:lpstr>
      <vt:lpstr>'Unit-300 N2 Purification'!DustCollectors_Material</vt:lpstr>
      <vt:lpstr>'Unit-400 PSA'!DustCollectors_Material</vt:lpstr>
      <vt:lpstr>'Unit-500 - CO2 CPU'!DustCollectors_Material</vt:lpstr>
      <vt:lpstr>'Unit-600 Synthesis loop'!DustCollectors_Material</vt:lpstr>
      <vt:lpstr>'Unit-700 Refrigeration-Storage'!DustCollectors_Material</vt:lpstr>
      <vt:lpstr>'Unit-800 Steam Cycle &amp; CWT'!DustCollectors_Material</vt:lpstr>
      <vt:lpstr>'Unit-800 Steam Cycle &amp; CWT cor'!DustCollectors_Material</vt:lpstr>
      <vt:lpstr>'Unit-100 - GSR Island'!Equipment</vt:lpstr>
      <vt:lpstr>'Unit-100 Reformer Island'!Equipment</vt:lpstr>
      <vt:lpstr>'Unit-200 WGS'!Equipment</vt:lpstr>
      <vt:lpstr>'Unit-300 MDEA Absorption'!Equipment</vt:lpstr>
      <vt:lpstr>'Unit-300 N2 Purification'!Equipment</vt:lpstr>
      <vt:lpstr>'Unit-400 PSA'!Equipment</vt:lpstr>
      <vt:lpstr>'Unit-500 - CO2 CPU'!Equipment</vt:lpstr>
      <vt:lpstr>'Unit-600 Synthesis loop'!Equipment</vt:lpstr>
      <vt:lpstr>'Unit-700 Refrigeration-Storage'!Equipment</vt:lpstr>
      <vt:lpstr>'Unit-800 Steam Cycle &amp; CWT'!Equipment</vt:lpstr>
      <vt:lpstr>'Unit-800 Steam Cycle &amp; CWT cor'!Equipment</vt:lpstr>
      <vt:lpstr>'Unit-100 - GSR Island'!Evaporator</vt:lpstr>
      <vt:lpstr>'Unit-100 Reformer Island'!Evaporator</vt:lpstr>
      <vt:lpstr>'Unit-200 WGS'!Evaporator</vt:lpstr>
      <vt:lpstr>'Unit-300 MDEA Absorption'!Evaporator</vt:lpstr>
      <vt:lpstr>'Unit-300 N2 Purification'!Evaporator</vt:lpstr>
      <vt:lpstr>'Unit-400 PSA'!Evaporator</vt:lpstr>
      <vt:lpstr>'Unit-500 - CO2 CPU'!Evaporator</vt:lpstr>
      <vt:lpstr>'Unit-600 Synthesis loop'!Evaporator</vt:lpstr>
      <vt:lpstr>'Unit-700 Refrigeration-Storage'!Evaporator</vt:lpstr>
      <vt:lpstr>'Unit-800 Steam Cycle &amp; CWT'!Evaporator</vt:lpstr>
      <vt:lpstr>'Unit-800 Steam Cycle &amp; CWT cor'!Evaporator</vt:lpstr>
      <vt:lpstr>'Unit-100 - GSR Island'!Evaporator_Material</vt:lpstr>
      <vt:lpstr>'Unit-100 Reformer Island'!Evaporator_Material</vt:lpstr>
      <vt:lpstr>'Unit-200 WGS'!Evaporator_Material</vt:lpstr>
      <vt:lpstr>'Unit-300 MDEA Absorption'!Evaporator_Material</vt:lpstr>
      <vt:lpstr>'Unit-300 N2 Purification'!Evaporator_Material</vt:lpstr>
      <vt:lpstr>'Unit-400 PSA'!Evaporator_Material</vt:lpstr>
      <vt:lpstr>'Unit-500 - CO2 CPU'!Evaporator_Material</vt:lpstr>
      <vt:lpstr>'Unit-600 Synthesis loop'!Evaporator_Material</vt:lpstr>
      <vt:lpstr>'Unit-700 Refrigeration-Storage'!Evaporator_Material</vt:lpstr>
      <vt:lpstr>'Unit-800 Steam Cycle &amp; CWT'!Evaporator_Material</vt:lpstr>
      <vt:lpstr>'Unit-800 Steam Cycle &amp; CWT cor'!Evaporator_Material</vt:lpstr>
      <vt:lpstr>'Unit-100 - GSR Island'!Fan</vt:lpstr>
      <vt:lpstr>'Unit-100 Reformer Island'!Fan</vt:lpstr>
      <vt:lpstr>'Unit-200 WGS'!Fan</vt:lpstr>
      <vt:lpstr>'Unit-300 MDEA Absorption'!Fan</vt:lpstr>
      <vt:lpstr>'Unit-300 N2 Purification'!Fan</vt:lpstr>
      <vt:lpstr>'Unit-400 PSA'!Fan</vt:lpstr>
      <vt:lpstr>'Unit-500 - CO2 CPU'!Fan</vt:lpstr>
      <vt:lpstr>'Unit-600 Synthesis loop'!Fan</vt:lpstr>
      <vt:lpstr>'Unit-700 Refrigeration-Storage'!Fan</vt:lpstr>
      <vt:lpstr>'Unit-800 Steam Cycle &amp; CWT'!Fan</vt:lpstr>
      <vt:lpstr>'Unit-800 Steam Cycle &amp; CWT cor'!Fan</vt:lpstr>
      <vt:lpstr>'Unit-100 - GSR Island'!Fan_Material</vt:lpstr>
      <vt:lpstr>'Unit-100 Reformer Island'!Fan_Material</vt:lpstr>
      <vt:lpstr>'Unit-200 WGS'!Fan_Material</vt:lpstr>
      <vt:lpstr>'Unit-300 MDEA Absorption'!Fan_Material</vt:lpstr>
      <vt:lpstr>'Unit-300 N2 Purification'!Fan_Material</vt:lpstr>
      <vt:lpstr>'Unit-400 PSA'!Fan_Material</vt:lpstr>
      <vt:lpstr>'Unit-500 - CO2 CPU'!Fan_Material</vt:lpstr>
      <vt:lpstr>'Unit-600 Synthesis loop'!Fan_Material</vt:lpstr>
      <vt:lpstr>'Unit-700 Refrigeration-Storage'!Fan_Material</vt:lpstr>
      <vt:lpstr>'Unit-800 Steam Cycle &amp; CWT'!Fan_Material</vt:lpstr>
      <vt:lpstr>'Unit-800 Steam Cycle &amp; CWT cor'!Fan_Material</vt:lpstr>
      <vt:lpstr>'Unit-100 - GSR Island'!Filter</vt:lpstr>
      <vt:lpstr>'Unit-100 Reformer Island'!Filter</vt:lpstr>
      <vt:lpstr>'Unit-200 WGS'!Filter</vt:lpstr>
      <vt:lpstr>'Unit-300 MDEA Absorption'!Filter</vt:lpstr>
      <vt:lpstr>'Unit-300 N2 Purification'!Filter</vt:lpstr>
      <vt:lpstr>'Unit-400 PSA'!Filter</vt:lpstr>
      <vt:lpstr>'Unit-500 - CO2 CPU'!Filter</vt:lpstr>
      <vt:lpstr>'Unit-600 Synthesis loop'!Filter</vt:lpstr>
      <vt:lpstr>'Unit-700 Refrigeration-Storage'!Filter</vt:lpstr>
      <vt:lpstr>'Unit-800 Steam Cycle &amp; CWT'!Filter</vt:lpstr>
      <vt:lpstr>'Unit-800 Steam Cycle &amp; CWT cor'!Filter</vt:lpstr>
      <vt:lpstr>'Unit-100 - GSR Island'!Filter_Material</vt:lpstr>
      <vt:lpstr>'Unit-100 Reformer Island'!Filter_Material</vt:lpstr>
      <vt:lpstr>'Unit-200 WGS'!Filter_Material</vt:lpstr>
      <vt:lpstr>'Unit-300 MDEA Absorption'!Filter_Material</vt:lpstr>
      <vt:lpstr>'Unit-300 N2 Purification'!Filter_Material</vt:lpstr>
      <vt:lpstr>'Unit-400 PSA'!Filter_Material</vt:lpstr>
      <vt:lpstr>'Unit-500 - CO2 CPU'!Filter_Material</vt:lpstr>
      <vt:lpstr>'Unit-600 Synthesis loop'!Filter_Material</vt:lpstr>
      <vt:lpstr>'Unit-700 Refrigeration-Storage'!Filter_Material</vt:lpstr>
      <vt:lpstr>'Unit-800 Steam Cycle &amp; CWT'!Filter_Material</vt:lpstr>
      <vt:lpstr>'Unit-800 Steam Cycle &amp; CWT cor'!Filter_Material</vt:lpstr>
      <vt:lpstr>'Unit-100 - GSR Island'!FiredHeater</vt:lpstr>
      <vt:lpstr>'Unit-100 Reformer Island'!FiredHeater</vt:lpstr>
      <vt:lpstr>'Unit-200 WGS'!FiredHeater</vt:lpstr>
      <vt:lpstr>'Unit-300 MDEA Absorption'!FiredHeater</vt:lpstr>
      <vt:lpstr>'Unit-300 N2 Purification'!FiredHeater</vt:lpstr>
      <vt:lpstr>'Unit-400 PSA'!FiredHeater</vt:lpstr>
      <vt:lpstr>'Unit-500 - CO2 CPU'!FiredHeater</vt:lpstr>
      <vt:lpstr>'Unit-600 Synthesis loop'!FiredHeater</vt:lpstr>
      <vt:lpstr>'Unit-700 Refrigeration-Storage'!FiredHeater</vt:lpstr>
      <vt:lpstr>'Unit-800 Steam Cycle &amp; CWT'!FiredHeater</vt:lpstr>
      <vt:lpstr>'Unit-800 Steam Cycle &amp; CWT cor'!FiredHeater</vt:lpstr>
      <vt:lpstr>'Unit-100 - GSR Island'!FiredHeater_Material</vt:lpstr>
      <vt:lpstr>'Unit-100 Reformer Island'!FiredHeater_Material</vt:lpstr>
      <vt:lpstr>'Unit-200 WGS'!FiredHeater_Material</vt:lpstr>
      <vt:lpstr>'Unit-300 MDEA Absorption'!FiredHeater_Material</vt:lpstr>
      <vt:lpstr>'Unit-300 N2 Purification'!FiredHeater_Material</vt:lpstr>
      <vt:lpstr>'Unit-400 PSA'!FiredHeater_Material</vt:lpstr>
      <vt:lpstr>'Unit-500 - CO2 CPU'!FiredHeater_Material</vt:lpstr>
      <vt:lpstr>'Unit-600 Synthesis loop'!FiredHeater_Material</vt:lpstr>
      <vt:lpstr>'Unit-700 Refrigeration-Storage'!FiredHeater_Material</vt:lpstr>
      <vt:lpstr>'Unit-800 Steam Cycle &amp; CWT'!FiredHeater_Material</vt:lpstr>
      <vt:lpstr>'Unit-800 Steam Cycle &amp; CWT cor'!FiredHeater_Material</vt:lpstr>
      <vt:lpstr>'Unit-100 - GSR Island'!HeatExchanger</vt:lpstr>
      <vt:lpstr>'Unit-100 Reformer Island'!HeatExchanger</vt:lpstr>
      <vt:lpstr>'Unit-200 WGS'!HeatExchanger</vt:lpstr>
      <vt:lpstr>'Unit-300 MDEA Absorption'!HeatExchanger</vt:lpstr>
      <vt:lpstr>'Unit-300 N2 Purification'!HeatExchanger</vt:lpstr>
      <vt:lpstr>'Unit-400 PSA'!HeatExchanger</vt:lpstr>
      <vt:lpstr>'Unit-500 - CO2 CPU'!HeatExchanger</vt:lpstr>
      <vt:lpstr>'Unit-600 Synthesis loop'!HeatExchanger</vt:lpstr>
      <vt:lpstr>'Unit-700 Refrigeration-Storage'!HeatExchanger</vt:lpstr>
      <vt:lpstr>'Unit-800 Steam Cycle &amp; CWT'!HeatExchanger</vt:lpstr>
      <vt:lpstr>'Unit-800 Steam Cycle &amp; CWT cor'!HeatExchanger</vt:lpstr>
      <vt:lpstr>'Unit-100 - GSR Island'!HeatExchanger_AirCooler_Material</vt:lpstr>
      <vt:lpstr>'Unit-100 Reformer Island'!HeatExchanger_AirCooler_Material</vt:lpstr>
      <vt:lpstr>'Unit-200 WGS'!HeatExchanger_AirCooler_Material</vt:lpstr>
      <vt:lpstr>'Unit-300 MDEA Absorption'!HeatExchanger_AirCooler_Material</vt:lpstr>
      <vt:lpstr>'Unit-300 N2 Purification'!HeatExchanger_AirCooler_Material</vt:lpstr>
      <vt:lpstr>'Unit-400 PSA'!HeatExchanger_AirCooler_Material</vt:lpstr>
      <vt:lpstr>'Unit-500 - CO2 CPU'!HeatExchanger_AirCooler_Material</vt:lpstr>
      <vt:lpstr>'Unit-600 Synthesis loop'!HeatExchanger_AirCooler_Material</vt:lpstr>
      <vt:lpstr>'Unit-700 Refrigeration-Storage'!HeatExchanger_AirCooler_Material</vt:lpstr>
      <vt:lpstr>'Unit-800 Steam Cycle &amp; CWT'!HeatExchanger_AirCooler_Material</vt:lpstr>
      <vt:lpstr>'Unit-100 - GSR Island'!HeatExchanger_Bayonet_Material</vt:lpstr>
      <vt:lpstr>'Unit-100 Reformer Island'!HeatExchanger_Bayonet_Material</vt:lpstr>
      <vt:lpstr>'Unit-200 WGS'!HeatExchanger_Bayonet_Material</vt:lpstr>
      <vt:lpstr>'Unit-300 MDEA Absorption'!HeatExchanger_Bayonet_Material</vt:lpstr>
      <vt:lpstr>'Unit-300 N2 Purification'!HeatExchanger_Bayonet_Material</vt:lpstr>
      <vt:lpstr>'Unit-400 PSA'!HeatExchanger_Bayonet_Material</vt:lpstr>
      <vt:lpstr>'Unit-500 - CO2 CPU'!HeatExchanger_Bayonet_Material</vt:lpstr>
      <vt:lpstr>'Unit-600 Synthesis loop'!HeatExchanger_Bayonet_Material</vt:lpstr>
      <vt:lpstr>'Unit-700 Refrigeration-Storage'!HeatExchanger_Bayonet_Material</vt:lpstr>
      <vt:lpstr>'Unit-800 Steam Cycle &amp; CWT'!HeatExchanger_Bayonet_Material</vt:lpstr>
      <vt:lpstr>'Unit-100 - GSR Island'!HeatExchanger_DoublePipe_Material</vt:lpstr>
      <vt:lpstr>'Unit-100 Reformer Island'!HeatExchanger_DoublePipe_Material</vt:lpstr>
      <vt:lpstr>'Unit-200 WGS'!HeatExchanger_DoublePipe_Material</vt:lpstr>
      <vt:lpstr>'Unit-300 MDEA Absorption'!HeatExchanger_DoublePipe_Material</vt:lpstr>
      <vt:lpstr>'Unit-300 N2 Purification'!HeatExchanger_DoublePipe_Material</vt:lpstr>
      <vt:lpstr>'Unit-400 PSA'!HeatExchanger_DoublePipe_Material</vt:lpstr>
      <vt:lpstr>'Unit-500 - CO2 CPU'!HeatExchanger_DoublePipe_Material</vt:lpstr>
      <vt:lpstr>'Unit-600 Synthesis loop'!HeatExchanger_DoublePipe_Material</vt:lpstr>
      <vt:lpstr>'Unit-700 Refrigeration-Storage'!HeatExchanger_DoublePipe_Material</vt:lpstr>
      <vt:lpstr>'Unit-800 Steam Cycle &amp; CWT'!HeatExchanger_DoublePipe_Material</vt:lpstr>
      <vt:lpstr>'Unit-100 - GSR Island'!HeatExchanger_FixedtubesheetorUtube_Material</vt:lpstr>
      <vt:lpstr>'Unit-100 Reformer Island'!HeatExchanger_FixedtubesheetorUtube_Material</vt:lpstr>
      <vt:lpstr>'Unit-200 WGS'!HeatExchanger_FixedtubesheetorUtube_Material</vt:lpstr>
      <vt:lpstr>'Unit-300 MDEA Absorption'!HeatExchanger_FixedtubesheetorUtube_Material</vt:lpstr>
      <vt:lpstr>'Unit-300 N2 Purification'!HeatExchanger_FixedtubesheetorUtube_Material</vt:lpstr>
      <vt:lpstr>'Unit-400 PSA'!HeatExchanger_FixedtubesheetorUtube_Material</vt:lpstr>
      <vt:lpstr>'Unit-500 - CO2 CPU'!HeatExchanger_FixedtubesheetorUtube_Material</vt:lpstr>
      <vt:lpstr>'Unit-600 Synthesis loop'!HeatExchanger_FixedtubesheetorUtube_Material</vt:lpstr>
      <vt:lpstr>'Unit-700 Refrigeration-Storage'!HeatExchanger_FixedtubesheetorUtube_Material</vt:lpstr>
      <vt:lpstr>'Unit-800 Steam Cycle &amp; CWT'!HeatExchanger_FixedtubesheetorUtube_Material</vt:lpstr>
      <vt:lpstr>'Unit-100 - GSR Island'!HeatExchanger_FlatPlate_Material</vt:lpstr>
      <vt:lpstr>'Unit-100 Reformer Island'!HeatExchanger_FlatPlate_Material</vt:lpstr>
      <vt:lpstr>'Unit-200 WGS'!HeatExchanger_FlatPlate_Material</vt:lpstr>
      <vt:lpstr>'Unit-300 MDEA Absorption'!HeatExchanger_FlatPlate_Material</vt:lpstr>
      <vt:lpstr>'Unit-300 N2 Purification'!HeatExchanger_FlatPlate_Material</vt:lpstr>
      <vt:lpstr>'Unit-400 PSA'!HeatExchanger_FlatPlate_Material</vt:lpstr>
      <vt:lpstr>'Unit-500 - CO2 CPU'!HeatExchanger_FlatPlate_Material</vt:lpstr>
      <vt:lpstr>'Unit-600 Synthesis loop'!HeatExchanger_FlatPlate_Material</vt:lpstr>
      <vt:lpstr>'Unit-700 Refrigeration-Storage'!HeatExchanger_FlatPlate_Material</vt:lpstr>
      <vt:lpstr>'Unit-800 Steam Cycle &amp; CWT'!HeatExchanger_FlatPlate_Material</vt:lpstr>
      <vt:lpstr>'Unit-100 - GSR Island'!HeatExchanger_FloatingHead_Material</vt:lpstr>
      <vt:lpstr>'Unit-100 Reformer Island'!HeatExchanger_FloatingHead_Material</vt:lpstr>
      <vt:lpstr>'Unit-200 WGS'!HeatExchanger_FloatingHead_Material</vt:lpstr>
      <vt:lpstr>'Unit-300 MDEA Absorption'!HeatExchanger_FloatingHead_Material</vt:lpstr>
      <vt:lpstr>'Unit-300 N2 Purification'!HeatExchanger_FloatingHead_Material</vt:lpstr>
      <vt:lpstr>'Unit-400 PSA'!HeatExchanger_FloatingHead_Material</vt:lpstr>
      <vt:lpstr>'Unit-500 - CO2 CPU'!HeatExchanger_FloatingHead_Material</vt:lpstr>
      <vt:lpstr>'Unit-600 Synthesis loop'!HeatExchanger_FloatingHead_Material</vt:lpstr>
      <vt:lpstr>'Unit-700 Refrigeration-Storage'!HeatExchanger_FloatingHead_Material</vt:lpstr>
      <vt:lpstr>'Unit-800 Steam Cycle &amp; CWT'!HeatExchanger_FloatingHead_Material</vt:lpstr>
      <vt:lpstr>'Unit-100 - GSR Island'!HeatExchanger_KettleReboiler_Material</vt:lpstr>
      <vt:lpstr>'Unit-100 Reformer Island'!HeatExchanger_KettleReboiler_Material</vt:lpstr>
      <vt:lpstr>'Unit-200 WGS'!HeatExchanger_KettleReboiler_Material</vt:lpstr>
      <vt:lpstr>'Unit-300 MDEA Absorption'!HeatExchanger_KettleReboiler_Material</vt:lpstr>
      <vt:lpstr>'Unit-300 N2 Purification'!HeatExchanger_KettleReboiler_Material</vt:lpstr>
      <vt:lpstr>'Unit-400 PSA'!HeatExchanger_KettleReboiler_Material</vt:lpstr>
      <vt:lpstr>'Unit-500 - CO2 CPU'!HeatExchanger_KettleReboiler_Material</vt:lpstr>
      <vt:lpstr>'Unit-600 Synthesis loop'!HeatExchanger_KettleReboiler_Material</vt:lpstr>
      <vt:lpstr>'Unit-700 Refrigeration-Storage'!HeatExchanger_KettleReboiler_Material</vt:lpstr>
      <vt:lpstr>'Unit-800 Steam Cycle &amp; CWT'!HeatExchanger_KettleReboiler_Material</vt:lpstr>
      <vt:lpstr>'Unit-100 - GSR Island'!HeatExchanger_Material</vt:lpstr>
      <vt:lpstr>'Unit-100 Reformer Island'!HeatExchanger_Material</vt:lpstr>
      <vt:lpstr>'Unit-200 WGS'!HeatExchanger_Material</vt:lpstr>
      <vt:lpstr>'Unit-300 MDEA Absorption'!HeatExchanger_Material</vt:lpstr>
      <vt:lpstr>'Unit-300 N2 Purification'!HeatExchanger_Material</vt:lpstr>
      <vt:lpstr>'Unit-400 PSA'!HeatExchanger_Material</vt:lpstr>
      <vt:lpstr>'Unit-500 - CO2 CPU'!HeatExchanger_Material</vt:lpstr>
      <vt:lpstr>'Unit-600 Synthesis loop'!HeatExchanger_Material</vt:lpstr>
      <vt:lpstr>'Unit-700 Refrigeration-Storage'!HeatExchanger_Material</vt:lpstr>
      <vt:lpstr>'Unit-800 Steam Cycle &amp; CWT'!HeatExchanger_Material</vt:lpstr>
      <vt:lpstr>'Unit-800 Steam Cycle &amp; CWT cor'!HeatExchanger_Material</vt:lpstr>
      <vt:lpstr>'Unit-100 - GSR Island'!HeatExchanger_MultiplePipe_Material</vt:lpstr>
      <vt:lpstr>'Unit-100 Reformer Island'!HeatExchanger_MultiplePipe_Material</vt:lpstr>
      <vt:lpstr>'Unit-200 WGS'!HeatExchanger_MultiplePipe_Material</vt:lpstr>
      <vt:lpstr>'Unit-300 MDEA Absorption'!HeatExchanger_MultiplePipe_Material</vt:lpstr>
      <vt:lpstr>'Unit-300 N2 Purification'!HeatExchanger_MultiplePipe_Material</vt:lpstr>
      <vt:lpstr>'Unit-400 PSA'!HeatExchanger_MultiplePipe_Material</vt:lpstr>
      <vt:lpstr>'Unit-500 - CO2 CPU'!HeatExchanger_MultiplePipe_Material</vt:lpstr>
      <vt:lpstr>'Unit-600 Synthesis loop'!HeatExchanger_MultiplePipe_Material</vt:lpstr>
      <vt:lpstr>'Unit-700 Refrigeration-Storage'!HeatExchanger_MultiplePipe_Material</vt:lpstr>
      <vt:lpstr>'Unit-800 Steam Cycle &amp; CWT'!HeatExchanger_MultiplePipe_Material</vt:lpstr>
      <vt:lpstr>'Unit-100 - GSR Island'!HeatExchanger_ScrapedWall_Material</vt:lpstr>
      <vt:lpstr>'Unit-100 Reformer Island'!HeatExchanger_ScrapedWall_Material</vt:lpstr>
      <vt:lpstr>'Unit-200 WGS'!HeatExchanger_ScrapedWall_Material</vt:lpstr>
      <vt:lpstr>'Unit-300 MDEA Absorption'!HeatExchanger_ScrapedWall_Material</vt:lpstr>
      <vt:lpstr>'Unit-300 N2 Purification'!HeatExchanger_ScrapedWall_Material</vt:lpstr>
      <vt:lpstr>'Unit-400 PSA'!HeatExchanger_ScrapedWall_Material</vt:lpstr>
      <vt:lpstr>'Unit-500 - CO2 CPU'!HeatExchanger_ScrapedWall_Material</vt:lpstr>
      <vt:lpstr>'Unit-600 Synthesis loop'!HeatExchanger_ScrapedWall_Material</vt:lpstr>
      <vt:lpstr>'Unit-700 Refrigeration-Storage'!HeatExchanger_ScrapedWall_Material</vt:lpstr>
      <vt:lpstr>'Unit-800 Steam Cycle &amp; CWT'!HeatExchanger_ScrapedWall_Material</vt:lpstr>
      <vt:lpstr>'Unit-100 - GSR Island'!HeatExchanger_SpiralPlate_Material</vt:lpstr>
      <vt:lpstr>'Unit-100 Reformer Island'!HeatExchanger_SpiralPlate_Material</vt:lpstr>
      <vt:lpstr>'Unit-200 WGS'!HeatExchanger_SpiralPlate_Material</vt:lpstr>
      <vt:lpstr>'Unit-300 MDEA Absorption'!HeatExchanger_SpiralPlate_Material</vt:lpstr>
      <vt:lpstr>'Unit-300 N2 Purification'!HeatExchanger_SpiralPlate_Material</vt:lpstr>
      <vt:lpstr>'Unit-400 PSA'!HeatExchanger_SpiralPlate_Material</vt:lpstr>
      <vt:lpstr>'Unit-500 - CO2 CPU'!HeatExchanger_SpiralPlate_Material</vt:lpstr>
      <vt:lpstr>'Unit-600 Synthesis loop'!HeatExchanger_SpiralPlate_Material</vt:lpstr>
      <vt:lpstr>'Unit-700 Refrigeration-Storage'!HeatExchanger_SpiralPlate_Material</vt:lpstr>
      <vt:lpstr>'Unit-800 Steam Cycle &amp; CWT'!HeatExchanger_SpiralPlate_Material</vt:lpstr>
      <vt:lpstr>'Unit-100 - GSR Island'!HeatExchanger_SpiralTube_Material</vt:lpstr>
      <vt:lpstr>'Unit-100 Reformer Island'!HeatExchanger_SpiralTube_Material</vt:lpstr>
      <vt:lpstr>'Unit-200 WGS'!HeatExchanger_SpiralTube_Material</vt:lpstr>
      <vt:lpstr>'Unit-300 MDEA Absorption'!HeatExchanger_SpiralTube_Material</vt:lpstr>
      <vt:lpstr>'Unit-300 N2 Purification'!HeatExchanger_SpiralTube_Material</vt:lpstr>
      <vt:lpstr>'Unit-400 PSA'!HeatExchanger_SpiralTube_Material</vt:lpstr>
      <vt:lpstr>'Unit-500 - CO2 CPU'!HeatExchanger_SpiralTube_Material</vt:lpstr>
      <vt:lpstr>'Unit-600 Synthesis loop'!HeatExchanger_SpiralTube_Material</vt:lpstr>
      <vt:lpstr>'Unit-700 Refrigeration-Storage'!HeatExchanger_SpiralTube_Material</vt:lpstr>
      <vt:lpstr>'Unit-800 Steam Cycle &amp; CWT'!HeatExchanger_SpiralTube_Material</vt:lpstr>
      <vt:lpstr>'Unit-100 - GSR Island'!HeatExchanger_TeflonTubeExchanger_Material</vt:lpstr>
      <vt:lpstr>'Unit-100 Reformer Island'!HeatExchanger_TeflonTubeExchanger_Material</vt:lpstr>
      <vt:lpstr>'Unit-200 WGS'!HeatExchanger_TeflonTubeExchanger_Material</vt:lpstr>
      <vt:lpstr>'Unit-300 MDEA Absorption'!HeatExchanger_TeflonTubeExchanger_Material</vt:lpstr>
      <vt:lpstr>'Unit-300 N2 Purification'!HeatExchanger_TeflonTubeExchanger_Material</vt:lpstr>
      <vt:lpstr>'Unit-400 PSA'!HeatExchanger_TeflonTubeExchanger_Material</vt:lpstr>
      <vt:lpstr>'Unit-500 - CO2 CPU'!HeatExchanger_TeflonTubeExchanger_Material</vt:lpstr>
      <vt:lpstr>'Unit-600 Synthesis loop'!HeatExchanger_TeflonTubeExchanger_Material</vt:lpstr>
      <vt:lpstr>'Unit-700 Refrigeration-Storage'!HeatExchanger_TeflonTubeExchanger_Material</vt:lpstr>
      <vt:lpstr>'Unit-800 Steam Cycle &amp; CWT'!HeatExchanger_TeflonTubeExchanger_Material</vt:lpstr>
      <vt:lpstr>'Cash Flow Analysis'!Indicator</vt:lpstr>
      <vt:lpstr>'Cash Flow Analysis'!Lifetime</vt:lpstr>
      <vt:lpstr>'Estimate Benchmark'!Lifetime</vt:lpstr>
      <vt:lpstr>'Plant Overview'!Lifetime</vt:lpstr>
      <vt:lpstr>'Unit-100 - GSR Island'!Lifetime</vt:lpstr>
      <vt:lpstr>'Unit-100 Reformer Island'!Lifetime</vt:lpstr>
      <vt:lpstr>'Unit-200 WGS'!Lifetime</vt:lpstr>
      <vt:lpstr>'Unit-300 MDEA Absorption'!Lifetime</vt:lpstr>
      <vt:lpstr>'Unit-300 N2 Purification'!Lifetime</vt:lpstr>
      <vt:lpstr>'Unit-400 PSA'!Lifetime</vt:lpstr>
      <vt:lpstr>'Unit-500 - CO2 CPU'!Lifetime</vt:lpstr>
      <vt:lpstr>'Unit-600 Synthesis loop'!Lifetime</vt:lpstr>
      <vt:lpstr>'Unit-700 Refrigeration-Storage'!Lifetime</vt:lpstr>
      <vt:lpstr>'Unit-800 Steam Cycle &amp; CWT'!Lifetime</vt:lpstr>
      <vt:lpstr>'Unit-800 Steam Cycle &amp; CWT cor'!Lifetime</vt:lpstr>
      <vt:lpstr>'Cash Flow Analysis'!Location</vt:lpstr>
      <vt:lpstr>'Estimate Benchmark'!Location</vt:lpstr>
      <vt:lpstr>'Plant Overview'!Location</vt:lpstr>
      <vt:lpstr>'Unit-100 - GSR Island'!Location</vt:lpstr>
      <vt:lpstr>'Unit-100 Reformer Island'!Location</vt:lpstr>
      <vt:lpstr>'Unit-200 WGS'!Location</vt:lpstr>
      <vt:lpstr>'Unit-300 MDEA Absorption'!Location</vt:lpstr>
      <vt:lpstr>'Unit-300 N2 Purification'!Location</vt:lpstr>
      <vt:lpstr>'Unit-400 PSA'!Location</vt:lpstr>
      <vt:lpstr>'Unit-500 - CO2 CPU'!Location</vt:lpstr>
      <vt:lpstr>'Unit-600 Synthesis loop'!Location</vt:lpstr>
      <vt:lpstr>'Unit-700 Refrigeration-Storage'!Location</vt:lpstr>
      <vt:lpstr>'Unit-800 Steam Cycle &amp; CWT'!Location</vt:lpstr>
      <vt:lpstr>'Unit-800 Steam Cycle &amp; CWT cor'!Location</vt:lpstr>
      <vt:lpstr>'Unit-100 - GSR Island'!Mixer</vt:lpstr>
      <vt:lpstr>'Unit-100 Reformer Island'!Mixer</vt:lpstr>
      <vt:lpstr>'Unit-200 WGS'!Mixer</vt:lpstr>
      <vt:lpstr>'Unit-300 MDEA Absorption'!Mixer</vt:lpstr>
      <vt:lpstr>'Unit-300 N2 Purification'!Mixer</vt:lpstr>
      <vt:lpstr>'Unit-400 PSA'!Mixer</vt:lpstr>
      <vt:lpstr>'Unit-500 - CO2 CPU'!Mixer</vt:lpstr>
      <vt:lpstr>'Unit-600 Synthesis loop'!Mixer</vt:lpstr>
      <vt:lpstr>'Unit-700 Refrigeration-Storage'!Mixer</vt:lpstr>
      <vt:lpstr>'Unit-800 Steam Cycle &amp; CWT'!Mixer</vt:lpstr>
      <vt:lpstr>'Unit-800 Steam Cycle &amp; CWT cor'!Mixer</vt:lpstr>
      <vt:lpstr>'Unit-100 - GSR Island'!Mixer_Material</vt:lpstr>
      <vt:lpstr>'Unit-100 Reformer Island'!Mixer_Material</vt:lpstr>
      <vt:lpstr>'Unit-200 WGS'!Mixer_Material</vt:lpstr>
      <vt:lpstr>'Unit-300 MDEA Absorption'!Mixer_Material</vt:lpstr>
      <vt:lpstr>'Unit-300 N2 Purification'!Mixer_Material</vt:lpstr>
      <vt:lpstr>'Unit-400 PSA'!Mixer_Material</vt:lpstr>
      <vt:lpstr>'Unit-500 - CO2 CPU'!Mixer_Material</vt:lpstr>
      <vt:lpstr>'Unit-600 Synthesis loop'!Mixer_Material</vt:lpstr>
      <vt:lpstr>'Unit-700 Refrigeration-Storage'!Mixer_Material</vt:lpstr>
      <vt:lpstr>'Unit-800 Steam Cycle &amp; CWT'!Mixer_Material</vt:lpstr>
      <vt:lpstr>'Unit-800 Steam Cycle &amp; CWT cor'!Mixer_Material</vt:lpstr>
      <vt:lpstr>'Unit-100 - GSR Island'!Pump</vt:lpstr>
      <vt:lpstr>'Unit-100 Reformer Island'!Pump</vt:lpstr>
      <vt:lpstr>'Unit-200 WGS'!Pump</vt:lpstr>
      <vt:lpstr>'Unit-300 MDEA Absorption'!Pump</vt:lpstr>
      <vt:lpstr>'Unit-300 N2 Purification'!Pump</vt:lpstr>
      <vt:lpstr>'Unit-400 PSA'!Pump</vt:lpstr>
      <vt:lpstr>'Unit-500 - CO2 CPU'!Pump</vt:lpstr>
      <vt:lpstr>'Unit-600 Synthesis loop'!Pump</vt:lpstr>
      <vt:lpstr>'Unit-700 Refrigeration-Storage'!Pump</vt:lpstr>
      <vt:lpstr>'Unit-800 Steam Cycle &amp; CWT'!Pump</vt:lpstr>
      <vt:lpstr>'Unit-800 Steam Cycle &amp; CWT cor'!Pump</vt:lpstr>
      <vt:lpstr>'Unit-100 - GSR Island'!Pump_Material</vt:lpstr>
      <vt:lpstr>'Unit-100 Reformer Island'!Pump_Material</vt:lpstr>
      <vt:lpstr>'Unit-200 WGS'!Pump_Material</vt:lpstr>
      <vt:lpstr>'Unit-300 MDEA Absorption'!Pump_Material</vt:lpstr>
      <vt:lpstr>'Unit-300 N2 Purification'!Pump_Material</vt:lpstr>
      <vt:lpstr>'Unit-400 PSA'!Pump_Material</vt:lpstr>
      <vt:lpstr>'Unit-500 - CO2 CPU'!Pump_Material</vt:lpstr>
      <vt:lpstr>'Unit-600 Synthesis loop'!Pump_Material</vt:lpstr>
      <vt:lpstr>'Unit-700 Refrigeration-Storage'!Pump_Material</vt:lpstr>
      <vt:lpstr>'Unit-800 Steam Cycle &amp; CWT'!Pump_Material</vt:lpstr>
      <vt:lpstr>'Unit-800 Steam Cycle &amp; CWT cor'!Pump_Material</vt:lpstr>
      <vt:lpstr>'Unit-100 - GSR Island'!Reactor</vt:lpstr>
      <vt:lpstr>'Unit-100 Reformer Island'!Reactor</vt:lpstr>
      <vt:lpstr>'Unit-200 WGS'!Reactor</vt:lpstr>
      <vt:lpstr>'Unit-300 MDEA Absorption'!Reactor</vt:lpstr>
      <vt:lpstr>'Unit-300 N2 Purification'!Reactor</vt:lpstr>
      <vt:lpstr>'Unit-400 PSA'!Reactor</vt:lpstr>
      <vt:lpstr>'Unit-500 - CO2 CPU'!Reactor</vt:lpstr>
      <vt:lpstr>'Unit-600 Synthesis loop'!Reactor</vt:lpstr>
      <vt:lpstr>'Unit-700 Refrigeration-Storage'!Reactor</vt:lpstr>
      <vt:lpstr>'Unit-800 Steam Cycle &amp; CWT'!Reactor</vt:lpstr>
      <vt:lpstr>'Unit-800 Steam Cycle &amp; CWT cor'!Reactor</vt:lpstr>
      <vt:lpstr>'Unit-100 - GSR Island'!Reactor_Material</vt:lpstr>
      <vt:lpstr>'Unit-100 Reformer Island'!Reactor_Material</vt:lpstr>
      <vt:lpstr>'Unit-200 WGS'!Reactor_Material</vt:lpstr>
      <vt:lpstr>'Unit-300 MDEA Absorption'!Reactor_Material</vt:lpstr>
      <vt:lpstr>'Unit-300 N2 Purification'!Reactor_Material</vt:lpstr>
      <vt:lpstr>'Unit-400 PSA'!Reactor_Material</vt:lpstr>
      <vt:lpstr>'Unit-500 - CO2 CPU'!Reactor_Material</vt:lpstr>
      <vt:lpstr>'Unit-600 Synthesis loop'!Reactor_Material</vt:lpstr>
      <vt:lpstr>'Unit-700 Refrigeration-Storage'!Reactor_Material</vt:lpstr>
      <vt:lpstr>'Unit-800 Steam Cycle &amp; CWT'!Reactor_Material</vt:lpstr>
      <vt:lpstr>'Unit-800 Steam Cycle &amp; CWT cor'!Reactor_Material</vt:lpstr>
      <vt:lpstr>'Unit-100 - GSR Island'!Screen</vt:lpstr>
      <vt:lpstr>'Unit-100 Reformer Island'!Screen</vt:lpstr>
      <vt:lpstr>'Unit-200 WGS'!Screen</vt:lpstr>
      <vt:lpstr>'Unit-300 MDEA Absorption'!Screen</vt:lpstr>
      <vt:lpstr>'Unit-300 N2 Purification'!Screen</vt:lpstr>
      <vt:lpstr>'Unit-400 PSA'!Screen</vt:lpstr>
      <vt:lpstr>'Unit-500 - CO2 CPU'!Screen</vt:lpstr>
      <vt:lpstr>'Unit-600 Synthesis loop'!Screen</vt:lpstr>
      <vt:lpstr>'Unit-700 Refrigeration-Storage'!Screen</vt:lpstr>
      <vt:lpstr>'Unit-800 Steam Cycle &amp; CWT'!Screen</vt:lpstr>
      <vt:lpstr>'Unit-800 Steam Cycle &amp; CWT cor'!Screen</vt:lpstr>
      <vt:lpstr>'Unit-100 - GSR Island'!Screen_Material</vt:lpstr>
      <vt:lpstr>'Unit-100 Reformer Island'!Screen_Material</vt:lpstr>
      <vt:lpstr>'Unit-200 WGS'!Screen_Material</vt:lpstr>
      <vt:lpstr>'Unit-300 MDEA Absorption'!Screen_Material</vt:lpstr>
      <vt:lpstr>'Unit-300 N2 Purification'!Screen_Material</vt:lpstr>
      <vt:lpstr>'Unit-400 PSA'!Screen_Material</vt:lpstr>
      <vt:lpstr>'Unit-500 - CO2 CPU'!Screen_Material</vt:lpstr>
      <vt:lpstr>'Unit-600 Synthesis loop'!Screen_Material</vt:lpstr>
      <vt:lpstr>'Unit-700 Refrigeration-Storage'!Screen_Material</vt:lpstr>
      <vt:lpstr>'Unit-800 Steam Cycle &amp; CWT'!Screen_Material</vt:lpstr>
      <vt:lpstr>'Unit-800 Steam Cycle &amp; CWT cor'!Screen_Material</vt:lpstr>
      <vt:lpstr>'Unit-100 - GSR Island'!Tank</vt:lpstr>
      <vt:lpstr>'Unit-100 Reformer Island'!Tank</vt:lpstr>
      <vt:lpstr>'Unit-200 WGS'!Tank</vt:lpstr>
      <vt:lpstr>'Unit-300 MDEA Absorption'!Tank</vt:lpstr>
      <vt:lpstr>'Unit-300 N2 Purification'!Tank</vt:lpstr>
      <vt:lpstr>'Unit-400 PSA'!Tank</vt:lpstr>
      <vt:lpstr>'Unit-500 - CO2 CPU'!Tank</vt:lpstr>
      <vt:lpstr>'Unit-600 Synthesis loop'!Tank</vt:lpstr>
      <vt:lpstr>'Unit-700 Refrigeration-Storage'!Tank</vt:lpstr>
      <vt:lpstr>'Unit-800 Steam Cycle &amp; CWT'!Tank</vt:lpstr>
      <vt:lpstr>'Unit-800 Steam Cycle &amp; CWT cor'!Tank</vt:lpstr>
      <vt:lpstr>'Unit-100 - GSR Island'!Tank_Material</vt:lpstr>
      <vt:lpstr>'Unit-100 Reformer Island'!Tank_Material</vt:lpstr>
      <vt:lpstr>'Unit-200 WGS'!Tank_Material</vt:lpstr>
      <vt:lpstr>'Unit-300 MDEA Absorption'!Tank_Material</vt:lpstr>
      <vt:lpstr>'Unit-300 N2 Purification'!Tank_Material</vt:lpstr>
      <vt:lpstr>'Unit-400 PSA'!Tank_Material</vt:lpstr>
      <vt:lpstr>'Unit-500 - CO2 CPU'!Tank_Material</vt:lpstr>
      <vt:lpstr>'Unit-600 Synthesis loop'!Tank_Material</vt:lpstr>
      <vt:lpstr>'Unit-700 Refrigeration-Storage'!Tank_Material</vt:lpstr>
      <vt:lpstr>'Unit-800 Steam Cycle &amp; CWT'!Tank_Material</vt:lpstr>
      <vt:lpstr>'Unit-800 Steam Cycle &amp; CWT cor'!Tank_Material</vt:lpstr>
      <vt:lpstr>'Unit-100 - GSR Island'!test</vt:lpstr>
      <vt:lpstr>'Unit-100 Reformer Island'!test</vt:lpstr>
      <vt:lpstr>'Unit-200 WGS'!test</vt:lpstr>
      <vt:lpstr>'Unit-300 MDEA Absorption'!test</vt:lpstr>
      <vt:lpstr>'Unit-300 N2 Purification'!test</vt:lpstr>
      <vt:lpstr>'Unit-400 PSA'!test</vt:lpstr>
      <vt:lpstr>'Unit-500 - CO2 CPU'!test</vt:lpstr>
      <vt:lpstr>'Unit-600 Synthesis loop'!test</vt:lpstr>
      <vt:lpstr>'Unit-700 Refrigeration-Storage'!test</vt:lpstr>
      <vt:lpstr>'Unit-800 Steam Cycle &amp; CWT'!test</vt:lpstr>
      <vt:lpstr>'Unit-100 - GSR Island'!TowerPacking</vt:lpstr>
      <vt:lpstr>'Unit-100 Reformer Island'!TowerPacking</vt:lpstr>
      <vt:lpstr>'Unit-200 WGS'!TowerPacking</vt:lpstr>
      <vt:lpstr>'Unit-300 MDEA Absorption'!TowerPacking</vt:lpstr>
      <vt:lpstr>'Unit-300 N2 Purification'!TowerPacking</vt:lpstr>
      <vt:lpstr>'Unit-400 PSA'!TowerPacking</vt:lpstr>
      <vt:lpstr>'Unit-500 - CO2 CPU'!TowerPacking</vt:lpstr>
      <vt:lpstr>'Unit-600 Synthesis loop'!TowerPacking</vt:lpstr>
      <vt:lpstr>'Unit-700 Refrigeration-Storage'!TowerPacking</vt:lpstr>
      <vt:lpstr>'Unit-800 Steam Cycle &amp; CWT'!TowerPacking</vt:lpstr>
      <vt:lpstr>'Unit-800 Steam Cycle &amp; CWT cor'!TowerPacking</vt:lpstr>
      <vt:lpstr>'Unit-100 - GSR Island'!TowerPacking_Material</vt:lpstr>
      <vt:lpstr>'Unit-100 Reformer Island'!TowerPacking_Material</vt:lpstr>
      <vt:lpstr>'Unit-200 WGS'!TowerPacking_Material</vt:lpstr>
      <vt:lpstr>'Unit-300 MDEA Absorption'!TowerPacking_Material</vt:lpstr>
      <vt:lpstr>'Unit-300 N2 Purification'!TowerPacking_Material</vt:lpstr>
      <vt:lpstr>'Unit-400 PSA'!TowerPacking_Material</vt:lpstr>
      <vt:lpstr>'Unit-500 - CO2 CPU'!TowerPacking_Material</vt:lpstr>
      <vt:lpstr>'Unit-600 Synthesis loop'!TowerPacking_Material</vt:lpstr>
      <vt:lpstr>'Unit-700 Refrigeration-Storage'!TowerPacking_Material</vt:lpstr>
      <vt:lpstr>'Unit-800 Steam Cycle &amp; CWT'!TowerPacking_Material</vt:lpstr>
      <vt:lpstr>'Unit-800 Steam Cycle &amp; CWT cor'!TowerPacking_Material</vt:lpstr>
      <vt:lpstr>'Unit-100 - GSR Island'!TowerTrays</vt:lpstr>
      <vt:lpstr>'Unit-100 Reformer Island'!TowerTrays</vt:lpstr>
      <vt:lpstr>'Unit-200 WGS'!TowerTrays</vt:lpstr>
      <vt:lpstr>'Unit-300 MDEA Absorption'!TowerTrays</vt:lpstr>
      <vt:lpstr>'Unit-300 N2 Purification'!TowerTrays</vt:lpstr>
      <vt:lpstr>'Unit-400 PSA'!TowerTrays</vt:lpstr>
      <vt:lpstr>'Unit-500 - CO2 CPU'!TowerTrays</vt:lpstr>
      <vt:lpstr>'Unit-600 Synthesis loop'!TowerTrays</vt:lpstr>
      <vt:lpstr>'Unit-700 Refrigeration-Storage'!TowerTrays</vt:lpstr>
      <vt:lpstr>'Unit-800 Steam Cycle &amp; CWT'!TowerTrays</vt:lpstr>
      <vt:lpstr>'Unit-800 Steam Cycle &amp; CWT cor'!TowerTrays</vt:lpstr>
      <vt:lpstr>'Unit-100 - GSR Island'!TowerTrays_Material</vt:lpstr>
      <vt:lpstr>'Unit-100 Reformer Island'!TowerTrays_Material</vt:lpstr>
      <vt:lpstr>'Unit-200 WGS'!TowerTrays_Material</vt:lpstr>
      <vt:lpstr>'Unit-300 MDEA Absorption'!TowerTrays_Material</vt:lpstr>
      <vt:lpstr>'Unit-300 N2 Purification'!TowerTrays_Material</vt:lpstr>
      <vt:lpstr>'Unit-400 PSA'!TowerTrays_Material</vt:lpstr>
      <vt:lpstr>'Unit-500 - CO2 CPU'!TowerTrays_Material</vt:lpstr>
      <vt:lpstr>'Unit-600 Synthesis loop'!TowerTrays_Material</vt:lpstr>
      <vt:lpstr>'Unit-700 Refrigeration-Storage'!TowerTrays_Material</vt:lpstr>
      <vt:lpstr>'Unit-800 Steam Cycle &amp; CWT'!TowerTrays_Material</vt:lpstr>
      <vt:lpstr>'Unit-800 Steam Cycle &amp; CWT cor'!TowerTrays_Material</vt:lpstr>
      <vt:lpstr>'Unit-100 - GSR Island'!Turbine</vt:lpstr>
      <vt:lpstr>'Unit-100 Reformer Island'!Turbine</vt:lpstr>
      <vt:lpstr>'Unit-200 WGS'!Turbine</vt:lpstr>
      <vt:lpstr>'Unit-300 MDEA Absorption'!Turbine</vt:lpstr>
      <vt:lpstr>'Unit-300 N2 Purification'!Turbine</vt:lpstr>
      <vt:lpstr>'Unit-400 PSA'!Turbine</vt:lpstr>
      <vt:lpstr>'Unit-500 - CO2 CPU'!Turbine</vt:lpstr>
      <vt:lpstr>'Unit-600 Synthesis loop'!Turbine</vt:lpstr>
      <vt:lpstr>'Unit-700 Refrigeration-Storage'!Turbine</vt:lpstr>
      <vt:lpstr>'Unit-800 Steam Cycle &amp; CWT'!Turbine</vt:lpstr>
      <vt:lpstr>'Unit-800 Steam Cycle &amp; CWT cor'!Turbine</vt:lpstr>
      <vt:lpstr>'Unit-100 - GSR Island'!Turbine_Material</vt:lpstr>
      <vt:lpstr>'Unit-100 Reformer Island'!Turbine_Material</vt:lpstr>
      <vt:lpstr>'Unit-200 WGS'!Turbine_Material</vt:lpstr>
      <vt:lpstr>'Unit-300 MDEA Absorption'!Turbine_Material</vt:lpstr>
      <vt:lpstr>'Unit-300 N2 Purification'!Turbine_Material</vt:lpstr>
      <vt:lpstr>'Unit-400 PSA'!Turbine_Material</vt:lpstr>
      <vt:lpstr>'Unit-500 - CO2 CPU'!Turbine_Material</vt:lpstr>
      <vt:lpstr>'Unit-600 Synthesis loop'!Turbine_Material</vt:lpstr>
      <vt:lpstr>'Unit-700 Refrigeration-Storage'!Turbine_Material</vt:lpstr>
      <vt:lpstr>'Unit-800 Steam Cycle &amp; CWT'!Turbine_Material</vt:lpstr>
      <vt:lpstr>'Unit-800 Steam Cycle &amp; CWT cor'!Turbine_Material</vt:lpstr>
      <vt:lpstr>'Unit-100 - GSR Island'!Vaporizer</vt:lpstr>
      <vt:lpstr>'Unit-100 Reformer Island'!Vaporizer</vt:lpstr>
      <vt:lpstr>'Unit-200 WGS'!Vaporizer</vt:lpstr>
      <vt:lpstr>'Unit-300 MDEA Absorption'!Vaporizer</vt:lpstr>
      <vt:lpstr>'Unit-300 N2 Purification'!Vaporizer</vt:lpstr>
      <vt:lpstr>'Unit-400 PSA'!Vaporizer</vt:lpstr>
      <vt:lpstr>'Unit-500 - CO2 CPU'!Vaporizer</vt:lpstr>
      <vt:lpstr>'Unit-600 Synthesis loop'!Vaporizer</vt:lpstr>
      <vt:lpstr>'Unit-700 Refrigeration-Storage'!Vaporizer</vt:lpstr>
      <vt:lpstr>'Unit-800 Steam Cycle &amp; CWT'!Vaporizer</vt:lpstr>
      <vt:lpstr>'Unit-800 Steam Cycle &amp; CWT cor'!Vaporizer</vt:lpstr>
      <vt:lpstr>'Unit-100 - GSR Island'!Vaporizer_Material</vt:lpstr>
      <vt:lpstr>'Unit-100 Reformer Island'!Vaporizer_Material</vt:lpstr>
      <vt:lpstr>'Unit-200 WGS'!Vaporizer_Material</vt:lpstr>
      <vt:lpstr>'Unit-300 MDEA Absorption'!Vaporizer_Material</vt:lpstr>
      <vt:lpstr>'Unit-300 N2 Purification'!Vaporizer_Material</vt:lpstr>
      <vt:lpstr>'Unit-400 PSA'!Vaporizer_Material</vt:lpstr>
      <vt:lpstr>'Unit-500 - CO2 CPU'!Vaporizer_Material</vt:lpstr>
      <vt:lpstr>'Unit-600 Synthesis loop'!Vaporizer_Material</vt:lpstr>
      <vt:lpstr>'Unit-700 Refrigeration-Storage'!Vaporizer_Material</vt:lpstr>
      <vt:lpstr>'Unit-800 Steam Cycle &amp; CWT'!Vaporizer_Material</vt:lpstr>
      <vt:lpstr>'Unit-800 Steam Cycle &amp; CWT cor'!Vaporizer_Material</vt:lpstr>
      <vt:lpstr>'Unit-100 - GSR Island'!Vessel</vt:lpstr>
      <vt:lpstr>'Unit-100 Reformer Island'!Vessel</vt:lpstr>
      <vt:lpstr>'Unit-200 WGS'!Vessel</vt:lpstr>
      <vt:lpstr>'Unit-300 MDEA Absorption'!Vessel</vt:lpstr>
      <vt:lpstr>'Unit-300 N2 Purification'!Vessel</vt:lpstr>
      <vt:lpstr>'Unit-400 PSA'!Vessel</vt:lpstr>
      <vt:lpstr>'Unit-500 - CO2 CPU'!Vessel</vt:lpstr>
      <vt:lpstr>'Unit-600 Synthesis loop'!Vessel</vt:lpstr>
      <vt:lpstr>'Unit-700 Refrigeration-Storage'!Vessel</vt:lpstr>
      <vt:lpstr>'Unit-800 Steam Cycle &amp; CWT'!Vessel</vt:lpstr>
      <vt:lpstr>'Unit-800 Steam Cycle &amp; CWT cor'!Vessel</vt:lpstr>
      <vt:lpstr>'Unit-100 - GSR Island'!Vessel_Material</vt:lpstr>
      <vt:lpstr>'Unit-100 Reformer Island'!Vessel_Material</vt:lpstr>
      <vt:lpstr>'Unit-200 WGS'!Vessel_Material</vt:lpstr>
      <vt:lpstr>'Unit-300 MDEA Absorption'!Vessel_Material</vt:lpstr>
      <vt:lpstr>'Unit-300 N2 Purification'!Vessel_Material</vt:lpstr>
      <vt:lpstr>'Unit-400 PSA'!Vessel_Material</vt:lpstr>
      <vt:lpstr>'Unit-500 - CO2 CPU'!Vessel_Material</vt:lpstr>
      <vt:lpstr>'Unit-600 Synthesis loop'!Vessel_Material</vt:lpstr>
      <vt:lpstr>'Unit-700 Refrigeration-Storage'!Vessel_Material</vt:lpstr>
      <vt:lpstr>'Unit-800 Steam Cycle &amp; CWT'!Vessel_Material</vt:lpstr>
      <vt:lpstr>'Unit-800 Steam Cycle &amp; CWT cor'!Vessel_Material</vt:lpstr>
      <vt:lpstr>'Cash Flow Analysis'!Year</vt:lpstr>
      <vt:lpstr>'Estimate Benchmark'!Year</vt:lpstr>
      <vt:lpstr>'Plant Overview'!Year</vt:lpstr>
      <vt:lpstr>'Unit-100 - GSR Island'!Year</vt:lpstr>
      <vt:lpstr>'Unit-100 Reformer Island'!Year</vt:lpstr>
      <vt:lpstr>'Unit-200 WGS'!Year</vt:lpstr>
      <vt:lpstr>'Unit-300 MDEA Absorption'!Year</vt:lpstr>
      <vt:lpstr>'Unit-300 N2 Purification'!Year</vt:lpstr>
      <vt:lpstr>'Unit-400 PSA'!Year</vt:lpstr>
      <vt:lpstr>'Unit-500 - CO2 CPU'!Year</vt:lpstr>
      <vt:lpstr>'Unit-600 Synthesis loop'!Year</vt:lpstr>
      <vt:lpstr>'Unit-700 Refrigeration-Storage'!Year</vt:lpstr>
      <vt:lpstr>'Unit-800 Steam Cycle &amp; CWT'!Year</vt:lpstr>
      <vt:lpstr>'Unit-800 Steam Cycle &amp; CWT cor'!Year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Carlos Arnaiz del Pozo</dc:creator>
  <cp:keywords/>
  <dc:description/>
  <cp:lastModifiedBy>Sandoval Hernandez, Jose Ernesto</cp:lastModifiedBy>
  <cp:revision/>
  <dcterms:created xsi:type="dcterms:W3CDTF">2021-03-10T08:50:08Z</dcterms:created>
  <dcterms:modified xsi:type="dcterms:W3CDTF">2024-11-26T19:51:01Z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0x01010031B82B69D2361148B4D8F7EC15680213080088D7C2A10C36B14BA84F081365F410E1</vt:lpwstr>
  </property>
  <property fmtid="{D5CDD505-2E9C-101B-9397-08002B2CF9AE}" pid="3" name="_AdHocReviewCycleID">
    <vt:i4>-175979698</vt:i4>
  </property>
  <property fmtid="{D5CDD505-2E9C-101B-9397-08002B2CF9AE}" pid="4" name="_NewReviewCycle">
    <vt:lpwstr/>
  </property>
  <property fmtid="{D5CDD505-2E9C-101B-9397-08002B2CF9AE}" pid="5" name="_EmailSubject">
    <vt:lpwstr>LAC SEA file</vt:lpwstr>
  </property>
  <property fmtid="{D5CDD505-2E9C-101B-9397-08002B2CF9AE}" pid="6" name="_AuthorEmail">
    <vt:lpwstr>Schalk.Cloete@sintef.no</vt:lpwstr>
  </property>
  <property fmtid="{D5CDD505-2E9C-101B-9397-08002B2CF9AE}" pid="7" name="_AuthorEmailDisplayName">
    <vt:lpwstr>Schalk Cloete</vt:lpwstr>
  </property>
  <property fmtid="{D5CDD505-2E9C-101B-9397-08002B2CF9AE}" pid="8" name="_ReviewingToolsShownOnce">
    <vt:lpwstr/>
  </property>
  <property fmtid="{D5CDD505-2E9C-101B-9397-08002B2CF9AE}" pid="9" name="MSIP_Label_4044bd30-2ed7-4c9d-9d12-46200872a97b_Enabled">
    <vt:lpwstr>true</vt:lpwstr>
  </property>
  <property fmtid="{D5CDD505-2E9C-101B-9397-08002B2CF9AE}" pid="10" name="MSIP_Label_4044bd30-2ed7-4c9d-9d12-46200872a97b_SetDate">
    <vt:lpwstr>2024-11-23T06:25:20Z</vt:lpwstr>
  </property>
  <property fmtid="{D5CDD505-2E9C-101B-9397-08002B2CF9AE}" pid="11" name="MSIP_Label_4044bd30-2ed7-4c9d-9d12-46200872a97b_Method">
    <vt:lpwstr>Standard</vt:lpwstr>
  </property>
  <property fmtid="{D5CDD505-2E9C-101B-9397-08002B2CF9AE}" pid="12" name="MSIP_Label_4044bd30-2ed7-4c9d-9d12-46200872a97b_Name">
    <vt:lpwstr>defa4170-0d19-0005-0004-bc88714345d2</vt:lpwstr>
  </property>
  <property fmtid="{D5CDD505-2E9C-101B-9397-08002B2CF9AE}" pid="13" name="MSIP_Label_4044bd30-2ed7-4c9d-9d12-46200872a97b_SiteId">
    <vt:lpwstr>4130bd39-7c53-419c-b1e5-8758d6d63f21</vt:lpwstr>
  </property>
  <property fmtid="{D5CDD505-2E9C-101B-9397-08002B2CF9AE}" pid="14" name="MSIP_Label_4044bd30-2ed7-4c9d-9d12-46200872a97b_ActionId">
    <vt:lpwstr>558f904f-022c-4e9a-bf30-7ad26236eaba</vt:lpwstr>
  </property>
  <property fmtid="{D5CDD505-2E9C-101B-9397-08002B2CF9AE}" pid="15" name="MSIP_Label_4044bd30-2ed7-4c9d-9d12-46200872a97b_ContentBits">
    <vt:lpwstr>0</vt:lpwstr>
  </property>
</Properties>
</file>